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tabRatio="934" firstSheet="2" activeTab="17"/>
  </bookViews>
  <sheets>
    <sheet name="1.Onbe" sheetId="1" r:id="rId1"/>
    <sheet name="1.A Norm" sheetId="2" r:id="rId2"/>
    <sheet name="2.Onki" sheetId="3" r:id="rId3"/>
    <sheet name="3.Inbe " sheetId="4" r:id="rId4"/>
    <sheet name="3.A Inbe" sheetId="5" r:id="rId5"/>
    <sheet name="4.Inki" sheetId="6" r:id="rId6"/>
    <sheet name="5.Infelhki" sheetId="7" r:id="rId7"/>
    <sheet name="6.Önk.műk." sheetId="8" r:id="rId8"/>
    <sheet name="6.A Alapítv" sheetId="9" r:id="rId9"/>
    <sheet name="7.Beruh." sheetId="10" r:id="rId10"/>
    <sheet name="8.Felúj." sheetId="11" r:id="rId11"/>
    <sheet name="9.Projekt" sheetId="12" r:id="rId12"/>
    <sheet name="10.MVP és hazai" sheetId="13" r:id="rId13"/>
    <sheet name="11.EKF" sheetId="14" r:id="rId14"/>
    <sheet name="12.Mérleg" sheetId="15" r:id="rId15"/>
    <sheet name="13.Létszám" sheetId="16" r:id="rId16"/>
    <sheet name="14.A Hitel" sheetId="17" r:id="rId17"/>
    <sheet name="15.EU" sheetId="18" r:id="rId18"/>
  </sheets>
  <definedNames>
    <definedName name="_4._sz._sor_részletezése" localSheetId="1">#REF!</definedName>
    <definedName name="_4._sz._sor_részletezése" localSheetId="0">#REF!</definedName>
    <definedName name="_4._sz._sor_részletezése" localSheetId="12">#REF!</definedName>
    <definedName name="_4._sz._sor_részletezése" localSheetId="13">#REF!</definedName>
    <definedName name="_4._sz._sor_részletezése" localSheetId="17">#REF!</definedName>
    <definedName name="_4._sz._sor_részletezése" localSheetId="6">#REF!</definedName>
    <definedName name="_4._sz._sor_részletezése" localSheetId="8">#REF!</definedName>
    <definedName name="_4._sz._sor_részletezése" localSheetId="9">#REF!</definedName>
    <definedName name="_4._sz._sor_részletezése" localSheetId="10">#REF!</definedName>
    <definedName name="_4._sz._sor_részletezése" localSheetId="11">#REF!</definedName>
    <definedName name="_4._sz._sor_részletezése">#REF!</definedName>
    <definedName name="_xlnm.Print_Titles" localSheetId="0">'1.Onbe'!$5:$7</definedName>
    <definedName name="_xlnm.Print_Titles" localSheetId="12">'10.MVP és hazai'!$5:$9</definedName>
    <definedName name="_xlnm.Print_Titles" localSheetId="13">'11.EKF'!$5:$9</definedName>
    <definedName name="_xlnm.Print_Titles" localSheetId="15">'13.Létszám'!$6:$6</definedName>
    <definedName name="_xlnm.Print_Titles" localSheetId="17">'15.EU'!$6:$10</definedName>
    <definedName name="_xlnm.Print_Titles" localSheetId="2">'2.Onki'!$5:$7</definedName>
    <definedName name="_xlnm.Print_Titles" localSheetId="4">'3.A Inbe'!$5:$8</definedName>
    <definedName name="_xlnm.Print_Titles" localSheetId="3">'3.Inbe '!$5:$8</definedName>
    <definedName name="_xlnm.Print_Titles" localSheetId="5">'4.Inki'!$5:$8</definedName>
    <definedName name="_xlnm.Print_Titles" localSheetId="6">'5.Infelhki'!$5:$8</definedName>
    <definedName name="_xlnm.Print_Titles" localSheetId="8">'6.A Alapítv'!$6:$9</definedName>
    <definedName name="_xlnm.Print_Titles" localSheetId="7">'6.Önk.műk.'!$5:$8</definedName>
    <definedName name="_xlnm.Print_Titles" localSheetId="9">'7.Beruh.'!$5:$9</definedName>
    <definedName name="_xlnm.Print_Titles" localSheetId="10">'8.Felúj.'!$5:$9</definedName>
    <definedName name="_xlnm.Print_Titles" localSheetId="11">'9.Projekt'!$5:$9</definedName>
    <definedName name="_xlnm.Print_Area" localSheetId="1">'1.A Norm'!$A$1:$H$47</definedName>
    <definedName name="_xlnm.Print_Area" localSheetId="0">'1.Onbe'!$A$1:$M$64</definedName>
    <definedName name="_xlnm.Print_Area" localSheetId="12">'10.MVP és hazai'!$A$1:$P$110</definedName>
    <definedName name="_xlnm.Print_Area" localSheetId="13">'11.EKF'!$A$1:$Q$241</definedName>
    <definedName name="_xlnm.Print_Area" localSheetId="14">'12.Mérleg'!$A$1:$I$39</definedName>
    <definedName name="_xlnm.Print_Area" localSheetId="15">'13.Létszám'!$A$1:$G$33</definedName>
    <definedName name="_xlnm.Print_Area" localSheetId="16">'14.A Hitel'!$A$1:$E$41</definedName>
    <definedName name="_xlnm.Print_Area" localSheetId="2">'2.Onki'!$A$1:$M$42</definedName>
    <definedName name="_xlnm.Print_Area" localSheetId="4">'3.A Inbe'!$A$1:$H$30</definedName>
    <definedName name="_xlnm.Print_Area" localSheetId="3">'3.Inbe '!$A$1:$O$189</definedName>
    <definedName name="_xlnm.Print_Area" localSheetId="5">'4.Inki'!$A$1:$R$332</definedName>
    <definedName name="_xlnm.Print_Area" localSheetId="6">'5.Infelhki'!$A$1:$L$203</definedName>
    <definedName name="_xlnm.Print_Area" localSheetId="8">'6.A Alapítv'!$A$1:$C$96</definedName>
    <definedName name="_xlnm.Print_Area" localSheetId="7">'6.Önk.műk.'!$A$1:$N$756</definedName>
    <definedName name="_xlnm.Print_Area" localSheetId="9">'7.Beruh.'!$A$1:$M$270</definedName>
    <definedName name="_xlnm.Print_Area" localSheetId="10">'8.Felúj.'!$A$1:$L$70</definedName>
    <definedName name="_xlnm.Print_Area" localSheetId="11">'9.Projekt'!$A$1:$P$148</definedName>
  </definedNames>
  <calcPr fullCalcOnLoad="1"/>
</workbook>
</file>

<file path=xl/comments12.xml><?xml version="1.0" encoding="utf-8"?>
<comments xmlns="http://schemas.openxmlformats.org/spreadsheetml/2006/main">
  <authors>
    <author>Eckert Szilvia</author>
  </authors>
  <commentList>
    <comment ref="E7" authorId="0">
      <text>
        <r>
          <rPr>
            <b/>
            <sz val="9"/>
            <rFont val="Tahoma"/>
            <family val="2"/>
          </rPr>
          <t>Eckert Szilvia:</t>
        </r>
        <r>
          <rPr>
            <sz val="9"/>
            <rFont val="Tahoma"/>
            <family val="2"/>
          </rPr>
          <t xml:space="preserve">
Hivatalt és intézményeket is beletegyük?</t>
        </r>
      </text>
    </comment>
  </commentList>
</comments>
</file>

<file path=xl/sharedStrings.xml><?xml version="1.0" encoding="utf-8"?>
<sst xmlns="http://schemas.openxmlformats.org/spreadsheetml/2006/main" count="3525" uniqueCount="1112">
  <si>
    <t>adatok eFt-ban</t>
  </si>
  <si>
    <t>A</t>
  </si>
  <si>
    <t>C</t>
  </si>
  <si>
    <t>B</t>
  </si>
  <si>
    <t>D</t>
  </si>
  <si>
    <t>E</t>
  </si>
  <si>
    <t>Megnevezés</t>
  </si>
  <si>
    <t>Temetők üzemeltetésével kapcsolatos feladatok</t>
  </si>
  <si>
    <t>Parkfenntartás</t>
  </si>
  <si>
    <t>Köztisztasági feladatok</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</si>
  <si>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</si>
  <si>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</si>
  <si>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</si>
  <si>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</si>
  <si>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</si>
  <si>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</si>
  <si>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</si>
  <si>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</si>
  <si>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</si>
  <si>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</si>
  <si>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</si>
  <si>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</si>
  <si>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K</t>
  </si>
  <si>
    <t>NK</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</si>
  <si>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</si>
  <si>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</si>
  <si>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</si>
  <si>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</si>
  <si>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</si>
  <si>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</si>
  <si>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</si>
  <si>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Laczkó Dezső Múzeum</t>
  </si>
  <si>
    <t>Informatikai kiadások</t>
  </si>
  <si>
    <t>I</t>
  </si>
  <si>
    <t>L</t>
  </si>
  <si>
    <t>M</t>
  </si>
  <si>
    <t>Működési költségvetési kiadások</t>
  </si>
  <si>
    <t>Személyi juttatások</t>
  </si>
  <si>
    <t>Munk.a. terh. jár. és szoc.hj.adó</t>
  </si>
  <si>
    <t>Dologi kiadások</t>
  </si>
  <si>
    <t>Egyéb működési kiadások</t>
  </si>
  <si>
    <t>Nemzeti ünnepek kiadásaira</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</si>
  <si>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</si>
  <si>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</si>
  <si>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</si>
  <si>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</si>
  <si>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</si>
  <si>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</si>
  <si>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</si>
  <si>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</si>
  <si>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</si>
  <si>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</si>
  <si>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</si>
  <si>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</si>
  <si>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</si>
  <si>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</si>
  <si>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</si>
  <si>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</si>
  <si>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</si>
  <si>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</si>
  <si>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</si>
  <si>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</si>
  <si>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</si>
  <si>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</si>
  <si>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</si>
  <si>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</si>
  <si>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</si>
  <si>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</si>
  <si>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</si>
  <si>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</si>
  <si>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Köztemetés</t>
  </si>
  <si>
    <t xml:space="preserve">Közcélú és közhasznú foglalkoztatás </t>
  </si>
  <si>
    <t>Települési szilárdhulladék szállítás ártámogatás</t>
  </si>
  <si>
    <t>Máltai Szeretetszolgálatnak pénzeszköz átadás (ellátási szerződés)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</si>
  <si>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</si>
  <si>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</si>
  <si>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</si>
  <si>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</si>
  <si>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</si>
  <si>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</si>
  <si>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</si>
  <si>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</si>
  <si>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</si>
  <si>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Városi Közbiztonság Keret</t>
  </si>
  <si>
    <t>Nem lakáscélú helyiségek üzemeltetési költségei</t>
  </si>
  <si>
    <t>Közüzemi Zrt. jutaléka</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</si>
  <si>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</si>
  <si>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</si>
  <si>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</si>
  <si>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</si>
  <si>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</si>
  <si>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</si>
  <si>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</si>
  <si>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</si>
  <si>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</si>
  <si>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</si>
  <si>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</si>
  <si>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</si>
  <si>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</si>
  <si>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Közműalagút működtetése</t>
  </si>
  <si>
    <t>Környezetvédelmi feladat (Városüzemeltetés feladatai)</t>
  </si>
  <si>
    <t>Környezetvédelmi feladat (Közigazgatási Iroda feladatai)</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</si>
  <si>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</si>
  <si>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</si>
  <si>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</si>
  <si>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</si>
  <si>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</si>
  <si>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</si>
  <si>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Választókerületi keretből civil szervezetek támogatása</t>
  </si>
  <si>
    <t>Ebből: Önkormányzat által ellátott kötelező feladatok összesen:</t>
  </si>
  <si>
    <t>Ebből: Önkormányzat által ellátott önként vállalt feladatok összesen:</t>
  </si>
  <si>
    <t>KIMUTATÁS</t>
  </si>
  <si>
    <t>Módosítás</t>
  </si>
  <si>
    <t>Göllesz Viktor Fogyatékos Személyek Nappali Intézménye</t>
  </si>
  <si>
    <t>VMJV Önkormányzata</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</si>
  <si>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</si>
  <si>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</si>
  <si>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</si>
  <si>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</si>
  <si>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</si>
  <si>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</si>
  <si>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</si>
  <si>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</si>
  <si>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</si>
  <si>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</si>
  <si>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</si>
  <si>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</si>
  <si>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</si>
  <si>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</si>
  <si>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</si>
  <si>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</si>
  <si>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</si>
  <si>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</si>
  <si>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</si>
  <si>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</si>
  <si>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</si>
  <si>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</si>
  <si>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</si>
  <si>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</si>
  <si>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</si>
  <si>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</si>
  <si>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</si>
  <si>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Veszprémi Petőfi Színház</t>
  </si>
  <si>
    <t>INTÉZMÉNYEK ÖSSZESEN:</t>
  </si>
  <si>
    <t>VMJV Polgármesteri Hivatal által ellátott kötelező és önként vállalt feladatok</t>
  </si>
  <si>
    <t>N</t>
  </si>
  <si>
    <t>O</t>
  </si>
  <si>
    <t>P</t>
  </si>
  <si>
    <t>Felhalmozási költségvetési kiadások</t>
  </si>
  <si>
    <t>Egyéb felhalmozási célú kiadások</t>
  </si>
  <si>
    <t>Igazgatási tevékenység</t>
  </si>
  <si>
    <t>Gondnokság</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</si>
  <si>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</si>
  <si>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</si>
  <si>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</si>
  <si>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</si>
  <si>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</si>
  <si>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</si>
  <si>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</si>
  <si>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</si>
  <si>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</si>
  <si>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</si>
  <si>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</si>
  <si>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</si>
  <si>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</si>
  <si>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</si>
  <si>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</si>
  <si>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</si>
  <si>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</si>
  <si>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</si>
  <si>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</si>
  <si>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</si>
  <si>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</si>
  <si>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</si>
  <si>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</si>
  <si>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</si>
  <si>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</si>
  <si>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</si>
  <si>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</si>
  <si>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</si>
  <si>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</si>
  <si>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</si>
  <si>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</si>
  <si>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</si>
  <si>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</si>
  <si>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</si>
  <si>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</si>
  <si>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</si>
  <si>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</si>
  <si>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</si>
  <si>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</si>
  <si>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</si>
  <si>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</si>
  <si>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</si>
  <si>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</si>
  <si>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</si>
  <si>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</si>
  <si>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</si>
  <si>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</si>
  <si>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</si>
  <si>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</si>
  <si>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</si>
  <si>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</si>
  <si>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</si>
  <si>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</si>
  <si>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</si>
  <si>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</si>
  <si>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</si>
  <si>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</si>
  <si>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</si>
  <si>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</si>
  <si>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</si>
  <si>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</si>
  <si>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</si>
  <si>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</si>
  <si>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</si>
  <si>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</si>
  <si>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</si>
  <si>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</si>
  <si>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</si>
  <si>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</si>
  <si>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</si>
  <si>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</si>
  <si>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</si>
  <si>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</si>
  <si>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</si>
  <si>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</si>
  <si>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</si>
  <si>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</si>
  <si>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</si>
  <si>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</si>
  <si>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</si>
  <si>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</si>
  <si>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</si>
  <si>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</si>
  <si>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</si>
  <si>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</si>
  <si>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Kiemelt művészeti együttesek támogatása</t>
  </si>
  <si>
    <t>Swing-Swing Kft. Szolgáltatás vásárlás</t>
  </si>
  <si>
    <t>Bérleményekkel, haszonbérletekkel kapcsolatos feladatok</t>
  </si>
  <si>
    <t>Csapadékcsatornák üzemeltetési szolgáltatásai</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</si>
  <si>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</si>
  <si>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</si>
  <si>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</si>
  <si>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</si>
  <si>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</si>
  <si>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</si>
  <si>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</si>
  <si>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</si>
  <si>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</si>
  <si>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</si>
  <si>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</si>
  <si>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Nyári diákmunka</t>
  </si>
  <si>
    <t>Pannon Várszínház támogatás</t>
  </si>
  <si>
    <t>Végleges forgalomba helyezéshez szükséges ingatlanrendezés</t>
  </si>
  <si>
    <t>Pápai u.-Jutasi u. belső krt mellékkötelezettségek</t>
  </si>
  <si>
    <t>Városi rendezvények</t>
  </si>
  <si>
    <t>SÉD folyóirat költségei</t>
  </si>
  <si>
    <t>M.J.V.SZ. tám. Kárpátalja megsegítésére</t>
  </si>
  <si>
    <t>ebből:  - Lélektér Alapítvány</t>
  </si>
  <si>
    <t xml:space="preserve">           - Tanulmányi ösztöndíj</t>
  </si>
  <si>
    <t xml:space="preserve">           - Fiatalok napja rendezvény</t>
  </si>
  <si>
    <t>Lakbértámogatás</t>
  </si>
  <si>
    <t>Települési támogatások</t>
  </si>
  <si>
    <t>Parkolók üzemeltetési költsége</t>
  </si>
  <si>
    <t>ebből: - Vár Ucca Műhely támogatása</t>
  </si>
  <si>
    <t xml:space="preserve">          - Veszprémi Szemle Várostörténeti Közhasznú Alapítvány Támogatása</t>
  </si>
  <si>
    <t>ebből:  - Rendkívüli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</si>
  <si>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</si>
  <si>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</si>
  <si>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</si>
  <si>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</si>
  <si>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</si>
  <si>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</si>
  <si>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</si>
  <si>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</si>
  <si>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</si>
  <si>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Egyéb városüzemeltetési feladatok</t>
  </si>
  <si>
    <t>VKSZ Zrt. által ellátott városüzemeltetési feladatok</t>
  </si>
  <si>
    <t>VKSZ Zrt. által ellátott intézményüzemeltetési feladatok</t>
  </si>
  <si>
    <t>Intézményi működtetők költsége</t>
  </si>
  <si>
    <t>Szenvedélybetegek ellátásának működési kiadásaihoz támogatás</t>
  </si>
  <si>
    <t>Költségvetési maradvány</t>
  </si>
  <si>
    <t>eredeti előirányzat</t>
  </si>
  <si>
    <t>(Hársfa Tagóvoda, Bóbita Óvoda)</t>
  </si>
  <si>
    <t>Veszprémi Bóbita Körzeti Óvoda</t>
  </si>
  <si>
    <t>Veszprémi Vadvirág Körzeti Óvoda</t>
  </si>
  <si>
    <t>Bérlakások üzemeltetési költségei</t>
  </si>
  <si>
    <t>Veszprém Megyei Jogú Város Önkormányzata által</t>
  </si>
  <si>
    <t>Támogatás összege</t>
  </si>
  <si>
    <t>17</t>
  </si>
  <si>
    <t>Vagyongazdálkodással és ingatlanhasznosítással összefüggő fel. (Földhivatali eljárások, vagyonértékelés)</t>
  </si>
  <si>
    <t>Alapítvány / egyesület / civil szervezet / társadalmi szervezet megnevezése</t>
  </si>
  <si>
    <t>Gizella Múzeum támogatása</t>
  </si>
  <si>
    <t>(Csillagvár Waldorf Tagóvoda, Vadvirág Óvoda)</t>
  </si>
  <si>
    <t>Q</t>
  </si>
  <si>
    <t>Veszprémi Bölcsődei és Egészségügyi Alapellátási Integrált Intézmény</t>
  </si>
  <si>
    <t xml:space="preserve"> - Gizella Kórus/Dowland Alapítvány</t>
  </si>
  <si>
    <t xml:space="preserve">Központi orvosi ügyelet </t>
  </si>
  <si>
    <t>ELENA projekt előkészítési feladatokra konzorciumi hozzájárulás</t>
  </si>
  <si>
    <t xml:space="preserve">           - Veszprémi Ifjúsági Közalapítvány</t>
  </si>
  <si>
    <t>Mendelssohn Kamarazenekar</t>
  </si>
  <si>
    <t xml:space="preserve"> Európai Uniós forrásból finanszírozott támogatással megvalósuló programok, projektek bevételeiről és kiadásairól az Ávr. 24. § (1) bekezdés a.) és bd.) pontjainak megfelelően</t>
  </si>
  <si>
    <t>Program megnevezés</t>
  </si>
  <si>
    <t>Program megvalósításának ideje</t>
  </si>
  <si>
    <t>Saját erő</t>
  </si>
  <si>
    <t>EU támogatás összesen</t>
  </si>
  <si>
    <t>EU támogatás</t>
  </si>
  <si>
    <t>VMJV Önkormányzat</t>
  </si>
  <si>
    <t xml:space="preserve">Veszprémi Bóbita Körzeti Óvoda </t>
  </si>
  <si>
    <r>
      <t>Ebből</t>
    </r>
    <r>
      <rPr>
        <i/>
        <sz val="10"/>
        <rFont val="Palatino Linotype"/>
        <family val="1"/>
      </rPr>
      <t>: költségvetési támogatás</t>
    </r>
  </si>
  <si>
    <t>Veszprémi Vadvirág Körzeti Óvoda                                                (Csillagvár Waldorf Tagóvoda, Vadvirág Óvoda)</t>
  </si>
  <si>
    <t>Veszprémi Kastélykert Körzeti Óvoda                                       (Kastélykert Óvoda, Ficánka Óvoda)</t>
  </si>
  <si>
    <t xml:space="preserve">B </t>
  </si>
  <si>
    <t>Projekt forrás összetétel</t>
  </si>
  <si>
    <t>Projekt költség megbontás</t>
  </si>
  <si>
    <t>2016. évi            tény</t>
  </si>
  <si>
    <t>2016. évi                tény</t>
  </si>
  <si>
    <t>1-16</t>
  </si>
  <si>
    <t>a Veszprém Megyei Jogú Város Önkormányzata Támogatási Szerződéssel rendelkező</t>
  </si>
  <si>
    <t>Eü. Alapellátás</t>
  </si>
  <si>
    <t>Megyei Könyvtár kistelepülési könyvtári és közművelődési célú kiegészítő állami támogatás</t>
  </si>
  <si>
    <t>Gépkocsi gumiabroncs beszerzés</t>
  </si>
  <si>
    <t>Stadion üzemeltetése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</si>
  <si>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</si>
  <si>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</si>
  <si>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</si>
  <si>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</si>
  <si>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</si>
  <si>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</si>
  <si>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</si>
  <si>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</si>
  <si>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</si>
  <si>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</si>
  <si>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</si>
  <si>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</si>
  <si>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</si>
  <si>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 xml:space="preserve">Észak-Nyugati Közlekedési Központ Zrt. Helyi közösségi közlekedés közszolgáltatás és veszteségkiegyenlítés </t>
  </si>
  <si>
    <t>Térinformatikai rendszer adatfeltöltés, fakataszter</t>
  </si>
  <si>
    <t>TOP-6.4.1-15-VP1-2016-00001"Közlekedésbiztonsági és kerékpárosbarát fejlesztések megvalósulása Veszprém város területén"</t>
  </si>
  <si>
    <t>DAT térképfrissítés, földkönyv, közműnyilvántartás, GPS</t>
  </si>
  <si>
    <t>Hiány finanszírozása belső finanszírozásra szolgáló költségvetési bevétel összegével</t>
  </si>
  <si>
    <t>Hiány finanszírozása külső finanszírozásra szolgáló költségvetési bevétel összegével</t>
  </si>
  <si>
    <t>DTP1-1-311-2.2 Interreg Duna Nemzetközi Program Networld*</t>
  </si>
  <si>
    <t>KÖFOP-1.2.1-VEKOP-16-2017-01268, Veszprém Megyei Jogú Város Önkormányzata ASP Központhoz való csatlakozása</t>
  </si>
  <si>
    <t>Csillagvár Waldorf Tagóvoda</t>
  </si>
  <si>
    <t>Hársfa Tagóvoda</t>
  </si>
  <si>
    <t>Nárcisz Tagóvoda</t>
  </si>
  <si>
    <t>Cholnoky Jenő Ltp. Tagóvoda</t>
  </si>
  <si>
    <t>Ficánka Tagóvoda</t>
  </si>
  <si>
    <t>Hóvirág Bölcsőde</t>
  </si>
  <si>
    <t>Vackor Bölcsőde</t>
  </si>
  <si>
    <t>Aprófalvi Bölcsőde</t>
  </si>
  <si>
    <t>Módszertani Bölcsőde</t>
  </si>
  <si>
    <t>Fogorvosi körzeteknek működési hozzájárulás</t>
  </si>
  <si>
    <t>Fogorvosi körzetek részére pályázati alap</t>
  </si>
  <si>
    <t>Állatmenhelyek támogatása</t>
  </si>
  <si>
    <t>Helikoni Ünnepségek Keszthelyen (diákok nevezési díjai)</t>
  </si>
  <si>
    <t>Hatósági engedélyek beszerzése, hatályban tartása</t>
  </si>
  <si>
    <t>Gyulafirátót 10089/4 hrsz-ú ingatlan közműfejlesztési költségei</t>
  </si>
  <si>
    <t>TOP-6.3.3-16-VP1-2017-00001 Dózsaváros, Pápai úti csapadékvíz-elvezető rendszer fejlesztése</t>
  </si>
  <si>
    <t>EFOP-1.9.9-17-2017-00004 Még jobb kezekben - Veszprémben</t>
  </si>
  <si>
    <t>Veszprém, Pápai út 37. szám alatti ingatlanon munkásszállás kialakítása</t>
  </si>
  <si>
    <t>Gyulafirátót Németh u. útrekonstrukció I. ütem csapadékvíz elvezetés</t>
  </si>
  <si>
    <t>Török I.u. - Aulich összekötés</t>
  </si>
  <si>
    <t>Máltai Szeretetszolgálat</t>
  </si>
  <si>
    <t>Kulturális kínálat bővítés/ amatőr művészeti csoportok támogatása</t>
  </si>
  <si>
    <t>Veszprémi Kistérségi Társulásnak pénzeszköz átadás (Egyesített Szoc.Int.)</t>
  </si>
  <si>
    <t>Közutak, hidak fenntartása</t>
  </si>
  <si>
    <t xml:space="preserve"> - Viziközmű fejlesztés</t>
  </si>
  <si>
    <t>Művészetek Háza Veszprém Művelődési Ház és Kiállítóhely</t>
  </si>
  <si>
    <t>Kabóca Bábszínház</t>
  </si>
  <si>
    <t>2017. évi tény</t>
  </si>
  <si>
    <t>TOP-6.6.1-16-VP1-2017-00002 Kádártai rendelő felújítása</t>
  </si>
  <si>
    <t>601835-CITIZ-1-2018-1-HU-CITIZ-NT Reveal YouropEaN Cultural Heritage/Tárd fel  európai kulturális örökségedet (ENriCH)</t>
  </si>
  <si>
    <t>TOP-6.4.1-15-VP1-2016-00001 Közlekedésbiztonsági és kerékpárosbarát fejlesztések megvalósulása Veszprém város területén</t>
  </si>
  <si>
    <t>Veszprémi Családsegítő és Gyermekjóléti Integrált Intézmény</t>
  </si>
  <si>
    <t>Agóra Veszprém Kulturális Központ</t>
  </si>
  <si>
    <t xml:space="preserve">Agóra Veszprém Kulturális Központ </t>
  </si>
  <si>
    <t>1-17</t>
  </si>
  <si>
    <t>18</t>
  </si>
  <si>
    <t>Napsugár Bölcsőde</t>
  </si>
  <si>
    <t>TOP-6.4.1-16-VP1-2018-00002 Kerékpárút építése Márkó-Bánd települések irányába</t>
  </si>
  <si>
    <t>Veszprém Város Vegyeskar utánpótlás/Dúdoló Kórus</t>
  </si>
  <si>
    <t>Oktatási intézmények támogatása</t>
  </si>
  <si>
    <t>Téli rezsicsökkentésben nem részesültek egyszeri támogatása</t>
  </si>
  <si>
    <t>VESZOL - Veszprém, Pápai u. 37. sz. munkásszálló működetési feladatai</t>
  </si>
  <si>
    <t>MVP Veszprémi Zeneművészeti Szakgimnázium és Alapfokú Művészeti Iskola intézményegysége, a Csermák Antal Zeneiskola felújításához tartozó költöztetési feladatok elvégzése</t>
  </si>
  <si>
    <t>TOP orvosi rendelők felújításához tartozó költöztetési munkák</t>
  </si>
  <si>
    <t>Felújításra kerülő bölcsődék költöztetési, eszközszállítási feladatai</t>
  </si>
  <si>
    <t>Infrastruktúra fejlesztési feladatokhoz kapcsolódó kiadások</t>
  </si>
  <si>
    <t>GINOP - 7.1.9-17-2018-00023 Veszprém kulturális turisztikai kínálatának fejlesztése</t>
  </si>
  <si>
    <t>Festő utca rekonstrukciója, tervezés</t>
  </si>
  <si>
    <t>Brusznyai Árpád Alapítvány támogatása</t>
  </si>
  <si>
    <t>Működési célú tartalékok</t>
  </si>
  <si>
    <t>Felhalmozási célú tartalékok</t>
  </si>
  <si>
    <t>Működési célú céltartalékok</t>
  </si>
  <si>
    <t>Felhalmozási célú céltartalékok</t>
  </si>
  <si>
    <t>R</t>
  </si>
  <si>
    <t>S</t>
  </si>
  <si>
    <t>URBACT Innova Tor</t>
  </si>
  <si>
    <t>Projekt teljes költség</t>
  </si>
  <si>
    <t>TOP-6.5.1-16-VP1-2018-00005 - Március 15. utcai Sportcsarnok és Uszoda energetikai megújítása</t>
  </si>
  <si>
    <t>TOP-6.5.1-16-VP1-2018-00002 Völgyikút utca 2. szám alatti épület energetikai megújítása</t>
  </si>
  <si>
    <t xml:space="preserve"> - Beruházási kiadásokra képzett céltartalék                     </t>
  </si>
  <si>
    <t xml:space="preserve"> - Intézményi beruházáshoz kapcsolódó létszámbővítés</t>
  </si>
  <si>
    <t xml:space="preserve">          - Beiskolázási támogatás</t>
  </si>
  <si>
    <t>2018. évi tény</t>
  </si>
  <si>
    <t>VMJV Polgármesteri Hivatal összesen:</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</si>
  <si>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</si>
  <si>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</si>
  <si>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</si>
  <si>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</si>
  <si>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Munk.a. terh. Jár. És szoc.hj.adó</t>
  </si>
  <si>
    <t>TOP-6.3.2-16-VP1-2018-00001 Kulturális negyed</t>
  </si>
  <si>
    <t>Egyéb működési célú kiadások</t>
  </si>
  <si>
    <t>Teljes költség*</t>
  </si>
  <si>
    <t>* Az intézményeknél kimutatott adatokat is tartalmazza</t>
  </si>
  <si>
    <t>Működési költségvetési                                                                         kiadások</t>
  </si>
  <si>
    <r>
      <rPr>
        <b/>
        <sz val="10"/>
        <rFont val="Palatino Linotype"/>
        <family val="1"/>
      </rPr>
      <t>TOP – 6.9.2 -16-VP1-2018-00001</t>
    </r>
    <r>
      <rPr>
        <sz val="10"/>
        <rFont val="Palatino Linotype"/>
        <family val="1"/>
      </rPr>
      <t xml:space="preserve"> Közösségfejlesztés Veszprém város településrészein</t>
    </r>
  </si>
  <si>
    <t>Európa Parlament tagjainak 2019. évi választása</t>
  </si>
  <si>
    <t>Helyi és nemzetiségi önkormányzati képviselők 2019. évi választása</t>
  </si>
  <si>
    <t xml:space="preserve"> - Működési kiadásokra képzett céltartalék</t>
  </si>
  <si>
    <t xml:space="preserve"> - Adóbevételekkel szembeni kötelezettség</t>
  </si>
  <si>
    <t>Óvodák összesen:</t>
  </si>
  <si>
    <t>Egészségügyi és szociális intézmények összesen:</t>
  </si>
  <si>
    <t>Kulturális és közművelődési intézmények összesen:</t>
  </si>
  <si>
    <t>TOP-6.6.1-16-VP1-2018-0003 "Jutasi u. 59. sz. alatti orvosi rendelők megújítása"</t>
  </si>
  <si>
    <t xml:space="preserve">Előir. csop. </t>
  </si>
  <si>
    <t>Kie-melt előir.</t>
  </si>
  <si>
    <t xml:space="preserve">Kie-melt előir. </t>
  </si>
  <si>
    <t xml:space="preserve"> Erdei és Kuckó Tagóvoda</t>
  </si>
  <si>
    <t>Önkormányzati működési kiadások</t>
  </si>
  <si>
    <t>INTÉZMÉNYEK BERUHÁZÁSI KIADÁSAI ÖSSZESEN:</t>
  </si>
  <si>
    <t>VMJV  Polgármesteri Hivatal beruházási kiadásai összesen:</t>
  </si>
  <si>
    <t>BERUHÁZÁSI KIADÁSOK MINDÖSSZESEN:</t>
  </si>
  <si>
    <t>TOP-6.5.1-16-VP1-2018-00004 Aprófalvi bölcsőde energetikai korszerűsítése</t>
  </si>
  <si>
    <t>TOP-6.5.1-16-VP1-2018-00006 Módszertani bölcsőde energetikai megújítása</t>
  </si>
  <si>
    <t>TOP-6.6.1-16-VP1-2018-00004 Vilonyai utca 2/B szám alatti orvosi rendelő megújítása</t>
  </si>
  <si>
    <t>TOP-6.6.1-16-VP1-2018-00005 Ördögárok u. 5. szám alatti orvosi rendelő megújítása</t>
  </si>
  <si>
    <t>TOP-6.1.5-16-VP1-2017-00001 Északi Iparterület Közlekedés-fejlesztése</t>
  </si>
  <si>
    <t>TOP-6.4.1-16-VP1-2018-00002 Márkó-Bánd települések irányába kerékpárút építése</t>
  </si>
  <si>
    <t>KEHOP-5.4.1-16-2016-00142 "Veszprém, az energiatudatos város"</t>
  </si>
  <si>
    <t xml:space="preserve">TOP-7.1.1-16-H-ERFA-2019-00078 Szent Miklós-szegi Kálvária domb és környékének infrastrukturális felújítása és funkcióbővítése </t>
  </si>
  <si>
    <t xml:space="preserve">Urbact Innova-tor </t>
  </si>
  <si>
    <t>"Scholl of Participation" - Creative Europe projekt</t>
  </si>
  <si>
    <t>"Ister DTP Interreg Projekt</t>
  </si>
  <si>
    <t>TOP-7.1.1-16-H-ERFA-2019-00372 Barátságparki csalánkert</t>
  </si>
  <si>
    <t>KEHOP-1.2.1-18-2019-00247 Veszprém MJV klímastratégia kidolgozása és klímatudatosságot erősítő, szemléletformáló programok megvalósítása</t>
  </si>
  <si>
    <t>Erasmus+ KA1 " Media of the Future</t>
  </si>
  <si>
    <t>Iparos Park</t>
  </si>
  <si>
    <t>Veszprémi Petőfi Színház komplex fejlesztése</t>
  </si>
  <si>
    <t>Kittenberger Kálmán Növény- és Vadaspark fejlesztése és bővítése</t>
  </si>
  <si>
    <t>Veszprémi Zeneművészeti Szakgimnázium és Alapfokú Művészeti Iskola intézményegysége, a Csermák Antal Zeneiskola felújításának megvalósítása</t>
  </si>
  <si>
    <t>Veszprémi új Városi Jégcsarnok építése</t>
  </si>
  <si>
    <t>Veszprémi Atlétikai Stadion felújítása - I. ütem</t>
  </si>
  <si>
    <t>Veszprémi Atlétikai Stadion megvalósítás - II. ütem</t>
  </si>
  <si>
    <t>MVP feladatok előkészítés költségei</t>
  </si>
  <si>
    <t>Beruházások közműdíjai</t>
  </si>
  <si>
    <t>Leégett párizsi Notre Dame Katedrális támogatása</t>
  </si>
  <si>
    <t>Csererdő csapadékvíz -tervezés</t>
  </si>
  <si>
    <t>6.vk. Gyalogátkelőhely tervezése (Ady E. u)</t>
  </si>
  <si>
    <t>Parkoló tervezése a Halle u.-i szám előtti területen</t>
  </si>
  <si>
    <t>Egry úti Óvoda újjáépítése miatt szükséges óvodai felújítások, konténer ovi telepítése</t>
  </si>
  <si>
    <t>Európa Kulturális Fővárosa II. ütem</t>
  </si>
  <si>
    <t>Működési kiadások</t>
  </si>
  <si>
    <t>Felhalmozási kiadások</t>
  </si>
  <si>
    <t>Vörösmarty tér tömbbelső fejlesztés, I. ütem (csapadékvíz elvezetés kiépítése) + II. ütem</t>
  </si>
  <si>
    <t>Kulturális negyed tervezése II. ütem</t>
  </si>
  <si>
    <t>Egry utcai óvoda új villamos és gáz betáp vezeték tervezése és kiépítése, villamos kapacitásbővítés</t>
  </si>
  <si>
    <t>Veszprém 0105/1 hrsz.alatti nem veszélyes hulladéklerakó részletes tényfeltárása</t>
  </si>
  <si>
    <t>Közvilágítás fejlesztése (Zrínyi Miklós utca és a Káposztáskert utca)</t>
  </si>
  <si>
    <t>Barátság park sport fejlesztések előkészítése, közmű ellátása</t>
  </si>
  <si>
    <t>CLLD - Városrészi közösségi és kulturális terek infrastrukturális felújítása, átépítése</t>
  </si>
  <si>
    <t>Járásszékhely múzeumok szakmai támogatása</t>
  </si>
  <si>
    <t>Káposztáskert utcai távközlési kábel áthelyezése és új kiépítése</t>
  </si>
  <si>
    <t>Magyar Kórusok találkozója</t>
  </si>
  <si>
    <t>Programiroda Kft. törzstőke emelés</t>
  </si>
  <si>
    <t xml:space="preserve">Programiroda Kft. tőketartalékba helyezés </t>
  </si>
  <si>
    <t>Swing-Swing Kft. törzstőke emelés</t>
  </si>
  <si>
    <t>Swing-Swing Kft. tőketartalékba helyezés</t>
  </si>
  <si>
    <t>Veszprém - Balaton 2023 Zrt. törzstőke emelés</t>
  </si>
  <si>
    <t>Veszprém - Balaton 2023 Zrt. tőketartalékba helyezés</t>
  </si>
  <si>
    <t xml:space="preserve">207/2019. (IX.26.) Közgy.h. GFT beruházás: Veszprém Séd 3. sz. kút bekötővezeték, Kút bekötése a települési hálózatba </t>
  </si>
  <si>
    <t>207/2019. (IX.26.) Közgy.h. GFT beruházás:  Veszprém Méhes utca, Támfal építéshez kapcsolódó ivóvíz-hálózat bővítés</t>
  </si>
  <si>
    <t xml:space="preserve">207/2019. (IX.26.) Közgy.h. GFT beruházás: Veszprém Reguly A. utca, Barnamezős beruházásokhoz kapcsolódóan ivóvízvezeték kapacitás bővítés </t>
  </si>
  <si>
    <t xml:space="preserve"> - Képviselői keret</t>
  </si>
  <si>
    <t>Gyulafirátóti Bölcsőde</t>
  </si>
  <si>
    <t>Védőnői Szolgálat</t>
  </si>
  <si>
    <r>
      <rPr>
        <b/>
        <sz val="10"/>
        <rFont val="Palatino Linotype"/>
        <family val="1"/>
      </rPr>
      <t xml:space="preserve">TOP – 6.9.2 -16-VP1-2018-00001 </t>
    </r>
    <r>
      <rPr>
        <sz val="10"/>
        <rFont val="Palatino Linotype"/>
        <family val="1"/>
      </rPr>
      <t>Közösségfejlesztés Veszprém város településrészein</t>
    </r>
  </si>
  <si>
    <r>
      <rPr>
        <b/>
        <sz val="10"/>
        <rFont val="Palatino Linotype"/>
        <family val="1"/>
      </rPr>
      <t xml:space="preserve">EFOP-4.1.9-16-2017-00014 </t>
    </r>
    <r>
      <rPr>
        <sz val="10"/>
        <rFont val="Palatino Linotype"/>
        <family val="1"/>
      </rPr>
      <t>A múzeumi és levéltári intézményrendszer tanulás segítő infrastrukturális fejlesztései -Laczkó Dezső Múzeumban oktatótermek és kiszolgáló helyiségek kialakítása</t>
    </r>
  </si>
  <si>
    <r>
      <rPr>
        <b/>
        <sz val="10"/>
        <rFont val="Palatino Linotype"/>
        <family val="1"/>
      </rPr>
      <t xml:space="preserve">EFOP-3.3.2-16-2016-00107 </t>
    </r>
    <r>
      <rPr>
        <sz val="10"/>
        <rFont val="Palatino Linotype"/>
        <family val="1"/>
      </rPr>
      <t>Kulturális intézmények a köznevelés eredményességéért</t>
    </r>
  </si>
  <si>
    <t>Közösség Kádártáért Egyesület</t>
  </si>
  <si>
    <t>Virágzó Veszprém Egyesület</t>
  </si>
  <si>
    <t>Lokálpatrióták a Városért Egyesület</t>
  </si>
  <si>
    <t>Veszprémi Kultúráért Közalapítvány (új kuratórium, könyvvizsgálat költségeire)</t>
  </si>
  <si>
    <t>Gerence Hagyományőrző Néptáncegyüttes támogatása</t>
  </si>
  <si>
    <t xml:space="preserve">            - Civil irodai szolgáltatások, civil ház</t>
  </si>
  <si>
    <t xml:space="preserve">            - Civil nap költségei</t>
  </si>
  <si>
    <t>Pszichiátriai betegek nappali ellátás ("Horgony" Pszichiátriai Betegekért Közhasznú Alapítvány)</t>
  </si>
  <si>
    <t>V-Busz Kft. 2019. évi ellentételezés</t>
  </si>
  <si>
    <t>Intézményi karbantartási költségek</t>
  </si>
  <si>
    <t>Intézményi közüzemi költségek</t>
  </si>
  <si>
    <t>Kolostorok és kertek működtetése</t>
  </si>
  <si>
    <t>Viziközmű vagyonértékelés költségei</t>
  </si>
  <si>
    <t>Köztéri Szobor Alap</t>
  </si>
  <si>
    <t>Endrődi Sándor emlékév programjaira</t>
  </si>
  <si>
    <t>Swing-Swing Kft. üzletrész vásárlás</t>
  </si>
  <si>
    <t>II. ütem összesen</t>
  </si>
  <si>
    <t>Kelet-nyugati gyűjtőút zajvédő létesítmény tervezése</t>
  </si>
  <si>
    <t>TOP-6.9.2-16-VP1-2018-00001 Közösségfejlesztés Veszprém város településrészein</t>
  </si>
  <si>
    <t xml:space="preserve">A  </t>
  </si>
  <si>
    <t>T</t>
  </si>
  <si>
    <t>2019. évi tény</t>
  </si>
  <si>
    <t>2018-2021</t>
  </si>
  <si>
    <t>2018-2019</t>
  </si>
  <si>
    <t>2019-2020</t>
  </si>
  <si>
    <t>2016-2021</t>
  </si>
  <si>
    <t>2017-2020</t>
  </si>
  <si>
    <t>2018-2020</t>
  </si>
  <si>
    <t>2016-2019</t>
  </si>
  <si>
    <t>2019-2021</t>
  </si>
  <si>
    <t>2019-2022</t>
  </si>
  <si>
    <t>Urbact Innova-tor *</t>
  </si>
  <si>
    <t>* Az Urbact Innova-tor támogatása a szerződésben €-ban van meghatározva, az átszámítás 316.39 Ft/EUR-val történt</t>
  </si>
  <si>
    <t>ebből: - Európa Kulturális Főváros II. ütem</t>
  </si>
  <si>
    <t>Projekthez kapcsolódó működési bevétel (ÁFA)</t>
  </si>
  <si>
    <t>Újjáépítésre kerülő óvodák költöztetési munkák</t>
  </si>
  <si>
    <t>Veszprémi Stadion gázellátása és villamos kapacitásbővítése</t>
  </si>
  <si>
    <t>Sportterület közmű-, út infrastruktúra fejlesztés</t>
  </si>
  <si>
    <t xml:space="preserve">          - Comitatus Társadalomkutató Egyesület - Comitatus Önkormányzati Szemle</t>
  </si>
  <si>
    <t>V-Busz Kft. szolgáltatás vásárlás</t>
  </si>
  <si>
    <t>**Az intézményeknél kimutatott adatokat is tartalmazza</t>
  </si>
  <si>
    <t>** Az intézményeknél kimutatott adatokat is tartalmazza</t>
  </si>
  <si>
    <t>2021. évi költségvetési bevételei</t>
  </si>
  <si>
    <t>2019. évi              tény</t>
  </si>
  <si>
    <t>2020. évi eredeti előirányzat</t>
  </si>
  <si>
    <t>2021. évi előirányzat</t>
  </si>
  <si>
    <t>2021. évi költségvetési kiadásai</t>
  </si>
  <si>
    <t>ERASMUS+ Program</t>
  </si>
  <si>
    <t>2021. évi saját bevételei</t>
  </si>
  <si>
    <t>2019. évi           tény</t>
  </si>
  <si>
    <t>2021. évi  előirányzat</t>
  </si>
  <si>
    <t>2021. évi felhalmozási költségvetési kiadások előirányzata</t>
  </si>
  <si>
    <t>2021. évi bevételi előirányzat</t>
  </si>
  <si>
    <t>2021. évi kiadási előirányzat</t>
  </si>
  <si>
    <t>Koronavírus elleni védekezés költségeire</t>
  </si>
  <si>
    <t>Népszámlálás 2021.</t>
  </si>
  <si>
    <t>KÖLTSÉGVETÉSI BEVÉTELEI ÉS KIADÁSAI 2021. ÉVBEN</t>
  </si>
  <si>
    <t>Klímaberendezés</t>
  </si>
  <si>
    <t>Ülő bútozat (aulába)</t>
  </si>
  <si>
    <t>Csoportszoba bútorzat</t>
  </si>
  <si>
    <t>Rönkbútor</t>
  </si>
  <si>
    <t>Fészekhinta állvánnyal</t>
  </si>
  <si>
    <t>Mosógép</t>
  </si>
  <si>
    <t>Tárgyi eszközök beszerzése</t>
  </si>
  <si>
    <t>Fénymásológép</t>
  </si>
  <si>
    <t>Konyhai eszközök, gépek</t>
  </si>
  <si>
    <t>Csoportszoba bútor</t>
  </si>
  <si>
    <r>
      <t xml:space="preserve">Tárgyi eszközök beszerzése </t>
    </r>
    <r>
      <rPr>
        <i/>
        <sz val="10"/>
        <rFont val="Palatino Linotype"/>
        <family val="1"/>
      </rPr>
      <t>(homokozó ponyva, mobil fogadó egység, gőztisztító gép, szappanadagoló, tároló kosarak, hosszabítók, ruhafogas)</t>
    </r>
  </si>
  <si>
    <t>Száratós mosógép</t>
  </si>
  <si>
    <t xml:space="preserve">Tárgyi eszközök beszerzése </t>
  </si>
  <si>
    <t>Mozgásfejlesztő udvari játék (mászóvár)</t>
  </si>
  <si>
    <t>Öltözöszekrények</t>
  </si>
  <si>
    <t>Elektromos főzőlap</t>
  </si>
  <si>
    <t>Kombinálható akadálypálya</t>
  </si>
  <si>
    <t>Légkonícionálók</t>
  </si>
  <si>
    <t>Tabletek</t>
  </si>
  <si>
    <t>Okostábla és tartóállvány</t>
  </si>
  <si>
    <t>Öltözőszekrények</t>
  </si>
  <si>
    <t>Udvari fajátékok</t>
  </si>
  <si>
    <r>
      <t xml:space="preserve">Tárgyi eszközök beszerzése </t>
    </r>
    <r>
      <rPr>
        <i/>
        <sz val="10"/>
        <rFont val="Palatino Linotype"/>
        <family val="1"/>
      </rPr>
      <t>(telefonok)</t>
    </r>
  </si>
  <si>
    <r>
      <t xml:space="preserve">Informatikai eszközök beszerzése </t>
    </r>
    <r>
      <rPr>
        <i/>
        <sz val="10"/>
        <rFont val="Palatino Linotype"/>
        <family val="1"/>
      </rPr>
      <t>(laptopok szoftverrel, nyomtató, telefon)</t>
    </r>
  </si>
  <si>
    <r>
      <t xml:space="preserve">Gyűjteménygyarapítás </t>
    </r>
    <r>
      <rPr>
        <i/>
        <sz val="10"/>
        <rFont val="Palatino Linotype"/>
        <family val="1"/>
      </rPr>
      <t>(pályázasthoz kapcsolódó)</t>
    </r>
  </si>
  <si>
    <t>Könyvtári könyvek, egyéb doc. (CD, DVD stb.) jogszabályi előírás szerint</t>
  </si>
  <si>
    <r>
      <t xml:space="preserve">Informatikai eszközök beszerzése </t>
    </r>
    <r>
      <rPr>
        <i/>
        <sz val="10"/>
        <rFont val="Palatino Linotype"/>
        <family val="1"/>
      </rPr>
      <t>(számítogépek)</t>
    </r>
  </si>
  <si>
    <t>Dózsavárosi könyvtár székek beszerzés</t>
  </si>
  <si>
    <r>
      <t xml:space="preserve">Tárgyi eszközök beszerzésére </t>
    </r>
    <r>
      <rPr>
        <i/>
        <sz val="10"/>
        <rFont val="Palatino Linotype"/>
        <family val="1"/>
      </rPr>
      <t>(pályázatokhoz kapcsolódó)</t>
    </r>
  </si>
  <si>
    <t>Informatikai eszközök beszerzése</t>
  </si>
  <si>
    <t xml:space="preserve">Vírusirtó program </t>
  </si>
  <si>
    <t>Monari gyűjtemény nyilvántartó program bővítése</t>
  </si>
  <si>
    <t xml:space="preserve">Régészeti nyilvántartó program </t>
  </si>
  <si>
    <t>Beépített szekrények, polcok</t>
  </si>
  <si>
    <t>Nagyteljesítményű nyomtatók beszerzése</t>
  </si>
  <si>
    <t>Tűzjelző rendszer tervezése</t>
  </si>
  <si>
    <t>Bútorok beszerzése</t>
  </si>
  <si>
    <t>Koronavírus elleni védekezéshez kapcsolódó beszerzések</t>
  </si>
  <si>
    <t>Informatika</t>
  </si>
  <si>
    <t>Európai Uniós forrásból finanszírozott támogatással megvalósuló programok, projektek 2021. évi költségvetési kiadásainak előirányzata</t>
  </si>
  <si>
    <t>2021. év utáni javaslat</t>
  </si>
  <si>
    <t>Teljesítés                      2019.          12.31.-ig*</t>
  </si>
  <si>
    <t>TOP-6.4.1-16-VP1-17-00001 Szabadságpuszta településrész és Felsőörs Község közötti kerékpárút beruházása</t>
  </si>
  <si>
    <t>TOP-6.3.4.1-16 Kerékpárút és kerékpárforgalmi létesítmények építése Veszprém-Gyulafirátót</t>
  </si>
  <si>
    <t>TOP-7.1.1-16-VP1-2020-00002 Kulturális negyed</t>
  </si>
  <si>
    <t>TOP-6.5.1-16-VP1-2017-00001 Veszprém városára vonatkozó Fenntartható Energia és Klíma Akcióterv (SECAP) elkészítése című projekt fenntartási jelentése</t>
  </si>
  <si>
    <t>Modern Városok Program és más hazai finanszírozásból megvalósuló feladatok 2021. évi költségvetési kiadásainak előirányzata</t>
  </si>
  <si>
    <t>Teljesítés                      2019.          12.31.-ig**</t>
  </si>
  <si>
    <t>Illegális hulladéklerakó felszámolása</t>
  </si>
  <si>
    <t>EMMI és Belügyminisztérium "Idősbarát Önkormányzati Díj"</t>
  </si>
  <si>
    <t>Állatvédelmi Kompetencia Központ beruházás - törzstőke emelés</t>
  </si>
  <si>
    <t>Európa Kulturális Főváros 2021. évi költségvetési kiadásainak előirányzata</t>
  </si>
  <si>
    <t>Vár u. 10. volt piarista gimnázium</t>
  </si>
  <si>
    <t>Jókai utca 8.</t>
  </si>
  <si>
    <t>Acticity - Hóvirág u. 1.</t>
  </si>
  <si>
    <t>Vasútállomás és környezetének fejlesztése</t>
  </si>
  <si>
    <t>Európa Kulturális Fővárosa III. ütem</t>
  </si>
  <si>
    <t>Játszóeszközök felújítása</t>
  </si>
  <si>
    <t>III. ütem összesen</t>
  </si>
  <si>
    <t>Európa Kulturális Fővárosa IV. ütem</t>
  </si>
  <si>
    <t>Ingatlanvásárlás (volt bútorgyár) Veszprém belterület 4061 hrsz és 4038/1 hrsz ingatlanok</t>
  </si>
  <si>
    <t>Ingatalnvásárlás (SZMT) Veszprém, belterület 4073/3 hrsz és 4073/3/A ingatlanok</t>
  </si>
  <si>
    <t>IV. ütem összesen</t>
  </si>
  <si>
    <t>V. ütem összesen</t>
  </si>
  <si>
    <t>Európa Kulturális Főváros 2023 beruházások előkészítése (önerő)</t>
  </si>
  <si>
    <t>2020. évi tény</t>
  </si>
  <si>
    <t>2021.</t>
  </si>
  <si>
    <t>2022-től</t>
  </si>
  <si>
    <t>TOP-6.2.1-16-VP1-2020-00003 A Veszprémi Bölcsődei és Egészségügyi Alapellátási Integrált Intézmény Módszertani Bölcsődéje megújítása, illetve bölcsődei eszközbeszerzések</t>
  </si>
  <si>
    <t>2020-2021</t>
  </si>
  <si>
    <t>TOP-6.4.1-16-VP1-2019-00003 Kerékpárút és kerékpárforgalmi létesítmények építése Veszprém - Gyulafirátót szakaszon</t>
  </si>
  <si>
    <t>TOP-6.3.2-16-VP1-2020-00002 Kulturális negyed</t>
  </si>
  <si>
    <t>2021-2022</t>
  </si>
  <si>
    <t>2020-2022</t>
  </si>
  <si>
    <t>*** A projekt a támogatási szerződés szerint nettó módon finanszírozott.</t>
  </si>
  <si>
    <t>GINOP - 7.1.9-17-2018-00023 Veszprém kulturális turisztikai kínálatának fejlesztése***</t>
  </si>
  <si>
    <t>2021. évi beruházási és egyéb felhalmozási célú kiadások előirányzata</t>
  </si>
  <si>
    <t>GFT beruházás: FI-2014-604
Veszprém 1. számú (Zrínyi utca) nyomásfokozó, Nemesvámosi nyomásfokozó: HARIBO termelési üzem fejlesztése III. ütemhez kapcsolódóan a nyomásfokozó kapacitásbővítése (1 db átemelő szivattyú)</t>
  </si>
  <si>
    <t>GFT beruházás: FI-2014-16
Veszprém ivóvíz-hálózat, Szabályozott fertőtlenítő rendszer fejlesztése</t>
  </si>
  <si>
    <t>GFT beruházás: FI-2014-1461
Veszprém Sédvölgyi vízbázis, Belső védőterület bővítés</t>
  </si>
  <si>
    <t>GFT beruházás: FI-2014-1291
Veszprém Szennyvíztisztító Telep, Rácsgépház: csigaszivattyúk elé kőfogó telepítése (1 db)</t>
  </si>
  <si>
    <t>1. számú Török Ignác utcai Idősek Otthona - lift építés</t>
  </si>
  <si>
    <t>Városgazdálkodás (hulladékgyűjtők, kutyaürülék gyűjtők, síkosságmentesítő ládák elhelyezése)</t>
  </si>
  <si>
    <t>Jégpálya bekötőút HM Verga Zrt területén</t>
  </si>
  <si>
    <t>Ingatlanrendezési ügyek (kisajátítások, más célú haszn.,humuszvédelmi terv, erdővédelmi járulék)</t>
  </si>
  <si>
    <t>Stadion dobópálya világítása, felújítás</t>
  </si>
  <si>
    <t>8-as főút felújításának terelőút építéséhez kapcsolódó ingatlanrendezés</t>
  </si>
  <si>
    <t>MLSZ ovifoci program önrész és területelőkészítés</t>
  </si>
  <si>
    <t>Kiskúti Csárda építéstörténeti dokumentációja</t>
  </si>
  <si>
    <t>Március 15. u. 4/B. orvosi rendelő - bejárat mellett nyitható ablak</t>
  </si>
  <si>
    <t>V-Busz Kft. (használt autóbusz vásárlás)</t>
  </si>
  <si>
    <t>Teljesítés                      2019.          12.31.-ig</t>
  </si>
  <si>
    <t>Jégcsarnok üzemidő- és szolgáltatás vásárlás</t>
  </si>
  <si>
    <t>Repülőtér üzemeltetése, szolgáltatás vásárlás</t>
  </si>
  <si>
    <t xml:space="preserve">          - Vészhelyzeti támogatás (krízis segély)</t>
  </si>
  <si>
    <t>Ebrendészeti feladatok</t>
  </si>
  <si>
    <t>Közterület Felügyelet</t>
  </si>
  <si>
    <t>TOP és MVP beruházásokhoz kapcsolódó energetikai tanusítvány</t>
  </si>
  <si>
    <t>UNESCO Zene városa</t>
  </si>
  <si>
    <t>Európa Ifjúsági Fővárosa 2024 pályázat benyújtása</t>
  </si>
  <si>
    <t>Európa Kulturális Fővárosa V. ütem</t>
  </si>
  <si>
    <t>Európa Kulturális Fővárosa VI. ütem</t>
  </si>
  <si>
    <t>VI. ütem összesen</t>
  </si>
  <si>
    <t>Ingatlanvásárlás (Ady Endre u. 5. volt szikvízparkoló) 4726/2 hrsz-ú ingatlan</t>
  </si>
  <si>
    <t>Ingatlanvásárlás (Cserhát ltp. 8.  volt húsáruház)23 hrsz-ú ingatlan</t>
  </si>
  <si>
    <t>Koronavírus védekezés költségeire és gazdasági hatásának enyhítésére</t>
  </si>
  <si>
    <t>Cipőmúzeum</t>
  </si>
  <si>
    <t>Polgármesteri Hivatal</t>
  </si>
  <si>
    <t>Integrált irányítási rendszer fenntartása (ISO, GDPR)</t>
  </si>
  <si>
    <t xml:space="preserve"> - Intézményi felmentési idő, jub.jut., végkielégítés és működési kiadások</t>
  </si>
  <si>
    <t xml:space="preserve">Európa Kulturális Fővárosa III. ütem </t>
  </si>
  <si>
    <t>Európa Kulturális Fővárosa I. ütem</t>
  </si>
  <si>
    <r>
      <rPr>
        <b/>
        <sz val="10"/>
        <rFont val="Palatino Linotype"/>
        <family val="1"/>
      </rPr>
      <t>EFOP-1.9.9-17-2017-00004</t>
    </r>
    <r>
      <rPr>
        <sz val="10"/>
        <rFont val="Palatino Linotype"/>
        <family val="1"/>
      </rPr>
      <t xml:space="preserve"> Még jobb kezekben - Veszprémben</t>
    </r>
  </si>
  <si>
    <r>
      <rPr>
        <b/>
        <sz val="10"/>
        <rFont val="Palatino Linotype"/>
        <family val="1"/>
      </rPr>
      <t>EFOP-4.1.9-16-2017-00014</t>
    </r>
    <r>
      <rPr>
        <sz val="10"/>
        <rFont val="Palatino Linotype"/>
        <family val="1"/>
      </rPr>
      <t xml:space="preserve"> A múzeumi és levéltári intézményrendszer tanulás segítő infrastrukturális fejlesztései -Laczkó Dezső Múzeumban oktatótermek és kiszolgáló helyiségek kialakítása</t>
    </r>
  </si>
  <si>
    <r>
      <rPr>
        <b/>
        <sz val="10"/>
        <rFont val="Palatino Linotype"/>
        <family val="1"/>
      </rPr>
      <t>EFOP-3.3.2-16-2016-00107</t>
    </r>
    <r>
      <rPr>
        <sz val="10"/>
        <rFont val="Palatino Linotype"/>
        <family val="1"/>
      </rPr>
      <t xml:space="preserve"> Kulturális intézmények a köznevelés eredményességéért</t>
    </r>
  </si>
  <si>
    <t>Alkohol Drogrsegély Ambulancia</t>
  </si>
  <si>
    <t>alapítványoknak, egyesületeknek, civil szervezeteknek, társadalmi szervezeteknek nyújtott támogatásokról 2021. évben</t>
  </si>
  <si>
    <t>Víziközmű szolgáltatónál, Bakonykarszt Zrt. - tőketartalékba helyezés</t>
  </si>
  <si>
    <t>Víziközmű szolgáltatónál, Bakonykarszt Zrt. - törzstőke emelés</t>
  </si>
  <si>
    <t xml:space="preserve">         - Veszprém várostörténeti kiadványok előkészítése</t>
  </si>
  <si>
    <t xml:space="preserve">          - Ex Symposion Alapítvány</t>
  </si>
  <si>
    <t>Volt Büfé helyett tárgyaló kialakítás, adálymentes vizesblokk megvalósítása, nyílászáró csere</t>
  </si>
  <si>
    <t>Haszkovó lakótelep újjáélesztése</t>
  </si>
  <si>
    <t>Állatvédelmi Kompetencia Központ beruházás - tőketartalékba helyezés</t>
  </si>
  <si>
    <t>2021. évi eredeti előirányzat</t>
  </si>
  <si>
    <t>módosítás-</t>
  </si>
  <si>
    <t>Szünetmentes áramforrás I.ütem</t>
  </si>
  <si>
    <t>Udvati játékok (egyensúlyozó gerenda, kézi malomkő)</t>
  </si>
  <si>
    <t>Önerő összesen</t>
  </si>
  <si>
    <t>VII. ütem összesen</t>
  </si>
  <si>
    <t>Európa Kulturális Fővárosa  VII. ütem</t>
  </si>
  <si>
    <t>módosítás- költségvetési maradvány</t>
  </si>
  <si>
    <t>öltözősátor</t>
  </si>
  <si>
    <t>40 db összecsukható szék</t>
  </si>
  <si>
    <t>6 db reflektor</t>
  </si>
  <si>
    <r>
      <t xml:space="preserve">Tárgyi eszközök beszerzése </t>
    </r>
    <r>
      <rPr>
        <b/>
        <sz val="10"/>
        <rFont val="Palatino Linotype"/>
        <family val="1"/>
      </rPr>
      <t xml:space="preserve">Mikszáth K.u.13. </t>
    </r>
    <r>
      <rPr>
        <i/>
        <sz val="10"/>
        <rFont val="Palatino Linotype"/>
        <family val="1"/>
      </rPr>
      <t>(digitális lázmérő, fertőtlenítő állomás, kártyaolvasó, bútor, szőnyeg, függöny, mobiltelefon, mikró, kávéfőző, vízmelegítő, tűzhely,ventilátor/hősugárzó, külső winchester, router, iratmegsemmisítő, porszívó,  játék/társasjáték, konyhai eszközök)</t>
    </r>
  </si>
  <si>
    <r>
      <t xml:space="preserve">Tárgyi eszközök beszerzése </t>
    </r>
    <r>
      <rPr>
        <b/>
        <sz val="10"/>
        <rFont val="Palatino Linotype"/>
        <family val="1"/>
      </rPr>
      <t>Pápai út 37. - CSÁO</t>
    </r>
    <r>
      <rPr>
        <sz val="10"/>
        <rFont val="Palatino Linotype"/>
        <family val="1"/>
      </rPr>
      <t xml:space="preserve"> </t>
    </r>
    <r>
      <rPr>
        <i/>
        <sz val="10"/>
        <rFont val="Palatino Linotype"/>
        <family val="1"/>
      </rPr>
      <t>(digitális lázmérő, légzésfigyelő, elektromos streizáló (cumisüveg), fertőtlenítő állomás, bébiőr,  hűtő/fagyasztó, boyler,  bútor, szőnyeg, függöny, mobiltelefon, mikró, kávéfőző, vízmelegítő, ventilátor/hősugárzó, külső winchester, router, iratmegsemmisítő, porszívó, mérleg,  szárítógép, konyhai eszközök)</t>
    </r>
  </si>
  <si>
    <r>
      <t xml:space="preserve">Tárgyi eszközök beszerzése </t>
    </r>
    <r>
      <rPr>
        <b/>
        <sz val="10"/>
        <rFont val="Palatino Linotype"/>
        <family val="1"/>
      </rPr>
      <t>Rózsa u. 48</t>
    </r>
    <r>
      <rPr>
        <sz val="10"/>
        <rFont val="Palatino Linotype"/>
        <family val="1"/>
      </rPr>
      <t xml:space="preserve">  </t>
    </r>
    <r>
      <rPr>
        <i/>
        <sz val="10"/>
        <rFont val="Palatino Linotype"/>
        <family val="1"/>
      </rPr>
      <t>(fertőtlenítő állomás, digitális lázmérő, bútor, szőnyeg, függöny, mobiltelefon, mikró, kávéfőző, vízmelegítő, ventilátor /hősugárzó, külső winchester, router, iratmegsemmisítő, porszívó, játék/társasjáték, konyhai eszközök)</t>
    </r>
  </si>
  <si>
    <r>
      <t xml:space="preserve">Tárgyi eszközök beszerzése </t>
    </r>
    <r>
      <rPr>
        <i/>
        <sz val="10"/>
        <rFont val="Palatino Linotype"/>
        <family val="1"/>
      </rPr>
      <t>(telefonok, konyhai eszközök, egyéb tönkrement kisértékű eszközök pótlása)</t>
    </r>
  </si>
  <si>
    <t>Számítógép</t>
  </si>
  <si>
    <t>módosítás- átcsoportosítás</t>
  </si>
  <si>
    <r>
      <t xml:space="preserve">Informatikai eszközök beszerzése </t>
    </r>
    <r>
      <rPr>
        <i/>
        <sz val="10"/>
        <rFont val="Palatino Linotype"/>
        <family val="1"/>
      </rPr>
      <t>(laptop, asztali számítógép, monitor)</t>
    </r>
  </si>
  <si>
    <t>Honlapfejlesztés</t>
  </si>
  <si>
    <t>Pénztárgép</t>
  </si>
  <si>
    <t>Informatikai eszközök beszerzése (laptopok, asztali gépek, monitorok, nyomtatók)</t>
  </si>
  <si>
    <t>Műalkotások: kortárs gyűjtemény gyarapítása</t>
  </si>
  <si>
    <t>Hűtőszekrény (Bárczi Iskola)</t>
  </si>
  <si>
    <t>Autó nyári gumi garnitúra</t>
  </si>
  <si>
    <t>Informatikai eszközök (számítógépek, router, külső winchester, hangszórók számítógépekhez)</t>
  </si>
  <si>
    <r>
      <t xml:space="preserve">Tárgyi eszközök beszerzése </t>
    </r>
    <r>
      <rPr>
        <i/>
        <sz val="10"/>
        <rFont val="Palatino Linotype"/>
        <family val="1"/>
      </rPr>
      <t>(irodai székek, címkéző, porszívó, mobil telefonok)</t>
    </r>
  </si>
  <si>
    <t xml:space="preserve">Informatikia eszközök beszerzése: NOTEBOOK -operációs rendszerrrel </t>
  </si>
  <si>
    <t>Szárítógép</t>
  </si>
  <si>
    <r>
      <t>Tárgyi eszközök beszerzése</t>
    </r>
    <r>
      <rPr>
        <i/>
        <sz val="10"/>
        <rFont val="Palatino Linotype"/>
        <family val="1"/>
      </rPr>
      <t xml:space="preserve"> (hűtő, hűtőventillátorok, fűtőventillátorok, mobiltelefonok, vasalók, edényszárító állvány)</t>
    </r>
  </si>
  <si>
    <r>
      <t xml:space="preserve">Informatikai eszközök beszerzése: </t>
    </r>
    <r>
      <rPr>
        <i/>
        <sz val="10"/>
        <rFont val="Palatino Linotype"/>
        <family val="1"/>
      </rPr>
      <t>Multifunkciós nyomtató</t>
    </r>
  </si>
  <si>
    <t>Mosdókád textilrestaurátor műhelybe</t>
  </si>
  <si>
    <t>Terasz árnyékolás, kitekerhető roló</t>
  </si>
  <si>
    <t>Udvari játék és játéktároló láda</t>
  </si>
  <si>
    <t>Hagyaték/szamizdat gyűjtemény vásárlása</t>
  </si>
  <si>
    <t>Képtároló rendszer beszerzése</t>
  </si>
  <si>
    <r>
      <t xml:space="preserve">Tárgyi eszközök beszerzése </t>
    </r>
    <r>
      <rPr>
        <i/>
        <sz val="10"/>
        <rFont val="Palatino Linotype"/>
        <family val="1"/>
      </rPr>
      <t>(hűtőszekrény, mosógép, konyhai és szakmai eszközök)</t>
    </r>
  </si>
  <si>
    <r>
      <t xml:space="preserve">Tárgyi eszközök beszerzése </t>
    </r>
    <r>
      <rPr>
        <i/>
        <sz val="10"/>
        <rFont val="Palatino Linotype"/>
        <family val="1"/>
      </rPr>
      <t>(mosógép, szárítógép, konyhai és szakmai eszközök)</t>
    </r>
  </si>
  <si>
    <r>
      <t xml:space="preserve">Tárgyi eszközök beszerzése </t>
    </r>
    <r>
      <rPr>
        <i/>
        <sz val="10"/>
        <rFont val="Palatino Linotype"/>
        <family val="1"/>
      </rPr>
      <t>(mosógép, hűtőszekrény, konyhai és szakmai eszközök)</t>
    </r>
  </si>
  <si>
    <r>
      <t>Tárgyi eszközök beszerzése (</t>
    </r>
    <r>
      <rPr>
        <i/>
        <sz val="10"/>
        <rFont val="Palatino Linotype"/>
        <family val="1"/>
      </rPr>
      <t>szakmai eszközök)</t>
    </r>
  </si>
  <si>
    <t>VEDAC</t>
  </si>
  <si>
    <t>Futsal Club</t>
  </si>
  <si>
    <t>Veszprém Fiatal Sportolóiért Alapítvány</t>
  </si>
  <si>
    <t>Ingatlanvásárlás (Málta, volt postaépület) 2551 hrsz-ú  ingatlan</t>
  </si>
  <si>
    <t>Kiskuti csárda 0270/1, 02720/2, 0270/3, 0274/3, 0270/7 hrsz-ú ingatlan</t>
  </si>
  <si>
    <t>Várkert, tűztorony</t>
  </si>
  <si>
    <t>Digitális Alagút</t>
  </si>
  <si>
    <t>Várbörtön</t>
  </si>
  <si>
    <t>Volt Bútorgyár</t>
  </si>
  <si>
    <t>Európa Kulturális Fővárosa VII. ütem</t>
  </si>
  <si>
    <t>Bakonykarszt - lakossági vízbekötés</t>
  </si>
  <si>
    <t>Környezet terhelés vizsgálat K-Ny-i főtengely I. ütem</t>
  </si>
  <si>
    <t>Modern Városok Program keretében megvalósuló veszprémi belterületi közúthálózat fejlesztése projekt során az építési engedélyhez nem kötött felújítások, rekonstrukciók előkészítéséhez kapcsolódó beruházás lebonyolítói tevékenység ellátása a lakóutak és fő közlekedési utak tekintetében</t>
  </si>
  <si>
    <t xml:space="preserve">módosítás- </t>
  </si>
  <si>
    <t>"1. melléklet a 7/2021. (II. 25.) önkormányzati rendelethez"</t>
  </si>
  <si>
    <t>"2. melléklet a 7/2021. (II. 25.) önkormányzati rendelethez"</t>
  </si>
  <si>
    <t>"3/A. melléklet a 7/2021. (II. 25.) önkormányzati rendelethez"</t>
  </si>
  <si>
    <t>"3. melléklet a 7/2021. (II. 25.) önkormányzati rendelethez"</t>
  </si>
  <si>
    <t>"4. melléklet a 7/2021. (II. 25.) önkormányzati rendelethez"</t>
  </si>
  <si>
    <t>"5. melléklet a 7/2021. (II. 25.) önkormányzati rendelethez"</t>
  </si>
  <si>
    <t>"6/A. melléklet a 7/2021. (II. 25.) önkormányzati rendelethez"</t>
  </si>
  <si>
    <t>"7. melléklet a 7/2021. (II. 25.) önkormányzati rendelethez"</t>
  </si>
  <si>
    <t>"9. melléklet a 7/2021. (II. 25.) önkormányzati rendelethez"</t>
  </si>
  <si>
    <t>"10. melléklet a 7/2021. (II.25.) önkormányzati rendelethez"</t>
  </si>
  <si>
    <t>"12. melléklet a 7/2021. (II. 25.) önkormányzati rendelethez"</t>
  </si>
  <si>
    <t>"11. melléklet a 7/2021. (II. 25.) önkormányzati rendelethez"</t>
  </si>
  <si>
    <t>"6. melléklet a 7/2021. (II. 25.) önkormányzati rendelethez"</t>
  </si>
  <si>
    <t>TOP-6.2.1-16-VP1-2020-00003  A Veszprémi Bölcsődei és Egészségügyi Alapellátási Integrált Intézmény Módszertani Bölcsődéje megújítása, illetve bölcsődei eszközbeszerzések</t>
  </si>
  <si>
    <t>2020. évi              tény</t>
  </si>
  <si>
    <t>2020. évi              tény*</t>
  </si>
  <si>
    <t>800 méteres futókör építése a "Kolostorok és Kertek a veszprémi vár tövében" elnevezésű közpark területén</t>
  </si>
  <si>
    <t>Ördögárok u. 5. gyermekorvosi rendelő bútorzat cseréje</t>
  </si>
  <si>
    <t>Veszprémi Foci Centrum Utánpótlás Sportegyesület</t>
  </si>
  <si>
    <t>Veszprém Pannon SE női kézilabda</t>
  </si>
  <si>
    <t>Veszprémi Úszó Klub</t>
  </si>
  <si>
    <t>Balaton Úszó Klub</t>
  </si>
  <si>
    <t>Veszprémi Torna Club</t>
  </si>
  <si>
    <t>Veszprémi Egyetemi Sport Club női röplabda</t>
  </si>
  <si>
    <t>Szilágyi Diák Sportegyesület</t>
  </si>
  <si>
    <t>Dózsavárosi Diáksport Egyesület</t>
  </si>
  <si>
    <t>Sportolj Velünk SE</t>
  </si>
  <si>
    <t>Gyulafirátót SE</t>
  </si>
  <si>
    <t>Veszprémi Sí Egylet</t>
  </si>
  <si>
    <t>Veszprémi Tae Kwon Do SE</t>
  </si>
  <si>
    <t>Veszprémi Asztalitenisz Sportegyesület</t>
  </si>
  <si>
    <t>Centrum Diák- és Szabadidősport Egyesület</t>
  </si>
  <si>
    <t>Veszprémi Sportmászó Egyesület</t>
  </si>
  <si>
    <t>Domonkos László Veszprémi Judo és Szabadidő Közhasznú SE</t>
  </si>
  <si>
    <t>Veszprémi Honvéd SE</t>
  </si>
  <si>
    <t>Veszprémi Dózsa Sportkör - birkózó</t>
  </si>
  <si>
    <t>Ász Veszprémi Teniszezők Klubja</t>
  </si>
  <si>
    <t>Körmendi Ferenc Veszprémi Thai-Boksz SE</t>
  </si>
  <si>
    <t>Építők Természetbarát SE</t>
  </si>
  <si>
    <t>Veszprémi Spartacus SE</t>
  </si>
  <si>
    <t>Top Gym SE</t>
  </si>
  <si>
    <t>Veszprémi Kerékpáros Egyesület</t>
  </si>
  <si>
    <t>Veszprémi Szivárvány Integrált SE</t>
  </si>
  <si>
    <t>Kid Rock and Roll SE</t>
  </si>
  <si>
    <t>Golding Táncsport Egyesület</t>
  </si>
  <si>
    <t>Veszprémi Bridzs és Tájékozódási SE</t>
  </si>
  <si>
    <t>Veszprémi Ejtőernyős Egyesület</t>
  </si>
  <si>
    <t>Bakony Kendo és Iaido Club Veszprém</t>
  </si>
  <si>
    <t>Bakony Dinamikus Lövész Egyesület</t>
  </si>
  <si>
    <t>Carlson Gracie Bloodline Team SE</t>
  </si>
  <si>
    <t>Piros Életmód és SE</t>
  </si>
  <si>
    <t>Veszprémi Kempo SE</t>
  </si>
  <si>
    <t>Veszprémi Sportlövész Egyesület</t>
  </si>
  <si>
    <t>Utánpótlás Kézilabdakapus Képző Sportegyesület</t>
  </si>
  <si>
    <t>Veszprémi Harcművészetek Egyesület</t>
  </si>
  <si>
    <t>Légtorna és Légtánc Egyesület</t>
  </si>
  <si>
    <t>Ezüst Huszár Sakkegyesület Veszprém</t>
  </si>
  <si>
    <t>Rendezvényi támogatás</t>
  </si>
  <si>
    <t>Veszprémi Asztalitenisz SE</t>
  </si>
  <si>
    <t>Laroco Motorsport Klub Veszprém</t>
  </si>
  <si>
    <t>Dózsavárosi DSE</t>
  </si>
  <si>
    <t>D.L. Veszprémi Judo SE</t>
  </si>
  <si>
    <t>Utánpótlás Kézilabdakapus Képző SE</t>
  </si>
  <si>
    <t>Sportolj Velünk SE (Bartha-Kéri Bianka)</t>
  </si>
  <si>
    <t>Sportolj Velünk SE (Szögi István Dániel)</t>
  </si>
  <si>
    <t>VEDAC (Pásztor Bence)</t>
  </si>
  <si>
    <t>Veszprémi Sí Egylet (Kónya Ádám)</t>
  </si>
  <si>
    <t>Balaton Úszó Klub (Rasovszky Kristóf)</t>
  </si>
  <si>
    <t>Balaton Úszó Klub (Kalmár Ákos)</t>
  </si>
  <si>
    <t>Nemzetközi Sportkapcsolatok</t>
  </si>
  <si>
    <t>Olimpiai felkészülés céljára támogatás (Verseny és élsport)</t>
  </si>
  <si>
    <t xml:space="preserve"> - Projekt kiadásokhoz kapcsolódó céltartalék</t>
  </si>
  <si>
    <t>MLSZ TAO pályaépítési program</t>
  </si>
  <si>
    <t>Napvitorlák</t>
  </si>
  <si>
    <r>
      <t>Tárgyi eszközök beszerzése</t>
    </r>
    <r>
      <rPr>
        <i/>
        <sz val="10"/>
        <rFont val="Palatino Linotype"/>
        <family val="1"/>
      </rPr>
      <t xml:space="preserve"> (konyhai és szakmai eszközök)</t>
    </r>
  </si>
  <si>
    <r>
      <t xml:space="preserve">Informatikai eszközök beszerzése </t>
    </r>
    <r>
      <rPr>
        <i/>
        <sz val="10"/>
        <rFont val="Palatino Linotype"/>
        <family val="1"/>
      </rPr>
      <t>(számítógépek, nyomtatók, mobil telefonok)</t>
    </r>
  </si>
  <si>
    <r>
      <t>VESZOL - Veszprém, Pápai u. 37. sz. munkásszálló működetési feladatai -</t>
    </r>
    <r>
      <rPr>
        <i/>
        <sz val="11"/>
        <rFont val="Palatino Linotype"/>
        <family val="1"/>
      </rPr>
      <t xml:space="preserve"> tönkrement bútorok, eszközök pótlása, ózongenerátor, egyéb kis értékű tárgyi eszközök beszerzése</t>
    </r>
  </si>
  <si>
    <t>Önkormányzati érdekeket érintő településrendezési eszközök módosítása</t>
  </si>
  <si>
    <t xml:space="preserve">Gyulafirátót Posta u. 15. sz.alatti hivatali épületben új gázkazán beépítése, gáz, fűtési rendszer tervezése, szivattyú beépítés, füstgáz elvezetés </t>
  </si>
  <si>
    <t>Okos tv hordozható szekrénnyel</t>
  </si>
  <si>
    <r>
      <t xml:space="preserve">Tárgyi eszközök beszerzése </t>
    </r>
    <r>
      <rPr>
        <i/>
        <sz val="10"/>
        <rFont val="Palatino Linotype"/>
        <family val="1"/>
      </rPr>
      <t>(porszívók, reluxák, vasalók, mikrók,  iratmegsemmisítő, papírvágó, hűtőventillátorok, fűtőventillátorok, asztali telefonok, mobiltelefonok)</t>
    </r>
  </si>
  <si>
    <t>"16. melléklet a 7/2021. (II.25.) önkormányzati rendelethez"</t>
  </si>
  <si>
    <t>1/A. melléklet a 7/2021. (II.25.) önkormányzati rendelethez</t>
  </si>
  <si>
    <t xml:space="preserve">A települési önkormányzatok általános működésének, ágazati feladatainak </t>
  </si>
  <si>
    <t>és egyéb kiegészítő támogatásainak alakulása 2020. és 2021. évben</t>
  </si>
  <si>
    <t>2020. év</t>
  </si>
  <si>
    <t>2021. év</t>
  </si>
  <si>
    <t>Változás %-a</t>
  </si>
  <si>
    <t>2021/2020.</t>
  </si>
  <si>
    <t>1. A települési önkormányzatok működésének általános támogatása</t>
  </si>
  <si>
    <t>Önkormányzati hivatalok működésének támogatása</t>
  </si>
  <si>
    <t>Település üzemeltetés - zöldterület-gazdálkodás támogatása</t>
  </si>
  <si>
    <t>Település üzemeltetés - közvilágítás támogatása</t>
  </si>
  <si>
    <t>Település üzemeltetés - köztemető támogatása</t>
  </si>
  <si>
    <t>Település üzemeltetés - közutak támogatása</t>
  </si>
  <si>
    <t>Egyéb önkormányzati feladatok támogatása</t>
  </si>
  <si>
    <t>Lakott külterülettel kapcsolatos feladatok támogatása</t>
  </si>
  <si>
    <t>2. A települési önkormányzatok egyes köznevelési feladatainak támogatása</t>
  </si>
  <si>
    <t>Óvodaműködtetési támogatás</t>
  </si>
  <si>
    <t>Az óvodában foglalkoztatott pedagógusok átlagbéralapú támogatása</t>
  </si>
  <si>
    <t>Kiegészítő támogatás a pedagógusok és a pedagógus szakképzettséggel rendelkező segítők minősítéséből adódó többletkiadásokhoz</t>
  </si>
  <si>
    <t>Nemzetiségi pótlék</t>
  </si>
  <si>
    <t>Az óvodában foglalkozatott pedagógusok nevelőmunkáját közvetlenül segítők átlagbér-alapú támogatása</t>
  </si>
  <si>
    <t>3. A települési önkormányzatok egyes szociális és gyermekjóléti  feladatainak támogatása</t>
  </si>
  <si>
    <t xml:space="preserve">Család- és gyermekjóléti szolgálat </t>
  </si>
  <si>
    <t>Család- és gyermekjóléti központ</t>
  </si>
  <si>
    <t>Szociális étkeztetés</t>
  </si>
  <si>
    <t>Házi segítségnyújtás</t>
  </si>
  <si>
    <t>Időskorúak nappali intézményi ellátása</t>
  </si>
  <si>
    <t>Fogyatékos személyek nappali intézményi ellátása</t>
  </si>
  <si>
    <t>Demens személyek nappali intézményi ellátása</t>
  </si>
  <si>
    <t>Óvodai és iskolaiszociális segítő tevékenység támogatása</t>
  </si>
  <si>
    <t>Bölcsőde, mini bölcsőde támogatása (kedvezményes étk. támog. nélkül)</t>
  </si>
  <si>
    <t>Családok átmeneti otthonában biztosított ellátásának támogatása</t>
  </si>
  <si>
    <t>Idősek átmeneti és tartós szociális szakosított ellátásának támogatása</t>
  </si>
  <si>
    <t>4. A települési önkormányzatok gyermekétkeztetési feladatainak támogatása</t>
  </si>
  <si>
    <t>Intézményi gyermekétkeztetés támogatása</t>
  </si>
  <si>
    <t>Rászoruló gyermekek intézményen kívüli szünidei étkeztetése</t>
  </si>
  <si>
    <t>5. A települési önkormányzatok kulturális feladatainak támogatása</t>
  </si>
  <si>
    <t>Megyei hatáskörű városi múzeumok  feladatainak támogatása</t>
  </si>
  <si>
    <t>Megyei könyvtárak feladatainak támogatása</t>
  </si>
  <si>
    <t>Megyeszékhely megyei jogú városok közművelődési támogatása</t>
  </si>
  <si>
    <t>Megyei könyvtár kistelepülési könyvtári célú kiegészítő támogatása</t>
  </si>
  <si>
    <t>Zenekarok támogatása</t>
  </si>
  <si>
    <r>
      <t xml:space="preserve">Informatikai eszközök beszerzése </t>
    </r>
    <r>
      <rPr>
        <i/>
        <sz val="10"/>
        <rFont val="Palatino Linotype"/>
        <family val="1"/>
      </rPr>
      <t>(laptopok, monitor, külső merevlemez)</t>
    </r>
  </si>
  <si>
    <r>
      <t xml:space="preserve">Informatikai eszközök beszerzése </t>
    </r>
    <r>
      <rPr>
        <i/>
        <sz val="10"/>
        <rFont val="Palatino Linotype"/>
        <family val="1"/>
      </rPr>
      <t>(laptop, nyomtató)</t>
    </r>
  </si>
  <si>
    <t>Gőztisztító</t>
  </si>
  <si>
    <t>Mosogatógép</t>
  </si>
  <si>
    <r>
      <t>TOP – 7.1.1-16-H-ESZA-2019-01192</t>
    </r>
    <r>
      <rPr>
        <sz val="10"/>
        <rFont val="Palatino Linotype"/>
        <family val="1"/>
      </rPr>
      <t xml:space="preserve"> A családra, mint a társadalom alapegységére építő komplex programok</t>
    </r>
  </si>
  <si>
    <r>
      <t xml:space="preserve">Tárgyi eszközök beszerzése </t>
    </r>
    <r>
      <rPr>
        <i/>
        <sz val="10"/>
        <rFont val="Palatino Linotype"/>
        <family val="1"/>
      </rPr>
      <t>(mosógép, szekrények, asztalok, székek, nyyomtató, iratmegsemmisítő, konyhai és szakmai eszközök)</t>
    </r>
  </si>
  <si>
    <t>Laptop</t>
  </si>
  <si>
    <t>NKA pályázat Gerhes Gábor műtárgyvásárlás</t>
  </si>
  <si>
    <r>
      <t xml:space="preserve">Informatikai eszközök beszerzése </t>
    </r>
    <r>
      <rPr>
        <i/>
        <sz val="10"/>
        <rFont val="Palatino Linotype"/>
        <family val="1"/>
      </rPr>
      <t>(számítogépek, szoftver, laptop, Win-office, nyomtatók, telefon)</t>
    </r>
  </si>
  <si>
    <t>Tárgyi eszközök beszerzése (Amerikai Kuckó: monitor, egér, SSD kártya, Iphone állvány, külső merevlemez, forgószék, informatikai beszerzés)</t>
  </si>
  <si>
    <t>Könyvtári érdekeltségnövelő támogatásból informatikai eszközbeszerzés</t>
  </si>
  <si>
    <t>Projektor Cholnoky kiállításhoz (EKF2023)</t>
  </si>
  <si>
    <t>Digitális rajztábla és tartozékai (EKF2023)</t>
  </si>
  <si>
    <t>Nyilvános WC beléptető rendszer</t>
  </si>
  <si>
    <t>Tűztorony biztonságos megközelítése</t>
  </si>
  <si>
    <t>Kültéri előadásokhoz eszközbeszerzés</t>
  </si>
  <si>
    <t>Szakmai eszközfejlesztés</t>
  </si>
  <si>
    <t>Színpadfedés</t>
  </si>
  <si>
    <t>Gépjármű beszerzés</t>
  </si>
  <si>
    <t>Fesztiválhoz eszköz beszerzések</t>
  </si>
  <si>
    <t>Sátrak</t>
  </si>
  <si>
    <t>Kordonoszlopok</t>
  </si>
  <si>
    <t>4 db laptop, 4 db számítógép</t>
  </si>
  <si>
    <t>Irodabútorok</t>
  </si>
  <si>
    <t>Irodatechnikai eszközök</t>
  </si>
  <si>
    <r>
      <t xml:space="preserve">TOP – 7.1.1-16-H-ESZA-2019-01202 "Élmény, közösség, tudás" családi programok az Agórával </t>
    </r>
    <r>
      <rPr>
        <i/>
        <sz val="10"/>
        <rFont val="Palatino Linotype"/>
        <family val="1"/>
      </rPr>
      <t>(konyhai eszközök)</t>
    </r>
  </si>
  <si>
    <r>
      <t>Színpadtechnikai eszközök</t>
    </r>
    <r>
      <rPr>
        <i/>
        <sz val="10"/>
        <rFont val="Palatino Linotype"/>
        <family val="1"/>
      </rPr>
      <t xml:space="preserve"> (reflektorok, mikrofonok, kábelcsatorna)</t>
    </r>
  </si>
  <si>
    <t>TOP – 7.1.1-16-H-ESZA-2019-01202 "Élmény, közösség, tudás" családi programok az Agórával</t>
  </si>
  <si>
    <t>Közművelődési szolgáltatás</t>
  </si>
  <si>
    <t>Programiroda - városi nagyrendezvények</t>
  </si>
  <si>
    <t>ebből: - Városi Gyereknap</t>
  </si>
  <si>
    <t xml:space="preserve"> - Nemzeti ünnep - Augusztus 20.</t>
  </si>
  <si>
    <t xml:space="preserve"> - Szent Mihály napi búcsú</t>
  </si>
  <si>
    <t xml:space="preserve"> - Nemzeti ünnep - Október 23.</t>
  </si>
  <si>
    <r>
      <t xml:space="preserve">Tárgyi eszközök beszerzése </t>
    </r>
    <r>
      <rPr>
        <i/>
        <sz val="10"/>
        <rFont val="Palatino Linotype"/>
        <family val="1"/>
      </rPr>
      <t>(erősítő, kártyaolvasó és bluetoth hangszóró, előadások hanganyagainak digitalizáláshoz szükséges külső merevlemez)</t>
    </r>
  </si>
  <si>
    <t>Gyulafirátót, Kádárta útfelújítások lebonyolítói tevékenysége</t>
  </si>
  <si>
    <t>Könyvtári polcrendszer</t>
  </si>
  <si>
    <t>2 db. Használtautó</t>
  </si>
  <si>
    <t>2021. évi felújítási kiadások előirányzata</t>
  </si>
  <si>
    <t>2020. évi várható</t>
  </si>
  <si>
    <t>Önkormányzati felújítási kiadások</t>
  </si>
  <si>
    <t>Védett sírok felújítása az Alsóvárosi temetőben</t>
  </si>
  <si>
    <t>Szociális bérlakás felújítások (vasútállomás rehabilitáció érdekében)</t>
  </si>
  <si>
    <t>Városi közbiztonsági keret</t>
  </si>
  <si>
    <t>Gyulafirátóti Polgárőr Egyesület</t>
  </si>
  <si>
    <t>Magyar Máltai Szeretetszolgálat Egyesület</t>
  </si>
  <si>
    <t>Igazgatás</t>
  </si>
  <si>
    <t>Közterület-felügyeleti feladat ellátásához, testkamerák beszerzése</t>
  </si>
  <si>
    <t xml:space="preserve">Európai Fenntartható Városfejlesztési Hálózat "Global Goals for Cities" Urbact III. </t>
  </si>
  <si>
    <t>* Az Európai Fenntartható Városfejlesztési Hálózat "Global Goals for Cities" Urbact III.  projekt €-ban van meghatározva, az átszámítás 360.18 Ft/EUR-val történt.</t>
  </si>
  <si>
    <t>Európa Kulturális Fővárosa VIII. ütem</t>
  </si>
  <si>
    <t>Kádár utcai parkoló építése</t>
  </si>
  <si>
    <t>Európa Kulturális Fővárosa  VIII. ütem</t>
  </si>
  <si>
    <t>Hősök kapuja kiállítási tér kiegészítő fejlesztése/vízszigetlési munkája</t>
  </si>
  <si>
    <t>Laczkó Dezső Múzeum korszerűsítése, akadálymentesítése</t>
  </si>
  <si>
    <t>VIII. ütem összesen</t>
  </si>
  <si>
    <t>Volánbusz Zrt. szolgáltató részére elővárosi és regionális járatokon történő helyi személyszállítási közszolgáltatási feladatok ellátásához hozzájárulás</t>
  </si>
  <si>
    <t>Regőczi István Alapítvány - Covid-árvák megsegítésének támogatása</t>
  </si>
  <si>
    <t>ebből: Koronavírus elleni védekezés adomány</t>
  </si>
  <si>
    <t>MKOSZ Szabadtéri Pályák Kihelyezési Programja - 2 db sérült kosárlabda palánk cseréje, szerelése (H.Botev Ált. Isk.)</t>
  </si>
  <si>
    <t>"8. melléklet a 7/2021. (II. 25.) önkormányzati rendelethez"</t>
  </si>
  <si>
    <t>Veszprém Fiatal Sportolóiért Alapítvány - beruházási célú támogatás</t>
  </si>
  <si>
    <t>Kisértékű tárgyi eszközök beszerzése (polcrendszer, virágtartó láda, gázkazán füstgáz elvezetésének átalakítása, létra, olajradiátor, vasaló, vezeték nélküli mikrofon, diktafon)</t>
  </si>
  <si>
    <t>Veszprémi Utánpótlás Kosárlabda Egyesület szakosztályaként működő Veszprémi Lovas Klub</t>
  </si>
  <si>
    <t xml:space="preserve">Veszprém, belterület 2205 hrsz-ú ingatlan megvásárlása </t>
  </si>
  <si>
    <t>Településképi Arculati Kézikönyv és Településképi rendelet módosítása</t>
  </si>
  <si>
    <t>Thököly utcai támfal egy szakaszára vonatkozó szakértői vélemény</t>
  </si>
  <si>
    <t>Állatkerti bekötőút  engedélyezési szintű tervdokumentáció</t>
  </si>
  <si>
    <t>Kádártai orvosi rendelő gázkazán cseréje</t>
  </si>
  <si>
    <t>Játszóterek és labdapályák felújítása</t>
  </si>
  <si>
    <t>Veszprémi Egyetemi és Diák Atlétikai Club (tartalék keret felosztása)</t>
  </si>
  <si>
    <t>Sportolj Velünk Sportegyesület (tartalék keret felosztás)</t>
  </si>
  <si>
    <t>Centrum Diák- és Szabadidősport Egyesület (tartalék keret felosztás)</t>
  </si>
  <si>
    <t>Módszertani Bölcsőde - gázkazánok cseréje</t>
  </si>
  <si>
    <t>Tanórán kívüli tevékenység</t>
  </si>
  <si>
    <t>Dózsa Iskoláért Alapítvány</t>
  </si>
  <si>
    <t>Simonyis Gyermekekért Alapítvány</t>
  </si>
  <si>
    <t>Csillagvár-Waldorf Tagóvoda</t>
  </si>
  <si>
    <t>Szennyvízelvezetés rekonstrukciója</t>
  </si>
  <si>
    <t>Veszprémi Csillag Úti Körzeti Óvoda</t>
  </si>
  <si>
    <t>Ételszállító lift teljeskörű felújítása</t>
  </si>
  <si>
    <t>Tűzjelző rendszer felújítása</t>
  </si>
  <si>
    <t>VKTT Egyesített Szociális Intézménye</t>
  </si>
  <si>
    <t>Esővíz lefolyók kialakítása</t>
  </si>
  <si>
    <t>Járdaépítések</t>
  </si>
  <si>
    <t>Napvitorlák homokozók fölé</t>
  </si>
  <si>
    <t>Veszprém 2184/4 helyrajzi számú - természetben a Veszprém, Tüzér utca és Házgyári út találkozásánál lévő - körforgalom ingatlanrész tulajdonjogának kisajátítást helyettesítő adásvétel jogcímén történő megszerzése</t>
  </si>
  <si>
    <t>2021. évi módosított előirányzat 3.</t>
  </si>
  <si>
    <t>módosított előirányzat 3.</t>
  </si>
  <si>
    <t>Önkormányzati feladatok és egyéb kötelezettségek 2021. évi működési költségvetési kiadásai</t>
  </si>
  <si>
    <t>Egészségügyi kiegészítő pótlék (2021. március hó - 2021. április hó)</t>
  </si>
  <si>
    <t>módosítás- Szociális ágazati összevont pótlék (2021. május hó - 2021. július hó)</t>
  </si>
  <si>
    <t>módosítás- szociális ágazati összevont pótlék 2021. május - július hó</t>
  </si>
  <si>
    <t>Helyi önkormányzatok általános működéséhez és ágazati feladataihoz kapcsolódó támogatások változása (bölcsődei feladatok, szakosított ellátások, gyermekétkeztetés)</t>
  </si>
  <si>
    <t>módosítás-  gyermekétkeztetés intézményüzemeltetés támogatás</t>
  </si>
  <si>
    <t>bölcsődei üzemeltetési támogatás</t>
  </si>
  <si>
    <t>gyermekétkeztetés intézményüzemeltetés támogatás</t>
  </si>
  <si>
    <t>módosítás- gyermekétkeztetési üzemeltetési támogatás</t>
  </si>
  <si>
    <r>
      <t>Informatikai eszközök beszerzése</t>
    </r>
    <r>
      <rPr>
        <i/>
        <sz val="10"/>
        <rFont val="Palatino Linotype"/>
        <family val="1"/>
      </rPr>
      <t xml:space="preserve"> (mobiltelefonok, pentdrive-ok)</t>
    </r>
  </si>
  <si>
    <t>Tárgyi eszközök beszerzése (öltözőszekrények)</t>
  </si>
  <si>
    <r>
      <t xml:space="preserve">Tárgyi eszközök beszerzése </t>
    </r>
    <r>
      <rPr>
        <i/>
        <sz val="10"/>
        <rFont val="Palatino Linotype"/>
        <family val="1"/>
      </rPr>
      <t>(öltözőszekrények, párakapu, mosogató és szárító állvány, minikonyha tűzhely, mikrohullámú sütő, RM polcok tálalókonyhába, gőzállomásos vasaló, porszívó)</t>
    </r>
  </si>
  <si>
    <t>Udvari játék</t>
  </si>
  <si>
    <r>
      <t>Tárgyi eszközök beszerzésére</t>
    </r>
    <r>
      <rPr>
        <i/>
        <sz val="10"/>
        <rFont val="Palatino Linotype"/>
        <family val="1"/>
      </rPr>
      <t xml:space="preserve"> (hangszóró, könyvállvány, hangszerkészlet, udvari faasztalok-székek, sőrpad garnítura, bluetooth hangszórók, párásító berendezések, ventilátor, mobiltelefonok, konyhai eszközök, edények, mixer, tálak)</t>
    </r>
  </si>
  <si>
    <t>EKF pályázati támogatások</t>
  </si>
  <si>
    <t>módosítás- EKF pályázati támogatásokból</t>
  </si>
  <si>
    <t>Balaton 2023 Zrt. -EKF pályázat - közösségi tervezés</t>
  </si>
  <si>
    <t>Informatikai eszközök beszerzése (laptop, nyomtató)</t>
  </si>
  <si>
    <r>
      <t xml:space="preserve">Tárgyi eszközök beszerzése </t>
    </r>
    <r>
      <rPr>
        <i/>
        <sz val="10"/>
        <rFont val="Palatino Linotype"/>
        <family val="1"/>
      </rPr>
      <t>(gyerekfektetők, gyerekasztalok, gyerekszékek, függönyök, szőnyegek, porszívók, vasalók, egyéb bútorzat, redőny, roló, szúnyogháló, konyhai kisgépek, saválló asztal, karnis, irodai szék, magasnyomású mosó, ágyazószekrény, tárgyalószék, tartós szakmai eszköz és játék, zárható irattároló szekrény, áruszállító kiskocsi, lombfújó, salgópolc, vérnyomásmérő, gőztisztító, lamináló és vágógép)</t>
    </r>
  </si>
  <si>
    <r>
      <t xml:space="preserve">Tárgyi eszközök beszerzése </t>
    </r>
    <r>
      <rPr>
        <i/>
        <sz val="10"/>
        <rFont val="Palatino Linotype"/>
        <family val="1"/>
      </rPr>
      <t>(gyerekfektetők, gyerekasztalok, gyerekszékek, függönyök, szőnyegek, porszívók, vasalók, egyéb bútorzat, tartós szakmai eszköz és játék, zárható irattároló szekrény, irodai szék, vérnyomásmérő, gőztisztító, lamináló és vágógép, nyomtató)</t>
    </r>
  </si>
  <si>
    <t>szakképzési hozzájárulás</t>
  </si>
  <si>
    <t>TOP-7.1.1-16-H-ESZA-2020-01437 HangSzín/zene-kép-alkotás</t>
  </si>
  <si>
    <t>módosítás- támogatói okirat szerint</t>
  </si>
  <si>
    <t>diákmunka támogatáa</t>
  </si>
  <si>
    <t>módosítás-  diákmunka</t>
  </si>
  <si>
    <t>EKF 2023 - Művészeten túl pályázat</t>
  </si>
  <si>
    <t>albérleti hozzájárulás</t>
  </si>
  <si>
    <t>átcsoportosítás</t>
  </si>
  <si>
    <t>Áfa visszatérülés, NKA, ODR támogatás</t>
  </si>
  <si>
    <t>módosítás- Áfa visszatérülés, NKA, ODR támogatás</t>
  </si>
  <si>
    <t>Egyéb tárgyi eszköz beszerzések (székek, fotel, asztal, csiszoló, diavetítő, vízforraló, könyvespolc, fűrész, cipőspolc, fűkasza, kis értékű tárgyi eszközök)</t>
  </si>
  <si>
    <r>
      <t xml:space="preserve">Tárgyi eszközök beszerzése </t>
    </r>
    <r>
      <rPr>
        <i/>
        <sz val="10"/>
        <rFont val="Palatino Linotype"/>
        <family val="1"/>
      </rPr>
      <t>(ruhaállávnyok, szőnyegek, konyhai eszközök, informatikai eszközök, csúszdatest, telefon, porszívó, székek, ipari botmixer, ventilátor, párásító készülék)</t>
    </r>
  </si>
  <si>
    <t>13. melléklet a 7/2021. (II.25.) önkormányzati rendelethez</t>
  </si>
  <si>
    <t>a 2021. évi engedélyezett létszámról</t>
  </si>
  <si>
    <t>2021. évi engedélyezett létszám</t>
  </si>
  <si>
    <t>2021. évi engedélyezett (módosított) létszám</t>
  </si>
  <si>
    <t>Megjegyzés</t>
  </si>
  <si>
    <t>Közfoglalkoztatottak létszáma</t>
  </si>
  <si>
    <t>2021. május 1-től 2021. december 31-ig határozott időtartamra 1 fő</t>
  </si>
  <si>
    <t>határozott idejű foglalkozatottak létszáma                 (2020. március 1 - 2021. december 31)</t>
  </si>
  <si>
    <t xml:space="preserve">Kabóca Bábszínház </t>
  </si>
  <si>
    <t>Intézmények összesen:</t>
  </si>
  <si>
    <t>Polgármester, Alpolgármesterek</t>
  </si>
  <si>
    <t>Közfoglalkoztatottak és diákmunkások létszáma</t>
  </si>
  <si>
    <t>ebből:</t>
  </si>
  <si>
    <t>2021. október 1-től 2021. december 31-ig határozott időtartamra 2 fő</t>
  </si>
  <si>
    <t>TOP-7.1.1-16-H-ESZA-2020-01214 A város, mint otthon és óriási játszótér (Kulturális-művészeti kapcitások fejlesztése a Kabóca Bábszínházban)</t>
  </si>
  <si>
    <t>módosítás- EMMI, NKA pályázatok</t>
  </si>
  <si>
    <t>módosítás- NKA, EMMI pályázati támogatások</t>
  </si>
  <si>
    <t>TOP-7.1.1-16-H-ESZA-2020-01214 A város, mint otthon és óriási játszótér (Kulturális-művészeti kapcitások fejlesztése a Kabóca Bábszínházban) - mobilszínpad</t>
  </si>
  <si>
    <t>Nyertes pályázatból technikai eszközökre</t>
  </si>
  <si>
    <t>Nyertes pályázatból sátorbeszerzésre</t>
  </si>
  <si>
    <t>Irodai bútorok és gépek cseréje</t>
  </si>
  <si>
    <t>módosítás- Emberi Erőforrás Támogatáskezelő, NMI - kulturális intézmények bértámogatása, kulturális feladatok támogatása</t>
  </si>
  <si>
    <t>módosítás- kulturális intézmények bértámogatása, NMI támogatás kulturális feladatokra</t>
  </si>
  <si>
    <t>TOP-7.1.1-16-H-ESZA-202-01419 Veszprém Vár múltjának interaktív bemutatása</t>
  </si>
  <si>
    <t>módosítás- bevételi többletből, NKA támogatásokból</t>
  </si>
  <si>
    <t>régészeti bevétel, NKA támogatás, Bánd-Essegvár ásatás civil támogatása</t>
  </si>
  <si>
    <t>Lakókocsi régészeti kitelepülésekhez</t>
  </si>
  <si>
    <t>Műtárgybeszerzés (pályázatból)</t>
  </si>
  <si>
    <t>Intézményi beruházási kiadások</t>
  </si>
  <si>
    <t>Intézményi egyéb felhalmozási célú kiadások</t>
  </si>
  <si>
    <t>FELHALMOZÁSI KIADÁSOK MINDÖSSZESEN:</t>
  </si>
  <si>
    <t>Közfeladat ellátási szerződés Veszprémi Labdarúgó és Sportszervező Kft-vel.</t>
  </si>
  <si>
    <t>módosítás- elszámolás szerinti visszatérítés Agóra VKK</t>
  </si>
  <si>
    <t>átcsoportosítás Magyar Hősök emlékünnep költségeire</t>
  </si>
  <si>
    <t>módosítás- vízbekötés saját teljesítmény</t>
  </si>
  <si>
    <t>módosítás- átcsoportosítás önkormányzati feladatról</t>
  </si>
  <si>
    <t>módosítás- KEHOP-1.2.1-18-2019-00247 Veszprém MJV klímastratégia kidolgozása és klímatudatosságot erősítő, szemléletformáló programok megvalósítása</t>
  </si>
  <si>
    <t>Veszprém belterületi közúthálózat fejlesztési céljainak és kapcsolódó tereinek megvalósítása (támogatás és önerő)</t>
  </si>
  <si>
    <t>Fénycső lámpák ledre cserélésének költségeire</t>
  </si>
  <si>
    <t>Nemzeti Szociálpolitikai Intézet - fejlesztő foglalkoztatás</t>
  </si>
  <si>
    <t>Mendelssohn Kamarazenekar - Auer Hegedűfesztivál</t>
  </si>
  <si>
    <t>módosítás- Településképi Arculati Kéziköny és Településképi rendelet módosítása</t>
  </si>
  <si>
    <t>Európa Kulturális Fővárosa  IX. ütem</t>
  </si>
  <si>
    <t>Ingatlanvásárlás és szálláshely kialakítása/Auer Ház</t>
  </si>
  <si>
    <t>IX. ütem összesen</t>
  </si>
  <si>
    <t>Európa Kulturális Fővárosa  X. ütem</t>
  </si>
  <si>
    <t>X. ütem összesen</t>
  </si>
  <si>
    <t>Dózsavárosi Könyvtár bővítésének, átalakításának és felújításának tervezése, engedélyeztetése</t>
  </si>
  <si>
    <t>módosítás- elszámolás</t>
  </si>
  <si>
    <t>VMJV Önkormányzata EKF 2023 cím viseléséhez kapcsolódó közösség- és szabadidős-, gyerekbarát-, illetve közbiztonsági funkciók megújításának előkészítésése és megvalósítása</t>
  </si>
  <si>
    <t>Átfogó infrafejlesztés</t>
  </si>
  <si>
    <t>Népmesék játszótér fejlesztése</t>
  </si>
  <si>
    <t>Séd völgy, tó faszerkezet felújítása</t>
  </si>
  <si>
    <t>Intézményi játszóeszközök felújítása</t>
  </si>
  <si>
    <t>Térfigyelő rendszer fejlesztése</t>
  </si>
  <si>
    <t>Karácsonyi köztéri dekoráció</t>
  </si>
  <si>
    <t>Európa Kulturális Fővárosa  XI. ütem</t>
  </si>
  <si>
    <t>XI. ütem összesen</t>
  </si>
  <si>
    <t>Európa Kulturális Fővárosa XI. ütem</t>
  </si>
  <si>
    <t>Auer Ház</t>
  </si>
  <si>
    <t>Jutas futókör</t>
  </si>
  <si>
    <t>Mártírok parkolóház</t>
  </si>
  <si>
    <t>Várkert</t>
  </si>
  <si>
    <t>XII. ütem összesen</t>
  </si>
  <si>
    <t>Európa Kulturális Fővárosa  XII. ütem</t>
  </si>
  <si>
    <t>Európa Kulturális Fővárosa XII. ütem</t>
  </si>
  <si>
    <t>módosítás- pályázati bevétel korrekció</t>
  </si>
  <si>
    <t>módosítás- elnyert pályázatok korrekciója</t>
  </si>
  <si>
    <t>Nagy Sándor szoborgyűjtemény</t>
  </si>
  <si>
    <t>Társadalombiztosítás Alapból származó támogatás (NEAK)</t>
  </si>
  <si>
    <t>2021. módosított 3.</t>
  </si>
  <si>
    <t>2021. módosított 4.</t>
  </si>
  <si>
    <t>Szociális ágazatban foglalkoztatottak egészségügyi kiegészítő pótléka</t>
  </si>
  <si>
    <t xml:space="preserve">Szociális ágazati összevont pótlék </t>
  </si>
  <si>
    <t>Települési önkormányzatok könyvtári célú érdekeltségnövelő támogatása</t>
  </si>
  <si>
    <t>Csolnoky Ferenc Kórház - felvonó felújításának támogatása</t>
  </si>
  <si>
    <r>
      <t xml:space="preserve">Tárgyi eszközök beszerzése </t>
    </r>
    <r>
      <rPr>
        <i/>
        <sz val="10"/>
        <rFont val="Palatino Linotype"/>
        <family val="1"/>
      </rPr>
      <t>(irodai szék, szőnyeg, párakapu, hangszerkészlet, minikonyha tűzhely, hűtőgép, alul fagyasztós hűtőgép, gőzállomásos vasaló, tornaszőnyegek, porszívó</t>
    </r>
    <r>
      <rPr>
        <sz val="10"/>
        <rFont val="Palatino Linotype"/>
        <family val="1"/>
      </rPr>
      <t>)</t>
    </r>
  </si>
  <si>
    <t>Tárgyi eszközök beszerzése (kávéfőző, kompresszor, létra, kerti faház)</t>
  </si>
  <si>
    <r>
      <t xml:space="preserve">Informatikai eszközök beszerzése </t>
    </r>
    <r>
      <rPr>
        <i/>
        <sz val="10"/>
        <rFont val="Palatino Linotype"/>
        <family val="1"/>
      </rPr>
      <t>(laptop, asztali számítógép, nyomtatók, mobiltelefonok, pentdrive-ok)</t>
    </r>
  </si>
  <si>
    <r>
      <t>Tárgyi eszközök beszerzésére</t>
    </r>
    <r>
      <rPr>
        <i/>
        <sz val="10"/>
        <rFont val="Palatino Linotype"/>
        <family val="1"/>
      </rPr>
      <t xml:space="preserve"> (ventilátorok, vasaló, napvitorlák, függönyök, udvari fapadok, hangszerkészlet, sőrpad garnítura, bluetooth hangszórók, vízlágyító berendezés, zuhanyzós csaptelep, gáztűzhely sütővel)</t>
    </r>
  </si>
  <si>
    <r>
      <t xml:space="preserve">Tárgyi eszközök beszerzése </t>
    </r>
    <r>
      <rPr>
        <i/>
        <sz val="10"/>
        <rFont val="Palatino Linotype"/>
        <family val="1"/>
      </rPr>
      <t>(kartotékszekrény, forgószékek, kerékpártároló, szakmai eszközök, telefon)</t>
    </r>
  </si>
  <si>
    <t>2021. január 1-től 1 fő</t>
  </si>
  <si>
    <t>Veszprém, Cserhát lakótelep 1. szám alatti orvosi rendelő korszerűsítése</t>
  </si>
  <si>
    <t>Zöld Busz Demonstárciós Mintaprojekt (elektromos buszok töltésére alkalmas nagyteljesítmény töltőállomás kivitelezése és kapcsolódó működési kiadások)</t>
  </si>
  <si>
    <t>Aprófalvi Bölcsőde (Veszprém, Lóczy Lajos u. 22. szám alatt) villámvédelmi rendszer kialakítása</t>
  </si>
  <si>
    <t>Vilonyai utca 4. szám alatti orvosi rendelő korszerűsítése</t>
  </si>
  <si>
    <t>I. sz. Török Ignác u. 10. Idősek Otthona - kazán csere</t>
  </si>
  <si>
    <t>U</t>
  </si>
  <si>
    <t>V</t>
  </si>
  <si>
    <t>15/A. melléklet a 7/2021. (II.25.) önkormányzati rendelethez</t>
  </si>
  <si>
    <t>Veszprém Megyei Jogú Város Önkormányzat 2019. évben megkötött hitelszerződésének le nem hívott rész beruházási hitelkerete feladatonként *</t>
  </si>
  <si>
    <t>Adósságot Keletkeztető Ügyletek fejlesztési célok szerinti besorolása</t>
  </si>
  <si>
    <t>Hitelmaradvány</t>
  </si>
  <si>
    <t>Környezetvédelemhez és természeti katasztrófák elhárításához kapcsolódó beruházási célok (szennyvízelvezetés és szennyvíztisztítás, csapadékvíz-elvezetés, hulladékkezelés, árvíz/belvíz elleni védekezés stb.)</t>
  </si>
  <si>
    <t>Vízrendezési feladatok, árkok felújítása</t>
  </si>
  <si>
    <t>Közoktatási célú beruházási célok (óvodák, iskolák, tornaterem, tanuszoda, egyéb köznevelési intézmények építése, felújítása stb.)</t>
  </si>
  <si>
    <t>TOP-6.2.1-15-VP1-2016-00002 Gyulafirátóti óvoda újjáépítése</t>
  </si>
  <si>
    <t>TOP-6.2.1-16-VP1-2018-00002 Egry úti óvoda újjáépítése</t>
  </si>
  <si>
    <t>Szociális, gyermekjóléti és gyermekvédelmi célok (bölcsődék, időskorúak ellátását, gyermekek és családok átmeneti gondozását szolgáló beruházások stb.)</t>
  </si>
  <si>
    <t>TOP-6.5.1-16-VPI-2018-00006 Módszertani Bölcsőde energetikai megújítása</t>
  </si>
  <si>
    <t>TOP-6.2.1-16-VP1-2018-00001 Módszertani Bölcsőde megújítása – eszközbeszerzés</t>
  </si>
  <si>
    <t>TOP-6.5.1 Aprófalvi Bölcsőde energetikai megújítása</t>
  </si>
  <si>
    <t>TOP-6.5.1 Völgyikút utca 2. szám alatti épület energetikai megújítása</t>
  </si>
  <si>
    <t>I. számú Török Ignác utcai idősek otthona kazán csere</t>
  </si>
  <si>
    <t>I. számú Török Ignác utcai idősek otthona lift építés</t>
  </si>
  <si>
    <t>Egészségügyi szolgáltatások fejlesztése (egészségházak, orvosi, gyermekorvosi, fogorvosi szakrendelők felújítása, eszközbeszerzések stb.)</t>
  </si>
  <si>
    <t>TOP - Vilonyai u. 2/B sz. gyermekorvosi rendelők felújítása</t>
  </si>
  <si>
    <t>TOP - Ördögárok u. 5. sz. gyermekorvosi rendelők felújítása</t>
  </si>
  <si>
    <t>TOP - Cserhát ltp.1.sz.alatti gyermekorvosi rendelők  felújítása</t>
  </si>
  <si>
    <t>Egyéb feladatokhoz kapcsolódó célok (közutak építése, felújítása, közbiztonság növelése, egyéb önkormányzati tulajdonú létesítmények felújítása, fejlesztése, város és település-rehabilitáció stb.)</t>
  </si>
  <si>
    <t>Petőfi Sándor utca rekonstrukciója III. ütem</t>
  </si>
  <si>
    <t>Török I. u. - Aulich L. u. összekötés</t>
  </si>
  <si>
    <t>Közvilágítás bővítések (tervezés, kivitelezés) 2011. évi CLXXXIX törvény</t>
  </si>
  <si>
    <t>82-es út közlekedésbiztonsági fejlesztése</t>
  </si>
  <si>
    <t>Járdaépítés</t>
  </si>
  <si>
    <t>Nagyfelületű út- és járdafelújítások</t>
  </si>
  <si>
    <t>Kertvárosi utcák felújítása víziközmű rekonstrukció után</t>
  </si>
  <si>
    <t>Polgármesteri Hivatal felújítási munkák</t>
  </si>
  <si>
    <t>* Magyarország gazdasági stabilitásáról szóló 2011. évi CXCIV. törvény szerint Kormányengedélyhez kötött, adósságot keletkeztető ügylet jóváhagyása megtörtént az önkormányzatok adósságot keletkeztető, valamint kezesség-, illetve garanciavállalásra vonatkozó ügyleteihez történő 2019. áprilisi előzetes kormányzati hozzájárulásról szóló 1356/2019. (VI.14.) Korm. határozatában.</t>
  </si>
  <si>
    <t>2021. évi módosított előirányzat 4.</t>
  </si>
  <si>
    <t>módosított előirányzat 4.</t>
  </si>
  <si>
    <t>14. melléklet a 2021. évi költségvetésről szóló 7/2021. (II. 25.) önkormányzati rendelet módosításáról szóló .../2021. (…….) önkormányzati rendelethez</t>
  </si>
  <si>
    <t xml:space="preserve">Veszprémi Kastélykert Körzeti Óvoda </t>
  </si>
  <si>
    <r>
      <t>Ficánka Tagóvoda -</t>
    </r>
    <r>
      <rPr>
        <sz val="11"/>
        <rFont val="Palatino Linotype"/>
        <family val="1"/>
      </rPr>
      <t xml:space="preserve"> gázkazánok cseréje</t>
    </r>
  </si>
  <si>
    <t>1. melléklet a 2021. évi költségvetésről szóló 7/2021. (II. 25.) önkormányzati rendelet módosításáról szóló 30/2021. (IX.30.) önkormányzati rendelethez</t>
  </si>
  <si>
    <t>1/A. melléklet a 2021. évi költségvetésről szóló 7/2021. (II. 25.) önkormányzati rendelet módosításáról szóló 30/2021. (IX.30.) önkormányzati rendelethez</t>
  </si>
  <si>
    <t>2. melléklet a 2021. évi költségvetésről szóló 7/2021. (II. 25.) önkormányzati rendelet módosításáról szóló 30/2021. (IX.30.) önkormányzati rendelethez</t>
  </si>
  <si>
    <t>3. melléklet a 2021. évi költségvetésről szóló 7/2021. (II. 25.) önkormányzati rendelet módosításáról szóló 30/2021. (IX.30.) önkormányzati rendelethez</t>
  </si>
  <si>
    <t>3/A. melléklet a 2021. évi költségvetésről szóló 7/2021. (II. 25.) önkormányzati rendelet módosításáról szóló 30/2021. (IX.30.) önkormányzati rendelethez</t>
  </si>
  <si>
    <t>4. melléklet a 2021. évi költségvetésről szóló 7/2021. (II. 25.) önkormányzati rendelet módosításáról szóló 30/2021. (IX.30.) önkormányzati rendelethez</t>
  </si>
  <si>
    <t>5. melléklet a 2021. évi költségvetésről szóló 7/2021. (II. 25.) önkormányzati rendelet módosításáról szóló 30/2021. (IX.30.) önkormányzati rendelethez</t>
  </si>
  <si>
    <t>6. melléklet a 2021. évi költségvetésről szóló 7/2021. (II. 25.) önkormányzati rendelet módosításáról szóló 30/2021. (IX.30.) önkormányzati rendelethez</t>
  </si>
  <si>
    <t>6/A. melléklet a 2021. évi költségvetésről szóló 7/2021. (II. 25.) önkormányzati rendelet módosításáról szóló 30/2021. (IX.30.) önkormányzati rendelethez</t>
  </si>
  <si>
    <t>7. melléklet a 2021. évi költségvetésről szóló 7/2021. (II. 25.) önkormányzati rendelet módosításáról szóló 30/2021. (IX.30.) önkormányzati rendelethez</t>
  </si>
  <si>
    <t>8. melléklet a 2021. évi költségvetésről szóló 7/2021. (II. 25.) önkormányzati rendelet módosításáról szóló 30/2021. (IX.30.) önkormányzati rendelethez</t>
  </si>
  <si>
    <t>9. melléklet a 2021. évi költségvetésről szóló 7/2021. (II. 25.) önkormányzati rendelet módosításáról szóló 30/2021. (IX.30.) önkormányzati rendelethez</t>
  </si>
  <si>
    <t>10. melléklet a 2021. évi költségvetésről szóló 7/2021. (II. 25.) önkormányzati rendelet módosításáról szóló 30/2021. (IX.30.) önkormányzati rendelethez</t>
  </si>
  <si>
    <t>11. melléklet a 2021. évi költségvetésről szóló 7/2021. (II. 25.) önkormányzati rendelet módosításáról szóló 30/2021. (IX.30.) önkormányzati rendelethez</t>
  </si>
  <si>
    <t>12. melléklet a 2021. évi költségvetésről szóló 7/2021. (II. 25.) önkormányzati rendelet módosításáról szóló 30/2021. (IX.30.) önkormányzati rendelethez</t>
  </si>
  <si>
    <t>13. melléklet a 2021. évi költségvetésről szóló 7/2021. (II. 25.) önkormányzati rendelet módosításáról szóló 30/2021. (IX.30.) önkormányzati rendelethez</t>
  </si>
  <si>
    <t>14/A melléklet a 2021. évi költségvetésről szóló 7/2021. (II. 25.) önkormányzati rendelet módosításáról szóló 30/2021. (IX.30.)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</si>
</sst>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0"/>
  </numFmts>
  <fonts count="99">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sz val="11"/>
      <name val="Arial CE"/>
      <family val="0"/>
    </font>
    <font>
      <b/>
      <u val="single"/>
      <sz val="10"/>
      <name val="Palatino Linotype"/>
      <family val="1"/>
    </font>
    <font>
      <b/>
      <u val="single"/>
      <sz val="11"/>
      <name val="Palatino Linotype"/>
      <family val="1"/>
    </font>
    <font>
      <u val="single"/>
      <sz val="11"/>
      <name val="Palatino Linotype"/>
      <family val="1"/>
    </font>
    <font>
      <sz val="9"/>
      <name val="Tahoma"/>
      <family val="2"/>
    </font>
    <font>
      <b/>
      <sz val="9"/>
      <name val="Tahoma"/>
      <family val="2"/>
    </font>
    <font>
      <b/>
      <u val="single"/>
      <sz val="12"/>
      <name val="Palatino Linotype"/>
      <family val="1"/>
    </font>
    <font>
      <u val="single"/>
      <sz val="10"/>
      <name val="Palatino Linotype"/>
      <family val="1"/>
    </font>
    <font>
      <sz val="11"/>
      <color indexed="10"/>
      <name val="Palatino Linotype"/>
      <family val="1"/>
    </font>
    <font>
      <b/>
      <sz val="10"/>
      <color indexed="16"/>
      <name val="Palatino Linotype"/>
      <family val="1"/>
    </font>
    <font>
      <b/>
      <i/>
      <sz val="10"/>
      <color indexed="16"/>
      <name val="Palatino Linotype"/>
      <family val="1"/>
    </font>
    <font>
      <b/>
      <sz val="10"/>
      <color indexed="16"/>
      <name val="Arial CE"/>
      <family val="0"/>
    </font>
    <font>
      <b/>
      <i/>
      <sz val="10"/>
      <color indexed="16"/>
      <name val="Arial CE"/>
      <family val="0"/>
    </font>
    <font>
      <b/>
      <sz val="11"/>
      <color indexed="16"/>
      <name val="Palatino Linotype"/>
      <family val="1"/>
    </font>
    <font>
      <sz val="11"/>
      <color indexed="16"/>
      <name val="Palatino Linotype"/>
      <family val="1"/>
    </font>
    <font>
      <b/>
      <i/>
      <sz val="11"/>
      <color indexed="16"/>
      <name val="Palatino Linotype"/>
      <family val="1"/>
    </font>
    <font>
      <b/>
      <sz val="9"/>
      <color indexed="16"/>
      <name val="Palatino Linotype"/>
      <family val="1"/>
    </font>
    <font>
      <sz val="10"/>
      <color indexed="16"/>
      <name val="Palatino Linotype"/>
      <family val="1"/>
    </font>
    <font>
      <i/>
      <sz val="10"/>
      <color indexed="16"/>
      <name val="Palatino Linotype"/>
      <family val="1"/>
    </font>
    <font>
      <i/>
      <u val="single"/>
      <sz val="11"/>
      <name val="Palatino Linotype"/>
      <family val="1"/>
    </font>
    <font>
      <b/>
      <i/>
      <u val="single"/>
      <sz val="11"/>
      <name val="Palatino Linotype"/>
      <family val="1"/>
    </font>
    <font>
      <b/>
      <sz val="10.5"/>
      <name val="Palatino Linotype"/>
      <family val="1"/>
    </font>
    <font>
      <sz val="10.5"/>
      <name val="Palatino Linotype"/>
      <family val="1"/>
    </font>
    <font>
      <b/>
      <i/>
      <u val="single"/>
      <sz val="10"/>
      <name val="Palatino Linotype"/>
      <family val="1"/>
    </font>
    <font>
      <i/>
      <sz val="11"/>
      <color indexed="16"/>
      <name val="Palatino Linotype"/>
      <family val="1"/>
    </font>
    <font>
      <b/>
      <sz val="11"/>
      <color indexed="8"/>
      <name val="Calibri"/>
      <family val="2"/>
    </font>
    <font>
      <sz val="10"/>
      <name val="Times New Roman"/>
      <family val="1"/>
    </font>
    <font>
      <sz val="11"/>
      <color indexed="8"/>
      <name val="Palatino Linotype"/>
      <family val="1"/>
    </font>
    <font>
      <b/>
      <sz val="11"/>
      <color indexed="8"/>
      <name val="Palatino Linotype"/>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theme="1"/>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rgb="FFFF0000"/>
      <name val="Palatino Linotype"/>
      <family val="1"/>
    </font>
    <font>
      <b/>
      <sz val="10"/>
      <color theme="5" tint="-0.4999699890613556"/>
      <name val="Palatino Linotype"/>
      <family val="1"/>
    </font>
    <font>
      <b/>
      <i/>
      <sz val="10"/>
      <color theme="5" tint="-0.4999699890613556"/>
      <name val="Palatino Linotype"/>
      <family val="1"/>
    </font>
    <font>
      <b/>
      <sz val="10"/>
      <color theme="5" tint="-0.4999699890613556"/>
      <name val="Arial CE"/>
      <family val="0"/>
    </font>
    <font>
      <b/>
      <i/>
      <sz val="10"/>
      <color theme="5" tint="-0.4999699890613556"/>
      <name val="Arial CE"/>
      <family val="0"/>
    </font>
    <font>
      <b/>
      <sz val="11"/>
      <color theme="5" tint="-0.4999699890613556"/>
      <name val="Palatino Linotype"/>
      <family val="1"/>
    </font>
    <font>
      <sz val="11"/>
      <color theme="5" tint="-0.4999699890613556"/>
      <name val="Palatino Linotype"/>
      <family val="1"/>
    </font>
    <font>
      <b/>
      <i/>
      <sz val="11"/>
      <color theme="5" tint="-0.4999699890613556"/>
      <name val="Palatino Linotype"/>
      <family val="1"/>
    </font>
    <font>
      <b/>
      <sz val="9"/>
      <color theme="5" tint="-0.4999699890613556"/>
      <name val="Palatino Linotype"/>
      <family val="1"/>
    </font>
    <font>
      <sz val="10"/>
      <color theme="5" tint="-0.4999699890613556"/>
      <name val="Palatino Linotype"/>
      <family val="1"/>
    </font>
    <font>
      <i/>
      <sz val="10"/>
      <color theme="5" tint="-0.4999699890613556"/>
      <name val="Palatino Linotype"/>
      <family val="1"/>
    </font>
    <font>
      <i/>
      <sz val="11"/>
      <color theme="5" tint="-0.4999699890613556"/>
      <name val="Palatino Linotype"/>
      <family val="1"/>
    </font>
    <font>
      <sz val="11"/>
      <color theme="1"/>
      <name val="Palatino Linotype"/>
      <family val="1"/>
    </font>
    <font>
      <b/>
      <sz val="11"/>
      <color theme="1"/>
      <name val="Palatino Linotype"/>
      <family val="1"/>
    </font>
    <font>
      <sz val="11"/>
      <color rgb="FF000000"/>
      <name val="Palatino Linotype"/>
      <family val="1"/>
    </font>
    <font>
      <b/>
      <sz val="8"/>
      <name val="Arial CE"/>
      <family val="2"/>
    </font>
  </fonts>
  <fills count="34">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2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medium"/>
    </border>
    <border>
      <left/>
      <right/>
      <top style="thin"/>
      <bottom style="thin"/>
    </border>
    <border>
      <left/>
      <right/>
      <top/>
      <bottom style="thin"/>
    </border>
    <border>
      <left/>
      <right/>
      <top style="medium"/>
      <bottom style="thin"/>
    </border>
    <border>
      <left style="medium"/>
      <right/>
      <top style="medium"/>
      <bottom style="medium"/>
    </border>
    <border>
      <left/>
      <right/>
      <top style="medium"/>
      <bottom style="medium"/>
    </border>
    <border>
      <left style="medium"/>
      <right style="hair"/>
      <top style="double"/>
      <bottom style="hair"/>
    </border>
    <border>
      <left style="hair"/>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top style="hair"/>
      <bottom style="hair"/>
    </border>
    <border>
      <left style="hair"/>
      <right style="hair"/>
      <top/>
      <bottom style="hair"/>
    </border>
    <border>
      <left style="hair"/>
      <right/>
      <top/>
      <bottom style="hair"/>
    </border>
    <border>
      <left style="medium"/>
      <right style="hair"/>
      <top/>
      <bottom style="hair"/>
    </border>
    <border>
      <left style="medium"/>
      <right style="hair"/>
      <top style="medium"/>
      <bottom style="medium"/>
    </border>
    <border>
      <left style="hair"/>
      <right style="medium"/>
      <top style="medium"/>
      <bottom style="medium"/>
    </border>
    <border>
      <left style="hair"/>
      <right style="medium"/>
      <top/>
      <bottom style="hair"/>
    </border>
    <border>
      <left/>
      <right/>
      <top style="thin"/>
      <bottom style="double"/>
    </border>
    <border>
      <left/>
      <right/>
      <top style="double"/>
      <bottom style="medium"/>
    </border>
    <border>
      <left/>
      <right/>
      <top style="thin"/>
      <bottom style="medium"/>
    </border>
    <border>
      <left style="double"/>
      <right style="double"/>
      <top style="medium"/>
      <bottom style="medium"/>
    </border>
    <border>
      <left style="double"/>
      <right style="double"/>
      <top style="hair"/>
      <bottom style="hair"/>
    </border>
    <border>
      <left style="thin"/>
      <right style="thin"/>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hair"/>
      <right style="medium"/>
      <top style="hair"/>
      <bottom/>
    </border>
    <border>
      <left style="hair"/>
      <right style="medium"/>
      <top/>
      <bottom/>
    </border>
    <border>
      <left style="medium"/>
      <right style="hair"/>
      <top/>
      <bottom/>
    </border>
    <border>
      <left style="hair"/>
      <right style="medium"/>
      <top style="double"/>
      <bottom style="medium"/>
    </border>
    <border>
      <left style="double"/>
      <right style="hair"/>
      <top style="hair"/>
      <bottom style="hair"/>
    </border>
    <border>
      <left style="double"/>
      <right style="hair"/>
      <top style="medium"/>
      <bottom style="hair"/>
    </border>
    <border>
      <left style="thin"/>
      <right style="thin"/>
      <top style="thin"/>
      <bottom style="medium"/>
    </border>
    <border>
      <left style="double"/>
      <right style="thin"/>
      <top style="thin"/>
      <bottom style="medium"/>
    </border>
    <border>
      <left style="medium"/>
      <right/>
      <top style="medium"/>
      <bottom style="thin"/>
    </border>
    <border>
      <left style="medium"/>
      <right/>
      <top style="thin"/>
      <bottom style="thin"/>
    </border>
    <border>
      <left style="medium"/>
      <right/>
      <top style="thin"/>
      <bottom style="double"/>
    </border>
    <border>
      <left style="medium"/>
      <right/>
      <top style="double"/>
      <bottom style="medium"/>
    </border>
    <border>
      <left style="medium"/>
      <right/>
      <top style="thin"/>
      <bottom style="medium"/>
    </border>
    <border>
      <left style="medium"/>
      <right style="thin"/>
      <top style="medium"/>
      <bottom style="medium"/>
    </border>
    <border>
      <left style="thin"/>
      <right/>
      <top style="medium"/>
      <bottom style="medium"/>
    </border>
    <border>
      <left/>
      <right/>
      <top/>
      <bottom style="medium"/>
    </border>
    <border>
      <left style="thin"/>
      <right style="double"/>
      <top style="medium"/>
      <bottom style="medium"/>
    </border>
    <border>
      <left style="hair"/>
      <right style="hair"/>
      <top style="medium"/>
      <bottom style="medium"/>
    </border>
    <border>
      <left style="double"/>
      <right style="hair"/>
      <top/>
      <bottom style="hair"/>
    </border>
    <border>
      <left style="medium"/>
      <right style="hair"/>
      <top style="hair"/>
      <bottom/>
    </border>
    <border>
      <left style="hair"/>
      <right/>
      <top style="medium"/>
      <bottom style="hair"/>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thin"/>
      <right style="medium"/>
      <top style="thin"/>
      <bottom style="thin"/>
    </border>
    <border>
      <left style="thin"/>
      <right style="medium"/>
      <top/>
      <bottom/>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medium"/>
      <right/>
      <top/>
      <bottom style="medium"/>
    </border>
    <border>
      <left style="double"/>
      <right/>
      <top/>
      <bottom style="medium"/>
    </border>
    <border>
      <left style="thin"/>
      <right/>
      <top style="thin"/>
      <bottom style="double"/>
    </border>
    <border>
      <left style="thin"/>
      <right style="double"/>
      <top style="double"/>
      <bottom style="double"/>
    </border>
    <border>
      <left style="thin"/>
      <right/>
      <top style="double"/>
      <bottom/>
    </border>
    <border>
      <left style="thin"/>
      <right/>
      <top/>
      <bottom style="thin"/>
    </border>
    <border>
      <left style="thin"/>
      <right/>
      <top/>
      <bottom style="medium"/>
    </border>
    <border>
      <left style="thin"/>
      <right style="medium"/>
      <top/>
      <bottom style="double"/>
    </border>
    <border>
      <left style="thin"/>
      <right style="medium"/>
      <top/>
      <bottom style="thin"/>
    </border>
    <border>
      <left style="thin"/>
      <right style="medium"/>
      <top/>
      <bottom style="medium"/>
    </border>
    <border>
      <left/>
      <right/>
      <top style="medium"/>
      <bottom/>
    </border>
    <border>
      <left/>
      <right style="hair"/>
      <top/>
      <bottom style="hair"/>
    </border>
    <border>
      <left/>
      <right style="double"/>
      <top style="thin"/>
      <bottom style="thin"/>
    </border>
    <border>
      <left style="double"/>
      <right style="hair"/>
      <top style="double"/>
      <bottom style="hair"/>
    </border>
    <border>
      <left style="medium"/>
      <right/>
      <top style="hair"/>
      <bottom style="hair"/>
    </border>
    <border>
      <left style="double"/>
      <right style="double"/>
      <top/>
      <bottom/>
    </border>
    <border>
      <left/>
      <right style="hair"/>
      <top style="hair"/>
      <bottom style="hair"/>
    </border>
    <border>
      <left/>
      <right/>
      <top/>
      <bottom style="hair"/>
    </border>
    <border>
      <left/>
      <right style="hair"/>
      <top style="medium"/>
      <bottom style="hair"/>
    </border>
    <border>
      <left style="hair"/>
      <right style="hair"/>
      <top/>
      <bottom style="medium"/>
    </border>
    <border>
      <left style="medium"/>
      <right/>
      <top/>
      <bottom style="hair"/>
    </border>
    <border>
      <left style="hair"/>
      <right/>
      <top style="medium"/>
      <bottom style="double"/>
    </border>
    <border>
      <left style="hair"/>
      <right style="hair"/>
      <top/>
      <bottom/>
    </border>
    <border>
      <left style="hair"/>
      <right style="hair"/>
      <top style="double"/>
      <bottom style="medium"/>
    </border>
    <border>
      <left style="hair"/>
      <right style="medium"/>
      <top style="double"/>
      <bottom style="hair"/>
    </border>
    <border>
      <left style="hair"/>
      <right/>
      <top style="double"/>
      <bottom style="hair"/>
    </border>
    <border>
      <left/>
      <right style="hair"/>
      <top style="double"/>
      <bottom style="hair"/>
    </border>
    <border>
      <left style="double"/>
      <right style="medium"/>
      <top/>
      <bottom style="hair"/>
    </border>
    <border>
      <left style="double"/>
      <right style="medium"/>
      <top style="hair"/>
      <bottom style="hair"/>
    </border>
    <border>
      <left style="hair"/>
      <right style="double"/>
      <top style="medium"/>
      <bottom style="hair"/>
    </border>
    <border>
      <left style="hair"/>
      <right style="double"/>
      <top style="hair"/>
      <bottom style="hair"/>
    </border>
    <border>
      <left style="hair"/>
      <right style="double"/>
      <top style="medium"/>
      <bottom/>
    </border>
    <border>
      <left/>
      <right/>
      <top style="hair"/>
      <bottom style="hair"/>
    </border>
    <border>
      <left style="hair"/>
      <right style="hair"/>
      <top style="medium"/>
      <bottom/>
    </border>
    <border>
      <left/>
      <right style="hair"/>
      <top style="hair"/>
      <bottom/>
    </border>
    <border>
      <left/>
      <right/>
      <top style="hair"/>
      <bottom/>
    </border>
    <border>
      <left style="hair"/>
      <right style="hair"/>
      <top style="hair"/>
      <bottom style="double"/>
    </border>
    <border>
      <left style="medium"/>
      <right style="hair"/>
      <top style="hair"/>
      <bottom style="medium"/>
    </border>
    <border>
      <left style="hair"/>
      <right style="hair"/>
      <top style="hair"/>
      <bottom style="medium"/>
    </border>
    <border>
      <left style="hair"/>
      <right/>
      <top style="hair"/>
      <bottom/>
    </border>
    <border>
      <left/>
      <right style="hair"/>
      <top style="medium"/>
      <bottom style="medium"/>
    </border>
    <border>
      <left style="hair"/>
      <right/>
      <top/>
      <bottom style="medium"/>
    </border>
    <border>
      <left style="double"/>
      <right style="hair"/>
      <top style="hair"/>
      <bottom/>
    </border>
    <border>
      <left style="hair"/>
      <right style="double"/>
      <top style="double"/>
      <bottom style="hair"/>
    </border>
    <border>
      <left style="hair"/>
      <right/>
      <top style="double"/>
      <bottom style="medium"/>
    </border>
    <border>
      <left style="hair"/>
      <right/>
      <top style="medium"/>
      <bottom style="medium"/>
    </border>
    <border>
      <left/>
      <right style="medium"/>
      <top/>
      <bottom style="medium"/>
    </border>
    <border>
      <left/>
      <right style="hair"/>
      <top style="medium"/>
      <bottom/>
    </border>
    <border>
      <left style="hair"/>
      <right style="double"/>
      <top/>
      <bottom style="hair"/>
    </border>
    <border>
      <left style="double"/>
      <right style="medium"/>
      <top style="hair"/>
      <bottom/>
    </border>
    <border>
      <left style="hair"/>
      <right style="double"/>
      <top style="hair"/>
      <bottom/>
    </border>
    <border>
      <left/>
      <right style="medium"/>
      <top/>
      <bottom/>
    </border>
    <border>
      <left style="double"/>
      <right style="double"/>
      <top style="medium"/>
      <bottom/>
    </border>
    <border>
      <left/>
      <right style="hair"/>
      <top/>
      <bottom/>
    </border>
    <border>
      <left style="double"/>
      <right style="hair"/>
      <top style="medium"/>
      <bottom/>
    </border>
    <border>
      <left style="hair"/>
      <right style="medium"/>
      <top style="medium"/>
      <bottom/>
    </border>
    <border>
      <left style="hair"/>
      <right style="double"/>
      <top/>
      <bottom/>
    </border>
    <border>
      <left style="double"/>
      <right style="hair"/>
      <top/>
      <bottom/>
    </border>
    <border>
      <left style="double"/>
      <right style="hair"/>
      <top style="medium"/>
      <bottom style="medium"/>
    </border>
    <border>
      <left style="double"/>
      <right style="hair"/>
      <top style="hair"/>
      <bottom style="medium"/>
    </border>
    <border>
      <left style="medium"/>
      <right/>
      <top style="hair"/>
      <bottom/>
    </border>
    <border>
      <left style="double"/>
      <right style="double"/>
      <top style="hair"/>
      <bottom/>
    </border>
    <border>
      <left/>
      <right style="medium"/>
      <top style="hair"/>
      <bottom style="hair"/>
    </border>
    <border>
      <left/>
      <right style="medium"/>
      <top style="hair"/>
      <bottom/>
    </border>
    <border>
      <left/>
      <right style="medium"/>
      <top/>
      <bottom style="hair"/>
    </border>
    <border>
      <left style="double"/>
      <right/>
      <top style="medium"/>
      <bottom style="medium"/>
    </border>
    <border>
      <left style="double"/>
      <right/>
      <top style="double"/>
      <bottom style="medium"/>
    </border>
    <border>
      <left style="double"/>
      <right/>
      <top style="thin"/>
      <bottom style="medium"/>
    </border>
    <border>
      <left style="thin"/>
      <right style="medium"/>
      <top style="medium"/>
      <bottom style="medium"/>
    </border>
    <border>
      <left/>
      <right style="medium"/>
      <top style="medium"/>
      <bottom style="thin"/>
    </border>
    <border>
      <left/>
      <right style="medium"/>
      <top style="thin"/>
      <bottom style="thin"/>
    </border>
    <border>
      <left/>
      <right style="medium"/>
      <top style="medium"/>
      <bottom style="medium"/>
    </border>
    <border>
      <left style="hair"/>
      <right/>
      <top/>
      <bottom/>
    </border>
    <border>
      <left style="hair"/>
      <right style="hair"/>
      <top/>
      <bottom style="double"/>
    </border>
    <border>
      <left/>
      <right/>
      <top/>
      <bottom style="double"/>
    </border>
    <border>
      <left/>
      <right style="hair"/>
      <top style="hair"/>
      <bottom style="medium"/>
    </border>
    <border>
      <left/>
      <right style="hair"/>
      <top/>
      <bottom style="double"/>
    </border>
    <border>
      <left style="hair"/>
      <right style="medium"/>
      <top style="hair"/>
      <bottom style="double"/>
    </border>
    <border>
      <left style="medium"/>
      <right/>
      <top style="hair"/>
      <bottom style="medium"/>
    </border>
    <border>
      <left style="hair"/>
      <right style="medium"/>
      <top style="hair"/>
      <bottom style="medium"/>
    </border>
    <border>
      <left/>
      <right style="medium"/>
      <top style="double"/>
      <bottom style="medium"/>
    </border>
    <border>
      <left style="double"/>
      <right style="hair"/>
      <top style="double"/>
      <bottom style="medium"/>
    </border>
    <border>
      <left style="hair"/>
      <right/>
      <top/>
      <bottom style="double"/>
    </border>
    <border>
      <left style="double"/>
      <right style="hair"/>
      <top style="hair"/>
      <bottom style="double"/>
    </border>
    <border>
      <left style="hair"/>
      <right style="medium"/>
      <top/>
      <bottom style="double"/>
    </border>
    <border>
      <left style="medium"/>
      <right style="hair"/>
      <top style="double"/>
      <bottom/>
    </border>
    <border>
      <left style="hair"/>
      <right style="hair"/>
      <top style="double"/>
      <bottom/>
    </border>
    <border>
      <left style="double"/>
      <right style="hair"/>
      <top style="double"/>
      <bottom/>
    </border>
    <border>
      <left/>
      <right style="hair"/>
      <top style="double"/>
      <bottom/>
    </border>
    <border>
      <left style="medium"/>
      <right style="hair"/>
      <top style="hair"/>
      <bottom style="double"/>
    </border>
    <border>
      <left/>
      <right style="medium"/>
      <top style="double"/>
      <bottom/>
    </border>
    <border>
      <left/>
      <right style="hair"/>
      <top style="hair"/>
      <bottom style="double"/>
    </border>
    <border>
      <left style="double"/>
      <right/>
      <top style="hair"/>
      <bottom style="hair"/>
    </border>
    <border>
      <left style="double"/>
      <right style="medium"/>
      <top/>
      <bottom/>
    </border>
    <border>
      <left/>
      <right/>
      <top style="hair"/>
      <bottom style="medium"/>
    </border>
    <border>
      <left style="double"/>
      <right/>
      <top style="hair"/>
      <bottom style="medium"/>
    </border>
    <border>
      <left style="double"/>
      <right style="medium"/>
      <top style="hair"/>
      <bottom style="medium"/>
    </border>
    <border>
      <left/>
      <right style="double"/>
      <top style="hair"/>
      <bottom/>
    </border>
    <border>
      <left/>
      <right style="double"/>
      <top/>
      <bottom/>
    </border>
    <border>
      <left/>
      <right style="double"/>
      <top style="hair"/>
      <bottom style="hair"/>
    </border>
    <border>
      <left style="hair"/>
      <right style="double"/>
      <top style="hair"/>
      <bottom style="medium"/>
    </border>
    <border>
      <left/>
      <right style="medium"/>
      <top style="hair"/>
      <bottom style="medium"/>
    </border>
    <border>
      <left style="double"/>
      <right style="hair"/>
      <top/>
      <bottom style="double"/>
    </border>
    <border>
      <left style="double"/>
      <right style="medium"/>
      <top/>
      <bottom style="double"/>
    </border>
    <border>
      <left style="double"/>
      <right style="medium"/>
      <top style="double"/>
      <bottom/>
    </border>
    <border>
      <left style="double"/>
      <right style="medium"/>
      <top style="hair"/>
      <bottom style="double"/>
    </border>
    <border>
      <left/>
      <right style="medium"/>
      <top style="hair"/>
      <bottom style="double"/>
    </border>
    <border>
      <left style="hair"/>
      <right style="double"/>
      <top style="hair"/>
      <bottom style="double"/>
    </border>
    <border>
      <left style="hair"/>
      <right style="double"/>
      <top style="double"/>
      <bottom/>
    </border>
    <border>
      <left style="double"/>
      <right style="medium"/>
      <top style="double"/>
      <bottom style="hair"/>
    </border>
    <border>
      <left style="double"/>
      <right style="medium"/>
      <top style="medium"/>
      <bottom style="hair"/>
    </border>
    <border>
      <left style="thin"/>
      <right/>
      <top style="double"/>
      <bottom style="double"/>
    </border>
    <border>
      <left style="thin"/>
      <right style="double"/>
      <top style="medium"/>
      <bottom style="thin"/>
    </border>
    <border>
      <left style="thin"/>
      <right style="double"/>
      <top/>
      <bottom/>
    </border>
    <border>
      <left style="thin"/>
      <right style="double"/>
      <top style="thin"/>
      <bottom style="thin"/>
    </border>
    <border>
      <left style="thin"/>
      <right style="double"/>
      <top style="thin"/>
      <bottom style="double"/>
    </border>
    <border>
      <left style="thin"/>
      <right style="double"/>
      <top style="double"/>
      <bottom/>
    </border>
    <border>
      <left style="thin"/>
      <right style="double"/>
      <top/>
      <bottom style="thin"/>
    </border>
    <border>
      <left style="thin"/>
      <right style="double"/>
      <top/>
      <bottom style="medium"/>
    </border>
    <border>
      <left style="thin"/>
      <right/>
      <top/>
      <bottom style="double"/>
    </border>
    <border>
      <left style="medium"/>
      <right style="hair"/>
      <top/>
      <bottom style="medium"/>
    </border>
    <border>
      <left style="hair"/>
      <right/>
      <top style="hair"/>
      <bottom style="double"/>
    </border>
    <border>
      <left style="hair"/>
      <right/>
      <top style="double"/>
      <bottom/>
    </border>
    <border>
      <left/>
      <right/>
      <top style="hair"/>
      <bottom style="double"/>
    </border>
    <border>
      <left/>
      <right style="medium"/>
      <top style="thin"/>
      <bottom style="double"/>
    </border>
    <border>
      <left/>
      <right style="medium"/>
      <top style="thin"/>
      <bottom style="medium"/>
    </border>
    <border>
      <left/>
      <right/>
      <top style="medium"/>
      <bottom style="hair"/>
    </border>
    <border>
      <left style="hair"/>
      <right/>
      <top style="hair"/>
      <bottom style="medium"/>
    </border>
    <border>
      <left style="thin"/>
      <right style="medium"/>
      <top style="medium"/>
      <bottom/>
    </border>
    <border>
      <left style="double"/>
      <right style="hair"/>
      <top/>
      <bottom style="medium"/>
    </border>
    <border>
      <left/>
      <right style="double"/>
      <top style="hair"/>
      <bottom style="double"/>
    </border>
    <border>
      <left/>
      <right style="medium"/>
      <top style="medium"/>
      <bottom style="hair"/>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style="double"/>
    </border>
    <border>
      <left/>
      <right style="medium"/>
      <top/>
      <bottom style="double"/>
    </border>
    <border>
      <left style="medium"/>
      <right/>
      <top style="medium"/>
      <bottom/>
    </border>
    <border>
      <left/>
      <right style="medium"/>
      <top style="medium"/>
      <bottom/>
    </border>
    <border>
      <left style="hair"/>
      <right style="double"/>
      <top/>
      <bottom style="medium"/>
    </border>
    <border>
      <left/>
      <right style="hair"/>
      <top/>
      <bottom style="medium"/>
    </border>
    <border>
      <left/>
      <right style="double"/>
      <top/>
      <bottom style="hair"/>
    </border>
    <border>
      <left/>
      <right style="double"/>
      <top/>
      <bottom style="double"/>
    </border>
    <border>
      <left/>
      <right/>
      <top style="double"/>
      <bottom style="hair"/>
    </border>
    <border>
      <left/>
      <right style="double"/>
      <top style="hair"/>
      <bottom style="medium"/>
    </border>
    <border>
      <left style="medium"/>
      <right style="medium"/>
      <top/>
      <bottom/>
    </border>
    <border>
      <left style="hair"/>
      <right style="medium"/>
      <top/>
      <bottom style="medium"/>
    </border>
    <border>
      <left style="medium"/>
      <right/>
      <top style="medium"/>
      <bottom style="hair"/>
    </border>
    <border>
      <left style="thin"/>
      <right style="thin"/>
      <top/>
      <bottom style="medium"/>
    </border>
    <border>
      <left style="medium"/>
      <right style="thin"/>
      <top style="medium"/>
      <bottom/>
    </border>
    <border>
      <left style="medium"/>
      <right style="thin"/>
      <top/>
      <bottom style="medium"/>
    </border>
    <border>
      <left style="thin"/>
      <right style="thin"/>
      <top style="medium"/>
      <bottom/>
    </border>
    <border>
      <left style="medium"/>
      <right style="medium"/>
      <top style="medium"/>
      <bottom/>
    </border>
    <border>
      <left style="thin"/>
      <right/>
      <top style="medium"/>
      <bottom/>
    </border>
    <border>
      <left/>
      <right style="hair"/>
      <top style="double"/>
      <bottom style="medium"/>
    </border>
    <border>
      <left/>
      <right style="thin"/>
      <top style="medium"/>
      <bottom/>
    </border>
    <border>
      <left/>
      <right style="thin"/>
      <top/>
      <bottom style="medium"/>
    </border>
    <border>
      <left style="thin"/>
      <right style="double"/>
      <top style="medium"/>
      <bottom/>
    </border>
    <border>
      <left style="double"/>
      <right style="medium"/>
      <top style="medium"/>
      <bottom/>
    </border>
    <border>
      <left style="double"/>
      <right style="medium"/>
      <top/>
      <bottom style="medium"/>
    </border>
    <border>
      <left style="double"/>
      <right/>
      <top style="medium"/>
      <bottom/>
    </border>
    <border>
      <left style="thin"/>
      <right style="thin"/>
      <top style="medium"/>
      <bottom style="dotted"/>
    </border>
    <border>
      <left style="thin"/>
      <right style="thin"/>
      <top style="dotted"/>
      <bottom style="medium"/>
    </border>
    <border>
      <left style="thin"/>
      <right style="thin"/>
      <top style="medium"/>
      <bottom style="hair"/>
    </border>
    <border>
      <left style="thin"/>
      <right style="medium"/>
      <top style="medium"/>
      <bottom style="hair"/>
    </border>
    <border>
      <left style="medium"/>
      <right style="thin"/>
      <top style="medium"/>
      <bottom style="dotted"/>
    </border>
    <border>
      <left style="medium"/>
      <right style="thin"/>
      <top style="dotted"/>
      <bottom style="medium"/>
    </border>
    <border>
      <left style="thin"/>
      <right style="double"/>
      <top style="medium"/>
      <bottom style="dotted"/>
    </border>
    <border>
      <left style="thin"/>
      <right style="double"/>
      <top style="dotted"/>
      <bottom style="medium"/>
    </border>
    <border>
      <left/>
      <right style="double"/>
      <top style="double"/>
      <bottom/>
    </border>
    <border>
      <left/>
      <right style="double"/>
      <top style="double"/>
      <bottom style="hair"/>
    </border>
    <border>
      <left style="medium"/>
      <right style="hair"/>
      <top style="medium"/>
      <bottom style="dotted"/>
    </border>
    <border>
      <left style="medium"/>
      <right style="hair"/>
      <top style="dotted"/>
      <bottom style="double"/>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border>
    <border>
      <left/>
      <right style="double"/>
      <top/>
      <bottom style="thin"/>
    </border>
    <border>
      <left/>
      <right style="double"/>
      <top style="thin"/>
      <bottom style="medium"/>
    </border>
    <border>
      <left style="double"/>
      <right style="thin"/>
      <top style="medium"/>
      <bottom style="thin"/>
    </border>
    <border>
      <left style="double"/>
      <right style="thin"/>
      <top style="thin"/>
      <bottom style="thin"/>
    </border>
    <border>
      <left style="thin"/>
      <right/>
      <top style="thin"/>
      <bottom style="medium"/>
    </border>
    <border>
      <left/>
      <right style="double"/>
      <top style="medium"/>
      <bottom/>
    </border>
    <border>
      <left/>
      <right style="double"/>
      <top style="medium"/>
      <bottom style="hair"/>
    </border>
    <border>
      <left/>
      <right style="thin"/>
      <top style="thin"/>
      <bottom/>
    </border>
    <border>
      <left style="thin"/>
      <right style="thin"/>
      <top style="thin"/>
      <bottom/>
    </border>
    <border>
      <left style="thin"/>
      <right/>
      <top style="thin"/>
      <bottom/>
    </border>
    <border>
      <left style="medium"/>
      <right style="medium"/>
      <top style="thin"/>
      <bottom/>
    </border>
    <border>
      <left style="thin"/>
      <right style="medium"/>
      <top style="thin"/>
      <bottom style="medium"/>
    </border>
    <border>
      <left/>
      <right style="thin"/>
      <top style="thin"/>
      <bottom style="thin"/>
    </border>
    <border>
      <left/>
      <right style="thin"/>
      <top style="thin"/>
      <bottom style="medium"/>
    </border>
    <border>
      <left style="thin"/>
      <right style="double"/>
      <top style="thin"/>
      <bottom style="medium"/>
    </border>
    <border>
      <left style="medium"/>
      <right style="thin"/>
      <top/>
      <bottom/>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8" fillId="26" borderId="1" applyNumberFormat="0" applyAlignment="0" applyProtection="0"/>
    <xf numFmtId="0" fontId="69" fillId="0" borderId="0" applyNumberFormat="0" applyFill="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73"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0" fillId="28" borderId="7" applyNumberFormat="0" applyFont="0" applyAlignment="0" applyProtection="0"/>
    <xf numFmtId="0" fontId="76" fillId="29" borderId="0" applyNumberFormat="0" applyBorder="0" applyAlignment="0" applyProtection="0"/>
    <xf numFmtId="0" fontId="77" fillId="30" borderId="8" applyNumberFormat="0" applyAlignment="0" applyProtection="0"/>
    <xf numFmtId="0" fontId="78" fillId="0" borderId="0" applyNumberFormat="0" applyFill="0" applyBorder="0" applyAlignment="0" applyProtection="0"/>
    <xf numFmtId="0" fontId="67" fillId="0" borderId="0">
      <alignment/>
      <protection/>
    </xf>
    <xf numFmtId="0" fontId="3"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7" fillId="0" borderId="0">
      <alignment/>
      <protection/>
    </xf>
    <xf numFmtId="0" fontId="8" fillId="0" borderId="0">
      <alignment/>
      <protection/>
    </xf>
    <xf numFmtId="0" fontId="8"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48"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81" fillId="32" borderId="0" applyNumberFormat="0" applyBorder="0" applyAlignment="0" applyProtection="0"/>
    <xf numFmtId="0" fontId="82"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2391">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119" applyNumberFormat="1" applyFont="1" applyFill="1" applyAlignment="1">
      <alignment horizontal="center"/>
      <protection/>
    </xf>
    <xf numFmtId="3" fontId="2" fillId="0" borderId="0" xfId="119" applyNumberFormat="1" applyFont="1" applyFill="1">
      <alignment/>
      <protection/>
    </xf>
    <xf numFmtId="3" fontId="4" fillId="0" borderId="0" xfId="119" applyNumberFormat="1" applyFont="1" applyFill="1">
      <alignment/>
      <protection/>
    </xf>
    <xf numFmtId="3" fontId="2" fillId="0" borderId="0" xfId="119" applyNumberFormat="1" applyFont="1" applyFill="1" applyAlignment="1">
      <alignment vertical="center"/>
      <protection/>
    </xf>
    <xf numFmtId="3" fontId="2" fillId="0" borderId="0" xfId="119" applyNumberFormat="1" applyFont="1" applyFill="1" applyAlignment="1">
      <alignment horizontal="center" vertical="top"/>
      <protection/>
    </xf>
    <xf numFmtId="3" fontId="2" fillId="0" borderId="0" xfId="119" applyNumberFormat="1" applyFont="1" applyFill="1" applyAlignment="1">
      <alignment horizontal="center" vertical="center"/>
      <protection/>
    </xf>
    <xf numFmtId="3" fontId="5" fillId="0" borderId="0" xfId="119"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119" applyNumberFormat="1" applyFont="1" applyFill="1" applyBorder="1" applyAlignment="1">
      <alignment vertical="top" wrapText="1"/>
      <protection/>
    </xf>
    <xf numFmtId="3" fontId="2" fillId="0" borderId="0" xfId="119" applyNumberFormat="1" applyFont="1" applyFill="1" applyBorder="1" applyAlignment="1">
      <alignment horizontal="center"/>
      <protection/>
    </xf>
    <xf numFmtId="3" fontId="4" fillId="0" borderId="0" xfId="119" applyNumberFormat="1" applyFont="1" applyFill="1" applyBorder="1">
      <alignment/>
      <protection/>
    </xf>
    <xf numFmtId="3" fontId="4" fillId="0" borderId="0" xfId="119" applyNumberFormat="1" applyFont="1" applyFill="1" applyBorder="1" applyAlignment="1">
      <alignment vertical="top" wrapText="1"/>
      <protection/>
    </xf>
    <xf numFmtId="3" fontId="4" fillId="0" borderId="0" xfId="119" applyNumberFormat="1" applyFont="1" applyFill="1" applyBorder="1" applyAlignment="1">
      <alignment horizontal="center"/>
      <protection/>
    </xf>
    <xf numFmtId="3" fontId="2" fillId="0" borderId="0" xfId="119" applyNumberFormat="1" applyFont="1" applyFill="1" applyAlignment="1">
      <alignment vertical="top" wrapText="1"/>
      <protection/>
    </xf>
    <xf numFmtId="3" fontId="2" fillId="0" borderId="0" xfId="119" applyNumberFormat="1" applyFont="1" applyFill="1" applyBorder="1" applyAlignment="1">
      <alignment horizontal="center" vertical="top" wrapText="1"/>
      <protection/>
    </xf>
    <xf numFmtId="3" fontId="4" fillId="0" borderId="0" xfId="119" applyNumberFormat="1" applyFont="1" applyFill="1" applyAlignment="1">
      <alignment vertical="top" wrapText="1"/>
      <protection/>
    </xf>
    <xf numFmtId="0" fontId="2" fillId="0" borderId="0" xfId="0" applyFont="1" applyFill="1" applyAlignment="1">
      <alignment vertical="center"/>
    </xf>
    <xf numFmtId="0" fontId="2" fillId="0" borderId="10" xfId="0" applyFont="1" applyFill="1" applyBorder="1" applyAlignment="1">
      <alignment horizontal="center" vertical="center"/>
    </xf>
    <xf numFmtId="0" fontId="4" fillId="0" borderId="0" xfId="0" applyFont="1" applyFill="1" applyAlignment="1">
      <alignment vertical="center"/>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11"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1" xfId="118" applyNumberFormat="1" applyFont="1" applyFill="1" applyBorder="1" applyAlignment="1">
      <alignment horizontal="center" vertical="center" wrapText="1"/>
      <protection/>
    </xf>
    <xf numFmtId="3" fontId="4" fillId="0" borderId="0" xfId="118"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2" xfId="0" applyNumberFormat="1" applyFont="1" applyFill="1" applyBorder="1" applyAlignment="1">
      <alignment vertical="center"/>
    </xf>
    <xf numFmtId="3" fontId="2" fillId="0" borderId="13" xfId="0" applyNumberFormat="1" applyFont="1" applyFill="1" applyBorder="1" applyAlignment="1">
      <alignment/>
    </xf>
    <xf numFmtId="3" fontId="2" fillId="0" borderId="0" xfId="0" applyNumberFormat="1" applyFont="1" applyFill="1" applyAlignment="1">
      <alignment/>
    </xf>
    <xf numFmtId="3" fontId="2" fillId="0" borderId="0" xfId="118" applyNumberFormat="1" applyFont="1" applyFill="1">
      <alignment/>
      <protection/>
    </xf>
    <xf numFmtId="3" fontId="2" fillId="0" borderId="0" xfId="118" applyNumberFormat="1" applyFont="1" applyFill="1" applyAlignment="1">
      <alignment horizontal="right"/>
      <protection/>
    </xf>
    <xf numFmtId="3" fontId="2" fillId="0" borderId="0" xfId="118" applyNumberFormat="1" applyFont="1" applyFill="1" applyAlignment="1">
      <alignment/>
      <protection/>
    </xf>
    <xf numFmtId="3" fontId="2" fillId="0" borderId="0" xfId="118" applyNumberFormat="1" applyFont="1" applyFill="1" applyAlignment="1">
      <alignment vertical="center"/>
      <protection/>
    </xf>
    <xf numFmtId="3" fontId="2" fillId="0" borderId="0" xfId="118" applyNumberFormat="1" applyFont="1" applyFill="1" applyAlignment="1">
      <alignment horizontal="center" vertical="center"/>
      <protection/>
    </xf>
    <xf numFmtId="3" fontId="4" fillId="0" borderId="14" xfId="118" applyNumberFormat="1" applyFont="1" applyFill="1" applyBorder="1" applyAlignment="1">
      <alignment horizontal="center"/>
      <protection/>
    </xf>
    <xf numFmtId="3" fontId="2" fillId="0" borderId="14" xfId="118" applyNumberFormat="1" applyFont="1" applyFill="1" applyBorder="1" applyAlignment="1">
      <alignment horizontal="center"/>
      <protection/>
    </xf>
    <xf numFmtId="3" fontId="4" fillId="0" borderId="14" xfId="118" applyNumberFormat="1" applyFont="1" applyFill="1" applyBorder="1" applyAlignment="1">
      <alignment wrapText="1"/>
      <protection/>
    </xf>
    <xf numFmtId="3" fontId="4" fillId="0" borderId="14" xfId="118" applyNumberFormat="1" applyFont="1" applyFill="1" applyBorder="1">
      <alignment/>
      <protection/>
    </xf>
    <xf numFmtId="3" fontId="4" fillId="0" borderId="0" xfId="118" applyNumberFormat="1" applyFont="1" applyFill="1">
      <alignment/>
      <protection/>
    </xf>
    <xf numFmtId="49" fontId="2" fillId="0" borderId="10" xfId="118" applyNumberFormat="1" applyFont="1" applyFill="1" applyBorder="1" applyAlignment="1">
      <alignment horizontal="center"/>
      <protection/>
    </xf>
    <xf numFmtId="3" fontId="2" fillId="0" borderId="0" xfId="118" applyNumberFormat="1" applyFont="1" applyFill="1" applyBorder="1" applyAlignment="1">
      <alignment horizontal="center"/>
      <protection/>
    </xf>
    <xf numFmtId="3" fontId="2" fillId="0" borderId="0" xfId="118" applyNumberFormat="1" applyFont="1" applyFill="1" applyBorder="1">
      <alignment/>
      <protection/>
    </xf>
    <xf numFmtId="3" fontId="2" fillId="0" borderId="0" xfId="118" applyNumberFormat="1" applyFont="1" applyFill="1" applyBorder="1" applyAlignment="1">
      <alignment horizontal="left" indent="2"/>
      <protection/>
    </xf>
    <xf numFmtId="3" fontId="4" fillId="0" borderId="12" xfId="118" applyNumberFormat="1" applyFont="1" applyFill="1" applyBorder="1" applyAlignment="1">
      <alignment horizontal="center"/>
      <protection/>
    </xf>
    <xf numFmtId="3" fontId="2" fillId="0" borderId="12" xfId="118" applyNumberFormat="1" applyFont="1" applyFill="1" applyBorder="1" applyAlignment="1">
      <alignment horizontal="center"/>
      <protection/>
    </xf>
    <xf numFmtId="3" fontId="4" fillId="0" borderId="12" xfId="118" applyNumberFormat="1" applyFont="1" applyFill="1" applyBorder="1">
      <alignment/>
      <protection/>
    </xf>
    <xf numFmtId="3" fontId="4" fillId="0" borderId="0" xfId="118" applyNumberFormat="1" applyFont="1" applyFill="1" applyBorder="1" applyAlignment="1">
      <alignment horizontal="center"/>
      <protection/>
    </xf>
    <xf numFmtId="3" fontId="4" fillId="0" borderId="0" xfId="118" applyNumberFormat="1" applyFont="1" applyFill="1" applyBorder="1">
      <alignment/>
      <protection/>
    </xf>
    <xf numFmtId="3" fontId="5" fillId="0" borderId="0" xfId="118" applyNumberFormat="1" applyFont="1" applyFill="1" applyBorder="1" applyAlignment="1">
      <alignment horizontal="center"/>
      <protection/>
    </xf>
    <xf numFmtId="3" fontId="5" fillId="0" borderId="0" xfId="118" applyNumberFormat="1" applyFont="1" applyFill="1" applyBorder="1" applyAlignment="1">
      <alignment horizontal="left" indent="2"/>
      <protection/>
    </xf>
    <xf numFmtId="3" fontId="5" fillId="0" borderId="0" xfId="118" applyNumberFormat="1" applyFont="1" applyFill="1" applyBorder="1">
      <alignment/>
      <protection/>
    </xf>
    <xf numFmtId="3" fontId="5" fillId="0" borderId="0" xfId="118" applyNumberFormat="1" applyFont="1" applyFill="1">
      <alignment/>
      <protection/>
    </xf>
    <xf numFmtId="3" fontId="2" fillId="0" borderId="0" xfId="118" applyNumberFormat="1" applyFont="1" applyFill="1" applyBorder="1" applyAlignment="1">
      <alignment horizontal="left" indent="3"/>
      <protection/>
    </xf>
    <xf numFmtId="3" fontId="4" fillId="0" borderId="0" xfId="118" applyNumberFormat="1" applyFont="1" applyFill="1" applyBorder="1" applyAlignment="1">
      <alignment horizontal="center" vertical="center"/>
      <protection/>
    </xf>
    <xf numFmtId="3" fontId="4" fillId="0" borderId="0" xfId="118" applyNumberFormat="1" applyFont="1" applyFill="1" applyBorder="1" applyAlignment="1">
      <alignment vertical="center"/>
      <protection/>
    </xf>
    <xf numFmtId="3" fontId="2" fillId="0" borderId="0" xfId="118" applyNumberFormat="1" applyFont="1" applyFill="1" applyBorder="1" applyAlignment="1">
      <alignment horizontal="left"/>
      <protection/>
    </xf>
    <xf numFmtId="49" fontId="2" fillId="0" borderId="10" xfId="118" applyNumberFormat="1" applyFont="1" applyFill="1" applyBorder="1" applyAlignment="1">
      <alignment horizontal="center" vertical="top"/>
      <protection/>
    </xf>
    <xf numFmtId="3" fontId="2" fillId="0" borderId="0" xfId="118" applyNumberFormat="1" applyFont="1" applyFill="1" applyBorder="1" applyAlignment="1">
      <alignment horizontal="center" vertical="top"/>
      <protection/>
    </xf>
    <xf numFmtId="3" fontId="2" fillId="0" borderId="0" xfId="118" applyNumberFormat="1" applyFont="1" applyFill="1" applyBorder="1" applyAlignment="1">
      <alignment vertical="top"/>
      <protection/>
    </xf>
    <xf numFmtId="3" fontId="2" fillId="0" borderId="0" xfId="118" applyNumberFormat="1" applyFont="1" applyFill="1" applyAlignment="1">
      <alignment vertical="top"/>
      <protection/>
    </xf>
    <xf numFmtId="49" fontId="2" fillId="0" borderId="15" xfId="118" applyNumberFormat="1" applyFont="1" applyFill="1" applyBorder="1" applyAlignment="1">
      <alignment horizontal="center" vertical="center"/>
      <protection/>
    </xf>
    <xf numFmtId="3" fontId="4" fillId="0" borderId="16" xfId="118" applyNumberFormat="1" applyFont="1" applyFill="1" applyBorder="1" applyAlignment="1">
      <alignment horizontal="center" vertical="center"/>
      <protection/>
    </xf>
    <xf numFmtId="3" fontId="2" fillId="0" borderId="16" xfId="118" applyNumberFormat="1" applyFont="1" applyFill="1" applyBorder="1" applyAlignment="1">
      <alignment horizontal="center" vertical="center"/>
      <protection/>
    </xf>
    <xf numFmtId="3" fontId="4" fillId="0" borderId="16" xfId="118" applyNumberFormat="1" applyFont="1" applyFill="1" applyBorder="1" applyAlignment="1">
      <alignment vertical="center"/>
      <protection/>
    </xf>
    <xf numFmtId="3" fontId="2" fillId="0" borderId="0" xfId="118" applyNumberFormat="1" applyFont="1" applyFill="1" applyBorder="1" applyAlignment="1">
      <alignment/>
      <protection/>
    </xf>
    <xf numFmtId="3" fontId="2" fillId="0" borderId="0" xfId="118" applyNumberFormat="1" applyFont="1" applyFill="1" applyBorder="1" applyAlignment="1">
      <alignment horizontal="left" indent="1"/>
      <protection/>
    </xf>
    <xf numFmtId="3" fontId="2" fillId="0" borderId="0" xfId="118" applyNumberFormat="1" applyFont="1" applyFill="1" applyBorder="1" applyAlignment="1">
      <alignment horizontal="left" vertical="top" indent="1"/>
      <protection/>
    </xf>
    <xf numFmtId="49" fontId="2" fillId="0" borderId="0" xfId="118" applyNumberFormat="1" applyFont="1" applyFill="1" applyBorder="1" applyAlignment="1">
      <alignment horizontal="center"/>
      <protection/>
    </xf>
    <xf numFmtId="49" fontId="2" fillId="0" borderId="0" xfId="118" applyNumberFormat="1" applyFont="1" applyFill="1" applyAlignment="1">
      <alignment horizontal="center"/>
      <protection/>
    </xf>
    <xf numFmtId="3" fontId="4" fillId="0" borderId="0" xfId="118" applyNumberFormat="1" applyFont="1" applyFill="1" applyAlignment="1">
      <alignment horizontal="center"/>
      <protection/>
    </xf>
    <xf numFmtId="3" fontId="2" fillId="0" borderId="0" xfId="118" applyNumberFormat="1" applyFont="1" applyFill="1" applyAlignment="1">
      <alignment horizontal="center"/>
      <protection/>
    </xf>
    <xf numFmtId="3" fontId="4" fillId="0" borderId="0" xfId="119" applyNumberFormat="1" applyFont="1" applyFill="1" applyAlignment="1">
      <alignment horizontal="center"/>
      <protection/>
    </xf>
    <xf numFmtId="3" fontId="10" fillId="0" borderId="0" xfId="0" applyNumberFormat="1" applyFont="1" applyFill="1" applyBorder="1" applyAlignment="1">
      <alignment horizontal="right"/>
    </xf>
    <xf numFmtId="3" fontId="6" fillId="0" borderId="0" xfId="119" applyNumberFormat="1" applyFont="1" applyFill="1" applyAlignment="1">
      <alignment horizontal="center" vertical="center"/>
      <protection/>
    </xf>
    <xf numFmtId="3" fontId="10" fillId="0" borderId="17" xfId="0" applyNumberFormat="1" applyFont="1" applyFill="1" applyBorder="1" applyAlignment="1">
      <alignment horizontal="center" wrapText="1"/>
    </xf>
    <xf numFmtId="3" fontId="10" fillId="0" borderId="18" xfId="0" applyNumberFormat="1" applyFont="1" applyFill="1" applyBorder="1" applyAlignment="1">
      <alignment horizontal="center" wrapText="1"/>
    </xf>
    <xf numFmtId="3" fontId="10" fillId="0" borderId="19" xfId="0" applyNumberFormat="1" applyFont="1" applyFill="1" applyBorder="1" applyAlignment="1">
      <alignment horizontal="center" wrapText="1"/>
    </xf>
    <xf numFmtId="3" fontId="10" fillId="0" borderId="20" xfId="0" applyNumberFormat="1" applyFont="1" applyFill="1" applyBorder="1" applyAlignment="1">
      <alignment horizontal="center" wrapText="1"/>
    </xf>
    <xf numFmtId="3" fontId="10" fillId="0" borderId="20" xfId="0" applyNumberFormat="1" applyFont="1" applyFill="1" applyBorder="1" applyAlignment="1">
      <alignment/>
    </xf>
    <xf numFmtId="0" fontId="2"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vertical="top"/>
    </xf>
    <xf numFmtId="3"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vertical="center"/>
    </xf>
    <xf numFmtId="3" fontId="10" fillId="0" borderId="21" xfId="0" applyNumberFormat="1" applyFont="1" applyFill="1" applyBorder="1" applyAlignment="1">
      <alignment/>
    </xf>
    <xf numFmtId="0" fontId="14" fillId="0" borderId="0" xfId="0" applyFont="1" applyFill="1" applyAlignment="1">
      <alignment/>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17" fillId="0" borderId="0" xfId="119" applyNumberFormat="1" applyFont="1" applyFill="1" applyAlignment="1">
      <alignment horizontal="center" vertical="center"/>
      <protection/>
    </xf>
    <xf numFmtId="3" fontId="12" fillId="0" borderId="20"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10" fillId="0" borderId="19" xfId="119" applyNumberFormat="1" applyFont="1" applyFill="1" applyBorder="1" applyAlignment="1">
      <alignment horizontal="center"/>
      <protection/>
    </xf>
    <xf numFmtId="3" fontId="10" fillId="0" borderId="20" xfId="119" applyNumberFormat="1" applyFont="1" applyFill="1" applyBorder="1" applyAlignment="1">
      <alignment horizontal="center"/>
      <protection/>
    </xf>
    <xf numFmtId="3" fontId="10" fillId="0" borderId="20" xfId="119" applyNumberFormat="1" applyFont="1" applyFill="1" applyBorder="1" applyAlignment="1">
      <alignment wrapText="1"/>
      <protection/>
    </xf>
    <xf numFmtId="3" fontId="10" fillId="0" borderId="20" xfId="119" applyNumberFormat="1" applyFont="1" applyFill="1" applyBorder="1" applyAlignment="1">
      <alignment horizontal="right"/>
      <protection/>
    </xf>
    <xf numFmtId="3" fontId="10" fillId="0" borderId="22" xfId="119" applyNumberFormat="1" applyFont="1" applyFill="1" applyBorder="1" applyAlignment="1">
      <alignment horizontal="right"/>
      <protection/>
    </xf>
    <xf numFmtId="3" fontId="10" fillId="0" borderId="19" xfId="119" applyNumberFormat="1" applyFont="1" applyFill="1" applyBorder="1" applyAlignment="1">
      <alignment horizontal="center" vertical="center"/>
      <protection/>
    </xf>
    <xf numFmtId="3" fontId="10" fillId="0" borderId="20" xfId="119" applyNumberFormat="1" applyFont="1" applyFill="1" applyBorder="1" applyAlignment="1">
      <alignment horizontal="center" vertical="center"/>
      <protection/>
    </xf>
    <xf numFmtId="3" fontId="10" fillId="0" borderId="23" xfId="119" applyNumberFormat="1" applyFont="1" applyFill="1" applyBorder="1" applyAlignment="1">
      <alignment wrapText="1"/>
      <protection/>
    </xf>
    <xf numFmtId="3" fontId="12" fillId="0" borderId="23" xfId="119" applyNumberFormat="1" applyFont="1" applyFill="1" applyBorder="1" applyAlignment="1">
      <alignment horizontal="right"/>
      <protection/>
    </xf>
    <xf numFmtId="3" fontId="12" fillId="0" borderId="24" xfId="119" applyNumberFormat="1" applyFont="1" applyFill="1" applyBorder="1" applyAlignment="1">
      <alignment horizontal="right"/>
      <protection/>
    </xf>
    <xf numFmtId="3" fontId="12" fillId="0" borderId="19" xfId="119" applyNumberFormat="1" applyFont="1" applyFill="1" applyBorder="1" applyAlignment="1">
      <alignment horizontal="center" vertical="center"/>
      <protection/>
    </xf>
    <xf numFmtId="3" fontId="12" fillId="0" borderId="20" xfId="119" applyNumberFormat="1" applyFont="1" applyFill="1" applyBorder="1" applyAlignment="1">
      <alignment horizontal="right"/>
      <protection/>
    </xf>
    <xf numFmtId="3" fontId="12" fillId="0" borderId="22" xfId="119" applyNumberFormat="1" applyFont="1" applyFill="1" applyBorder="1" applyAlignment="1">
      <alignment horizontal="right"/>
      <protection/>
    </xf>
    <xf numFmtId="3" fontId="12" fillId="0" borderId="20" xfId="119" applyNumberFormat="1" applyFont="1" applyFill="1" applyBorder="1" applyAlignment="1">
      <alignment vertical="center" wrapText="1"/>
      <protection/>
    </xf>
    <xf numFmtId="3" fontId="10" fillId="0" borderId="20" xfId="119" applyNumberFormat="1" applyFont="1" applyFill="1" applyBorder="1" applyAlignment="1">
      <alignment/>
      <protection/>
    </xf>
    <xf numFmtId="3" fontId="10" fillId="0" borderId="22" xfId="119" applyNumberFormat="1" applyFont="1" applyFill="1" applyBorder="1" applyAlignment="1">
      <alignment/>
      <protection/>
    </xf>
    <xf numFmtId="3" fontId="10" fillId="0" borderId="19" xfId="119" applyNumberFormat="1" applyFont="1" applyFill="1" applyBorder="1" applyAlignment="1">
      <alignment horizontal="center" vertical="top"/>
      <protection/>
    </xf>
    <xf numFmtId="49" fontId="12" fillId="0" borderId="20" xfId="119" applyNumberFormat="1" applyFont="1" applyFill="1" applyBorder="1" applyAlignment="1">
      <alignment horizontal="left" vertical="center" wrapText="1" indent="4"/>
      <protection/>
    </xf>
    <xf numFmtId="3" fontId="10" fillId="0" borderId="25" xfId="119" applyNumberFormat="1" applyFont="1" applyFill="1" applyBorder="1" applyAlignment="1">
      <alignment horizontal="center" vertical="center"/>
      <protection/>
    </xf>
    <xf numFmtId="3" fontId="16" fillId="0" borderId="25" xfId="119" applyNumberFormat="1" applyFont="1" applyFill="1" applyBorder="1" applyAlignment="1">
      <alignment horizontal="center"/>
      <protection/>
    </xf>
    <xf numFmtId="3" fontId="17" fillId="0" borderId="0" xfId="119" applyNumberFormat="1" applyFont="1" applyFill="1" applyAlignment="1">
      <alignment horizontal="center"/>
      <protection/>
    </xf>
    <xf numFmtId="3" fontId="12" fillId="0" borderId="20" xfId="119" applyNumberFormat="1" applyFont="1" applyFill="1" applyBorder="1" applyAlignment="1">
      <alignment horizontal="left" wrapText="1" indent="2"/>
      <protection/>
    </xf>
    <xf numFmtId="0" fontId="4" fillId="0" borderId="0" xfId="0" applyFont="1" applyFill="1" applyBorder="1" applyAlignment="1">
      <alignment horizontal="center"/>
    </xf>
    <xf numFmtId="0" fontId="4" fillId="0" borderId="0" xfId="0" applyFont="1" applyFill="1" applyBorder="1" applyAlignment="1">
      <alignment/>
    </xf>
    <xf numFmtId="3" fontId="10" fillId="0" borderId="25" xfId="119" applyNumberFormat="1" applyFont="1" applyFill="1" applyBorder="1" applyAlignment="1">
      <alignment horizontal="center"/>
      <protection/>
    </xf>
    <xf numFmtId="3" fontId="2" fillId="0" borderId="19" xfId="119" applyNumberFormat="1" applyFont="1" applyFill="1" applyBorder="1" applyAlignment="1">
      <alignment vertical="center" wrapText="1"/>
      <protection/>
    </xf>
    <xf numFmtId="3" fontId="2" fillId="0" borderId="21" xfId="0" applyNumberFormat="1" applyFont="1" applyFill="1" applyBorder="1" applyAlignment="1">
      <alignment horizontal="right" vertical="center" wrapText="1"/>
    </xf>
    <xf numFmtId="3" fontId="4" fillId="0" borderId="26" xfId="119" applyNumberFormat="1" applyFont="1" applyFill="1" applyBorder="1" applyAlignment="1">
      <alignment horizontal="center" vertical="center" wrapText="1"/>
      <protection/>
    </xf>
    <xf numFmtId="3" fontId="4" fillId="0" borderId="27" xfId="119" applyNumberFormat="1" applyFont="1" applyFill="1" applyBorder="1" applyAlignment="1">
      <alignment vertical="center"/>
      <protection/>
    </xf>
    <xf numFmtId="3" fontId="10" fillId="0" borderId="23" xfId="0" applyNumberFormat="1" applyFont="1" applyFill="1" applyBorder="1" applyAlignment="1">
      <alignment horizontal="right" wrapText="1"/>
    </xf>
    <xf numFmtId="3" fontId="10" fillId="0" borderId="23" xfId="119" applyNumberFormat="1" applyFont="1" applyFill="1" applyBorder="1" applyAlignment="1">
      <alignment horizontal="right"/>
      <protection/>
    </xf>
    <xf numFmtId="3" fontId="10" fillId="0" borderId="24" xfId="119" applyNumberFormat="1" applyFont="1" applyFill="1" applyBorder="1" applyAlignment="1">
      <alignment horizontal="right"/>
      <protection/>
    </xf>
    <xf numFmtId="0" fontId="9" fillId="0" borderId="0" xfId="119" applyNumberFormat="1" applyFont="1" applyFill="1" applyBorder="1" applyAlignment="1">
      <alignment horizontal="center" vertical="center"/>
      <protection/>
    </xf>
    <xf numFmtId="0" fontId="19" fillId="0" borderId="0" xfId="119" applyNumberFormat="1" applyFont="1" applyFill="1" applyBorder="1" applyAlignment="1">
      <alignment horizontal="center" vertical="center"/>
      <protection/>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0" fillId="0" borderId="28" xfId="0" applyNumberFormat="1" applyFont="1" applyFill="1" applyBorder="1" applyAlignment="1">
      <alignment horizontal="right" wrapText="1"/>
    </xf>
    <xf numFmtId="3" fontId="10" fillId="0" borderId="0" xfId="0" applyNumberFormat="1" applyFont="1" applyFill="1" applyAlignment="1">
      <alignment horizontal="right" vertical="center"/>
    </xf>
    <xf numFmtId="0" fontId="2" fillId="0" borderId="0" xfId="0" applyFont="1" applyFill="1" applyBorder="1" applyAlignment="1">
      <alignment horizontal="center" vertical="center"/>
    </xf>
    <xf numFmtId="3" fontId="4" fillId="0" borderId="14" xfId="118" applyNumberFormat="1" applyFont="1" applyFill="1" applyBorder="1" applyAlignment="1">
      <alignment horizontal="left" textRotation="90" wrapText="1"/>
      <protection/>
    </xf>
    <xf numFmtId="3" fontId="2" fillId="0" borderId="14" xfId="118" applyNumberFormat="1" applyFont="1" applyFill="1" applyBorder="1" applyAlignment="1">
      <alignment horizontal="center" wrapText="1"/>
      <protection/>
    </xf>
    <xf numFmtId="3" fontId="4" fillId="0" borderId="14" xfId="118" applyNumberFormat="1" applyFont="1" applyFill="1" applyBorder="1" applyAlignment="1">
      <alignment horizontal="left" wrapText="1"/>
      <protection/>
    </xf>
    <xf numFmtId="3" fontId="4" fillId="0" borderId="0" xfId="118" applyNumberFormat="1" applyFont="1" applyFill="1" applyBorder="1" applyAlignment="1">
      <alignment horizontal="left"/>
      <protection/>
    </xf>
    <xf numFmtId="3" fontId="4" fillId="0" borderId="0" xfId="118" applyNumberFormat="1" applyFont="1" applyFill="1" applyAlignment="1">
      <alignment horizontal="left"/>
      <protection/>
    </xf>
    <xf numFmtId="3" fontId="4" fillId="0" borderId="0" xfId="118" applyNumberFormat="1" applyFont="1" applyFill="1" applyBorder="1" applyAlignment="1">
      <alignment horizontal="left" wrapText="1"/>
      <protection/>
    </xf>
    <xf numFmtId="3" fontId="2" fillId="0" borderId="0" xfId="118"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3" xfId="0" applyFont="1" applyFill="1" applyBorder="1" applyAlignment="1">
      <alignment horizontal="center"/>
    </xf>
    <xf numFmtId="0" fontId="2" fillId="0" borderId="13" xfId="0" applyFont="1" applyFill="1" applyBorder="1" applyAlignment="1">
      <alignment horizontal="center" vertical="top"/>
    </xf>
    <xf numFmtId="0" fontId="4" fillId="0" borderId="13" xfId="0" applyFont="1" applyFill="1" applyBorder="1" applyAlignment="1">
      <alignment wrapText="1"/>
    </xf>
    <xf numFmtId="3" fontId="4" fillId="0" borderId="13" xfId="118" applyNumberFormat="1" applyFont="1" applyFill="1" applyBorder="1" applyAlignment="1">
      <alignment horizontal="left" textRotation="90" wrapText="1"/>
      <protection/>
    </xf>
    <xf numFmtId="3" fontId="2" fillId="0" borderId="13" xfId="118" applyNumberFormat="1" applyFont="1" applyFill="1" applyBorder="1" applyAlignment="1">
      <alignment horizontal="center" wrapText="1"/>
      <protection/>
    </xf>
    <xf numFmtId="3" fontId="4" fillId="0" borderId="13" xfId="118"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xf>
    <xf numFmtId="0" fontId="4" fillId="0" borderId="29"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29" xfId="0" applyFont="1" applyFill="1" applyBorder="1" applyAlignment="1">
      <alignment vertical="center"/>
    </xf>
    <xf numFmtId="0" fontId="4" fillId="0" borderId="30" xfId="0" applyFont="1" applyFill="1" applyBorder="1" applyAlignment="1">
      <alignment horizontal="center" vertical="center"/>
    </xf>
    <xf numFmtId="0" fontId="2" fillId="0" borderId="30" xfId="0" applyFont="1" applyFill="1" applyBorder="1" applyAlignment="1">
      <alignment horizontal="center" vertical="center"/>
    </xf>
    <xf numFmtId="0" fontId="4" fillId="0" borderId="30" xfId="0" applyFont="1" applyFill="1" applyBorder="1" applyAlignment="1">
      <alignment vertical="center"/>
    </xf>
    <xf numFmtId="0" fontId="4" fillId="0" borderId="12" xfId="0" applyFont="1" applyFill="1" applyBorder="1" applyAlignment="1">
      <alignment vertical="center" shrinkToFit="1"/>
    </xf>
    <xf numFmtId="0" fontId="2" fillId="0" borderId="0" xfId="0" applyFont="1" applyFill="1" applyBorder="1" applyAlignment="1">
      <alignment horizontal="left" indent="1"/>
    </xf>
    <xf numFmtId="0" fontId="2" fillId="0" borderId="13" xfId="0" applyFont="1" applyFill="1" applyBorder="1" applyAlignment="1">
      <alignment horizontal="left" indent="1"/>
    </xf>
    <xf numFmtId="0" fontId="4" fillId="0" borderId="31" xfId="0" applyFont="1" applyFill="1" applyBorder="1" applyAlignment="1">
      <alignment horizontal="center" vertical="center"/>
    </xf>
    <xf numFmtId="0" fontId="2" fillId="0" borderId="31" xfId="0" applyFont="1" applyFill="1" applyBorder="1" applyAlignment="1">
      <alignment horizontal="center" vertical="center"/>
    </xf>
    <xf numFmtId="0" fontId="4" fillId="0" borderId="31" xfId="0" applyFont="1" applyFill="1" applyBorder="1" applyAlignment="1">
      <alignment vertical="center"/>
    </xf>
    <xf numFmtId="0" fontId="2" fillId="0" borderId="0" xfId="0" applyFont="1" applyFill="1" applyAlignment="1">
      <alignment horizontal="center"/>
    </xf>
    <xf numFmtId="0" fontId="0" fillId="0" borderId="0" xfId="0" applyFont="1" applyFill="1" applyAlignment="1">
      <alignment/>
    </xf>
    <xf numFmtId="0" fontId="21" fillId="0" borderId="0" xfId="0" applyFont="1" applyFill="1" applyAlignment="1">
      <alignment/>
    </xf>
    <xf numFmtId="0" fontId="20" fillId="0" borderId="0" xfId="0" applyFont="1" applyFill="1" applyAlignment="1">
      <alignment/>
    </xf>
    <xf numFmtId="0" fontId="0" fillId="0" borderId="0" xfId="0" applyFont="1" applyFill="1" applyAlignment="1">
      <alignment/>
    </xf>
    <xf numFmtId="3" fontId="6" fillId="0" borderId="0" xfId="0" applyNumberFormat="1" applyFont="1" applyFill="1" applyAlignment="1">
      <alignment horizontal="left" vertic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0" fontId="22" fillId="0" borderId="0" xfId="0" applyFont="1" applyFill="1" applyAlignment="1">
      <alignment/>
    </xf>
    <xf numFmtId="0" fontId="22" fillId="0" borderId="0" xfId="0" applyFont="1" applyFill="1" applyAlignment="1">
      <alignment vertical="center"/>
    </xf>
    <xf numFmtId="0" fontId="22" fillId="0" borderId="0" xfId="0" applyFont="1" applyFill="1" applyBorder="1" applyAlignment="1">
      <alignment vertical="center"/>
    </xf>
    <xf numFmtId="3" fontId="2" fillId="0" borderId="0" xfId="119" applyNumberFormat="1" applyFont="1" applyFill="1" applyBorder="1" applyAlignment="1">
      <alignment vertical="center" wrapText="1"/>
      <protection/>
    </xf>
    <xf numFmtId="3" fontId="2" fillId="0" borderId="0" xfId="122" applyNumberFormat="1" applyFont="1">
      <alignment/>
      <protection/>
    </xf>
    <xf numFmtId="3" fontId="2" fillId="0" borderId="0" xfId="122" applyNumberFormat="1" applyFont="1" applyAlignment="1">
      <alignment horizontal="center"/>
      <protection/>
    </xf>
    <xf numFmtId="14" fontId="2" fillId="0" borderId="0" xfId="122" applyNumberFormat="1" applyFont="1" applyAlignment="1">
      <alignment horizontal="center"/>
      <protection/>
    </xf>
    <xf numFmtId="3" fontId="2" fillId="0" borderId="0" xfId="122" applyNumberFormat="1" applyFont="1" applyAlignment="1">
      <alignment horizontal="center" vertical="center" wrapText="1"/>
      <protection/>
    </xf>
    <xf numFmtId="3" fontId="4" fillId="0" borderId="32" xfId="122" applyNumberFormat="1" applyFont="1" applyBorder="1" applyAlignment="1">
      <alignment horizontal="right" vertical="center"/>
      <protection/>
    </xf>
    <xf numFmtId="3" fontId="2" fillId="0" borderId="33" xfId="122" applyNumberFormat="1" applyFont="1" applyBorder="1" applyAlignment="1">
      <alignment horizontal="right" vertical="center" wrapText="1"/>
      <protection/>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34" xfId="118" applyNumberFormat="1" applyFont="1" applyFill="1" applyBorder="1" applyAlignment="1">
      <alignment horizontal="center" vertical="center" wrapText="1"/>
      <protection/>
    </xf>
    <xf numFmtId="3" fontId="2" fillId="0" borderId="0" xfId="118" applyNumberFormat="1" applyFont="1" applyFill="1" applyBorder="1" applyAlignment="1">
      <alignment horizontal="center" vertical="top" wrapText="1"/>
      <protection/>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10" fillId="0" borderId="36" xfId="0" applyNumberFormat="1" applyFont="1" applyFill="1" applyBorder="1" applyAlignment="1">
      <alignment/>
    </xf>
    <xf numFmtId="3" fontId="12" fillId="0" borderId="36" xfId="0" applyNumberFormat="1" applyFont="1" applyFill="1" applyBorder="1" applyAlignment="1">
      <alignment/>
    </xf>
    <xf numFmtId="3" fontId="10" fillId="0" borderId="19" xfId="0" applyNumberFormat="1" applyFont="1" applyFill="1" applyBorder="1" applyAlignment="1">
      <alignment horizontal="center"/>
    </xf>
    <xf numFmtId="3" fontId="10" fillId="0" borderId="20" xfId="0" applyNumberFormat="1" applyFont="1" applyFill="1" applyBorder="1" applyAlignment="1">
      <alignment horizontal="center"/>
    </xf>
    <xf numFmtId="3" fontId="10" fillId="0" borderId="19"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xf>
    <xf numFmtId="3" fontId="10" fillId="0" borderId="19" xfId="0" applyNumberFormat="1" applyFont="1" applyFill="1" applyBorder="1" applyAlignment="1">
      <alignment horizontal="center" vertical="top"/>
    </xf>
    <xf numFmtId="3" fontId="10" fillId="0" borderId="20" xfId="0" applyNumberFormat="1" applyFont="1" applyFill="1" applyBorder="1" applyAlignment="1">
      <alignment horizontal="center" vertical="top"/>
    </xf>
    <xf numFmtId="3" fontId="10" fillId="0" borderId="20" xfId="0" applyNumberFormat="1" applyFont="1" applyFill="1" applyBorder="1" applyAlignment="1">
      <alignment vertical="center"/>
    </xf>
    <xf numFmtId="3" fontId="12" fillId="0" borderId="20" xfId="0" applyNumberFormat="1" applyFont="1" applyFill="1" applyBorder="1" applyAlignment="1">
      <alignment vertical="center"/>
    </xf>
    <xf numFmtId="3" fontId="13" fillId="0" borderId="21" xfId="0" applyNumberFormat="1" applyFont="1" applyFill="1" applyBorder="1" applyAlignment="1">
      <alignment vertical="center"/>
    </xf>
    <xf numFmtId="3" fontId="10" fillId="0" borderId="20" xfId="0" applyNumberFormat="1" applyFont="1" applyFill="1" applyBorder="1" applyAlignment="1">
      <alignment vertical="top"/>
    </xf>
    <xf numFmtId="3" fontId="12" fillId="0" borderId="20" xfId="0" applyNumberFormat="1" applyFont="1" applyFill="1" applyBorder="1" applyAlignment="1">
      <alignment vertical="top"/>
    </xf>
    <xf numFmtId="3" fontId="13" fillId="0" borderId="21" xfId="0" applyNumberFormat="1" applyFont="1" applyFill="1" applyBorder="1" applyAlignment="1">
      <alignment vertical="top"/>
    </xf>
    <xf numFmtId="0" fontId="0" fillId="0" borderId="20" xfId="0" applyFont="1" applyFill="1" applyBorder="1" applyAlignment="1">
      <alignment/>
    </xf>
    <xf numFmtId="0" fontId="21" fillId="0" borderId="20" xfId="0" applyFont="1" applyFill="1" applyBorder="1" applyAlignment="1">
      <alignment/>
    </xf>
    <xf numFmtId="3" fontId="10" fillId="0" borderId="25" xfId="0" applyNumberFormat="1" applyFont="1" applyFill="1" applyBorder="1" applyAlignment="1">
      <alignment horizontal="center"/>
    </xf>
    <xf numFmtId="3" fontId="10" fillId="0" borderId="23" xfId="0" applyNumberFormat="1" applyFont="1" applyFill="1" applyBorder="1" applyAlignment="1">
      <alignment horizontal="center"/>
    </xf>
    <xf numFmtId="3" fontId="10" fillId="0" borderId="23" xfId="0" applyNumberFormat="1" applyFont="1" applyFill="1" applyBorder="1" applyAlignment="1">
      <alignment vertical="center"/>
    </xf>
    <xf numFmtId="3" fontId="12" fillId="0" borderId="23" xfId="0" applyNumberFormat="1" applyFont="1" applyFill="1" applyBorder="1" applyAlignment="1">
      <alignment vertical="center"/>
    </xf>
    <xf numFmtId="3" fontId="13" fillId="0" borderId="28" xfId="0" applyNumberFormat="1" applyFont="1" applyFill="1" applyBorder="1" applyAlignment="1">
      <alignment vertical="center"/>
    </xf>
    <xf numFmtId="3" fontId="10" fillId="0" borderId="21" xfId="0" applyNumberFormat="1" applyFont="1" applyFill="1" applyBorder="1" applyAlignment="1">
      <alignment vertical="center"/>
    </xf>
    <xf numFmtId="3" fontId="13" fillId="0" borderId="21" xfId="0" applyNumberFormat="1" applyFont="1" applyFill="1" applyBorder="1" applyAlignment="1">
      <alignment/>
    </xf>
    <xf numFmtId="3" fontId="10" fillId="0" borderId="20" xfId="124" applyNumberFormat="1" applyFont="1" applyFill="1" applyBorder="1" applyAlignment="1">
      <alignment wrapText="1"/>
      <protection/>
    </xf>
    <xf numFmtId="3" fontId="16" fillId="0" borderId="0" xfId="0" applyNumberFormat="1" applyFont="1" applyFill="1" applyAlignment="1">
      <alignment vertical="center"/>
    </xf>
    <xf numFmtId="3" fontId="13" fillId="0" borderId="37" xfId="0" applyNumberFormat="1" applyFont="1" applyFill="1" applyBorder="1" applyAlignment="1">
      <alignment/>
    </xf>
    <xf numFmtId="0" fontId="20" fillId="0" borderId="21" xfId="0" applyFont="1" applyFill="1" applyBorder="1" applyAlignment="1">
      <alignment/>
    </xf>
    <xf numFmtId="3" fontId="10" fillId="0" borderId="28" xfId="0" applyNumberFormat="1" applyFont="1" applyFill="1" applyBorder="1" applyAlignment="1">
      <alignment vertical="center"/>
    </xf>
    <xf numFmtId="3" fontId="10" fillId="0" borderId="23" xfId="0" applyNumberFormat="1" applyFont="1" applyFill="1" applyBorder="1" applyAlignment="1">
      <alignment/>
    </xf>
    <xf numFmtId="3" fontId="12" fillId="0" borderId="23" xfId="0" applyNumberFormat="1" applyFont="1" applyFill="1" applyBorder="1" applyAlignment="1">
      <alignment/>
    </xf>
    <xf numFmtId="3" fontId="13" fillId="0" borderId="28" xfId="0" applyNumberFormat="1" applyFont="1" applyFill="1" applyBorder="1" applyAlignment="1">
      <alignment/>
    </xf>
    <xf numFmtId="3" fontId="10" fillId="0" borderId="38" xfId="0" applyNumberFormat="1" applyFont="1" applyFill="1" applyBorder="1" applyAlignment="1">
      <alignment horizontal="center" vertical="center"/>
    </xf>
    <xf numFmtId="3" fontId="10" fillId="0" borderId="38" xfId="0" applyNumberFormat="1" applyFont="1" applyFill="1" applyBorder="1" applyAlignment="1">
      <alignment vertical="center"/>
    </xf>
    <xf numFmtId="3" fontId="10" fillId="0" borderId="39" xfId="0" applyNumberFormat="1" applyFont="1" applyFill="1" applyBorder="1" applyAlignment="1">
      <alignment vertical="center"/>
    </xf>
    <xf numFmtId="3" fontId="10" fillId="0" borderId="23" xfId="0" applyNumberFormat="1" applyFont="1" applyFill="1" applyBorder="1" applyAlignment="1">
      <alignment horizontal="center" vertical="center"/>
    </xf>
    <xf numFmtId="3" fontId="10" fillId="0" borderId="40" xfId="0" applyNumberFormat="1" applyFont="1" applyFill="1" applyBorder="1" applyAlignment="1">
      <alignment vertical="center"/>
    </xf>
    <xf numFmtId="3" fontId="13" fillId="0" borderId="27" xfId="0" applyNumberFormat="1" applyFont="1" applyFill="1" applyBorder="1" applyAlignment="1">
      <alignment vertical="center"/>
    </xf>
    <xf numFmtId="3" fontId="10" fillId="0" borderId="41" xfId="0" applyNumberFormat="1" applyFont="1" applyFill="1" applyBorder="1" applyAlignment="1">
      <alignment horizontal="center" vertical="top"/>
    </xf>
    <xf numFmtId="3" fontId="13" fillId="0" borderId="42" xfId="0" applyNumberFormat="1" applyFont="1" applyFill="1" applyBorder="1" applyAlignment="1">
      <alignment vertical="center"/>
    </xf>
    <xf numFmtId="3" fontId="13" fillId="0" borderId="20" xfId="124" applyNumberFormat="1" applyFont="1" applyFill="1" applyBorder="1" applyAlignment="1">
      <alignment/>
      <protection/>
    </xf>
    <xf numFmtId="3" fontId="10" fillId="0" borderId="20" xfId="0" applyNumberFormat="1" applyFont="1" applyFill="1" applyBorder="1" applyAlignment="1">
      <alignment horizontal="right"/>
    </xf>
    <xf numFmtId="3" fontId="10" fillId="0" borderId="21" xfId="0" applyNumberFormat="1" applyFont="1" applyFill="1" applyBorder="1" applyAlignment="1">
      <alignment horizontal="right"/>
    </xf>
    <xf numFmtId="3" fontId="10" fillId="0" borderId="20" xfId="0" applyNumberFormat="1" applyFont="1" applyFill="1" applyBorder="1" applyAlignment="1">
      <alignment horizontal="right" vertical="top"/>
    </xf>
    <xf numFmtId="3" fontId="10" fillId="0" borderId="21" xfId="0" applyNumberFormat="1" applyFont="1" applyFill="1" applyBorder="1" applyAlignment="1">
      <alignment horizontal="right" vertical="top"/>
    </xf>
    <xf numFmtId="3" fontId="10" fillId="0" borderId="20" xfId="0" applyNumberFormat="1" applyFont="1" applyFill="1" applyBorder="1" applyAlignment="1">
      <alignment horizontal="right" vertical="center"/>
    </xf>
    <xf numFmtId="3" fontId="10" fillId="0" borderId="22" xfId="0" applyNumberFormat="1" applyFont="1" applyFill="1" applyBorder="1" applyAlignment="1">
      <alignment/>
    </xf>
    <xf numFmtId="3" fontId="10" fillId="0" borderId="22" xfId="0" applyNumberFormat="1" applyFont="1" applyFill="1" applyBorder="1" applyAlignment="1">
      <alignment vertical="center"/>
    </xf>
    <xf numFmtId="3" fontId="13" fillId="0" borderId="43" xfId="0" applyNumberFormat="1" applyFont="1" applyFill="1" applyBorder="1" applyAlignment="1">
      <alignment vertical="center"/>
    </xf>
    <xf numFmtId="3" fontId="13" fillId="0" borderId="43" xfId="0" applyNumberFormat="1" applyFont="1" applyFill="1" applyBorder="1" applyAlignment="1">
      <alignment/>
    </xf>
    <xf numFmtId="3" fontId="16" fillId="0" borderId="19"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28" xfId="0" applyNumberFormat="1" applyFont="1" applyFill="1" applyBorder="1" applyAlignment="1">
      <alignment/>
    </xf>
    <xf numFmtId="3" fontId="12" fillId="0" borderId="20" xfId="0" applyNumberFormat="1" applyFont="1" applyFill="1" applyBorder="1" applyAlignment="1">
      <alignment horizontal="right"/>
    </xf>
    <xf numFmtId="3" fontId="12" fillId="0" borderId="21" xfId="0" applyNumberFormat="1" applyFont="1" applyFill="1" applyBorder="1" applyAlignment="1">
      <alignment horizontal="right"/>
    </xf>
    <xf numFmtId="3" fontId="10" fillId="0" borderId="21"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43" xfId="0" applyNumberFormat="1" applyFont="1" applyFill="1" applyBorder="1" applyAlignment="1">
      <alignment/>
    </xf>
    <xf numFmtId="3" fontId="13" fillId="0" borderId="36" xfId="0" applyNumberFormat="1" applyFont="1" applyFill="1" applyBorder="1" applyAlignment="1">
      <alignment horizontal="right"/>
    </xf>
    <xf numFmtId="3" fontId="13" fillId="0" borderId="37" xfId="0" applyNumberFormat="1" applyFont="1" applyFill="1" applyBorder="1" applyAlignment="1">
      <alignment horizontal="right"/>
    </xf>
    <xf numFmtId="3" fontId="13" fillId="0" borderId="20" xfId="0" applyNumberFormat="1" applyFont="1" applyFill="1" applyBorder="1" applyAlignment="1">
      <alignment horizontal="right" vertical="center"/>
    </xf>
    <xf numFmtId="3" fontId="13" fillId="0" borderId="21" xfId="0" applyNumberFormat="1" applyFont="1" applyFill="1" applyBorder="1" applyAlignment="1">
      <alignment horizontal="right" vertical="center"/>
    </xf>
    <xf numFmtId="3" fontId="13" fillId="0" borderId="36" xfId="0" applyNumberFormat="1" applyFont="1" applyFill="1" applyBorder="1" applyAlignment="1">
      <alignment horizontal="right" vertical="center"/>
    </xf>
    <xf numFmtId="3" fontId="13" fillId="0" borderId="37" xfId="0" applyNumberFormat="1" applyFont="1" applyFill="1" applyBorder="1" applyAlignment="1">
      <alignment horizontal="right" vertical="center"/>
    </xf>
    <xf numFmtId="3" fontId="13" fillId="0" borderId="44" xfId="0" applyNumberFormat="1" applyFont="1" applyFill="1" applyBorder="1" applyAlignment="1">
      <alignment horizontal="right"/>
    </xf>
    <xf numFmtId="3" fontId="13" fillId="0" borderId="43" xfId="0" applyNumberFormat="1" applyFont="1" applyFill="1" applyBorder="1" applyAlignment="1">
      <alignment horizontal="right" vertical="center"/>
    </xf>
    <xf numFmtId="3" fontId="13" fillId="0" borderId="44" xfId="0" applyNumberFormat="1" applyFont="1" applyFill="1" applyBorder="1" applyAlignment="1">
      <alignment horizontal="right" vertical="center"/>
    </xf>
    <xf numFmtId="3" fontId="16" fillId="0" borderId="43" xfId="0" applyNumberFormat="1" applyFont="1" applyFill="1" applyBorder="1" applyAlignment="1">
      <alignment horizontal="right" vertical="center"/>
    </xf>
    <xf numFmtId="0" fontId="2" fillId="0" borderId="45" xfId="122" applyNumberFormat="1" applyFont="1" applyBorder="1" applyAlignment="1">
      <alignment horizontal="center" vertical="center" wrapText="1"/>
      <protection/>
    </xf>
    <xf numFmtId="3" fontId="2" fillId="0" borderId="46" xfId="122" applyNumberFormat="1" applyFont="1" applyBorder="1" applyAlignment="1">
      <alignment horizontal="center" vertical="center" wrapText="1"/>
      <protection/>
    </xf>
    <xf numFmtId="3" fontId="2" fillId="0" borderId="45" xfId="122" applyNumberFormat="1" applyFont="1" applyBorder="1" applyAlignment="1">
      <alignment horizontal="center" vertical="center" wrapText="1"/>
      <protection/>
    </xf>
    <xf numFmtId="3" fontId="10" fillId="0" borderId="0" xfId="119" applyNumberFormat="1" applyFont="1" applyFill="1">
      <alignment/>
      <protection/>
    </xf>
    <xf numFmtId="3" fontId="23" fillId="0" borderId="20" xfId="119" applyNumberFormat="1" applyFont="1" applyFill="1" applyBorder="1" applyAlignment="1">
      <alignment wrapText="1"/>
      <protection/>
    </xf>
    <xf numFmtId="3" fontId="2" fillId="0" borderId="0" xfId="119" applyNumberFormat="1" applyFont="1" applyFill="1" applyBorder="1">
      <alignment/>
      <protection/>
    </xf>
    <xf numFmtId="3" fontId="2" fillId="0" borderId="47" xfId="118" applyNumberFormat="1" applyFont="1" applyFill="1" applyBorder="1" applyAlignment="1">
      <alignment horizontal="center" textRotation="90" wrapText="1"/>
      <protection/>
    </xf>
    <xf numFmtId="3" fontId="2" fillId="0" borderId="10" xfId="118" applyNumberFormat="1" applyFont="1" applyFill="1" applyBorder="1" applyAlignment="1">
      <alignment horizontal="center" wrapText="1"/>
      <protection/>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vertical="top"/>
    </xf>
    <xf numFmtId="3" fontId="2" fillId="0" borderId="48" xfId="118" applyNumberFormat="1" applyFont="1" applyFill="1" applyBorder="1" applyAlignment="1">
      <alignment horizontal="center" textRotation="90" wrapText="1"/>
      <protection/>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1" xfId="0" applyFont="1" applyFill="1" applyBorder="1" applyAlignment="1">
      <alignment horizontal="center" vertical="center"/>
    </xf>
    <xf numFmtId="49" fontId="2" fillId="0" borderId="47" xfId="118" applyNumberFormat="1" applyFont="1" applyFill="1" applyBorder="1" applyAlignment="1">
      <alignment horizontal="center"/>
      <protection/>
    </xf>
    <xf numFmtId="49" fontId="2" fillId="0" borderId="48" xfId="118" applyNumberFormat="1" applyFont="1" applyFill="1" applyBorder="1" applyAlignment="1">
      <alignment horizontal="center"/>
      <protection/>
    </xf>
    <xf numFmtId="49" fontId="5" fillId="0" borderId="10" xfId="118" applyNumberFormat="1" applyFont="1" applyFill="1" applyBorder="1" applyAlignment="1">
      <alignment horizontal="center"/>
      <protection/>
    </xf>
    <xf numFmtId="49" fontId="2" fillId="0" borderId="10" xfId="118" applyNumberFormat="1" applyFont="1" applyFill="1" applyBorder="1" applyAlignment="1">
      <alignment horizontal="center" vertical="center"/>
      <protection/>
    </xf>
    <xf numFmtId="3" fontId="10" fillId="0" borderId="34" xfId="118" applyNumberFormat="1" applyFont="1" applyFill="1" applyBorder="1" applyAlignment="1">
      <alignment horizontal="center" vertical="center" wrapText="1"/>
      <protection/>
    </xf>
    <xf numFmtId="3" fontId="2" fillId="0" borderId="52" xfId="118" applyNumberFormat="1" applyFont="1" applyFill="1" applyBorder="1" applyAlignment="1">
      <alignment horizontal="center" vertical="center" textRotation="90" wrapText="1"/>
      <protection/>
    </xf>
    <xf numFmtId="3" fontId="2" fillId="0" borderId="34" xfId="118" applyNumberFormat="1" applyFont="1" applyFill="1" applyBorder="1" applyAlignment="1">
      <alignment horizontal="center" vertical="center" textRotation="90" wrapText="1"/>
      <protection/>
    </xf>
    <xf numFmtId="3" fontId="4" fillId="0" borderId="34" xfId="118" applyNumberFormat="1" applyFont="1" applyFill="1" applyBorder="1" applyAlignment="1">
      <alignment horizontal="center" vertical="center" wrapText="1"/>
      <protection/>
    </xf>
    <xf numFmtId="3" fontId="2" fillId="0" borderId="53" xfId="118" applyNumberFormat="1" applyFont="1" applyFill="1" applyBorder="1" applyAlignment="1">
      <alignment horizontal="center" vertical="center" wrapText="1"/>
      <protection/>
    </xf>
    <xf numFmtId="3" fontId="4" fillId="0" borderId="14" xfId="118" applyNumberFormat="1" applyFont="1" applyFill="1" applyBorder="1" applyAlignment="1">
      <alignment horizontal="right" wrapText="1"/>
      <protection/>
    </xf>
    <xf numFmtId="3" fontId="4" fillId="0" borderId="13" xfId="0" applyNumberFormat="1" applyFont="1" applyFill="1" applyBorder="1" applyAlignment="1">
      <alignment/>
    </xf>
    <xf numFmtId="3" fontId="4" fillId="0" borderId="13" xfId="118" applyNumberFormat="1" applyFont="1" applyFill="1" applyBorder="1" applyAlignment="1">
      <alignment horizontal="right" wrapText="1"/>
      <protection/>
    </xf>
    <xf numFmtId="3" fontId="4" fillId="0" borderId="29"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31" xfId="0" applyNumberFormat="1" applyFont="1" applyFill="1" applyBorder="1" applyAlignment="1">
      <alignment vertical="center"/>
    </xf>
    <xf numFmtId="3" fontId="5" fillId="0" borderId="0" xfId="118" applyNumberFormat="1" applyFont="1" applyFill="1" applyBorder="1" applyAlignment="1">
      <alignment horizontal="right"/>
      <protection/>
    </xf>
    <xf numFmtId="3" fontId="2" fillId="0" borderId="54" xfId="118" applyNumberFormat="1" applyFont="1" applyFill="1" applyBorder="1" applyAlignment="1">
      <alignment horizontal="center"/>
      <protection/>
    </xf>
    <xf numFmtId="49" fontId="2" fillId="0" borderId="52" xfId="118" applyNumberFormat="1" applyFont="1" applyFill="1" applyBorder="1" applyAlignment="1">
      <alignment horizontal="center" vertical="center" textRotation="90"/>
      <protection/>
    </xf>
    <xf numFmtId="3" fontId="2" fillId="0" borderId="34" xfId="118" applyNumberFormat="1" applyFont="1" applyFill="1" applyBorder="1" applyAlignment="1">
      <alignment horizontal="center" vertical="center" textRotation="90"/>
      <protection/>
    </xf>
    <xf numFmtId="3" fontId="4" fillId="0" borderId="34" xfId="118" applyNumberFormat="1" applyFont="1" applyFill="1" applyBorder="1" applyAlignment="1">
      <alignment horizontal="center" vertical="center"/>
      <protection/>
    </xf>
    <xf numFmtId="3" fontId="2" fillId="0" borderId="55" xfId="118" applyNumberFormat="1" applyFont="1" applyFill="1" applyBorder="1" applyAlignment="1">
      <alignment horizontal="center" vertical="center" wrapText="1"/>
      <protection/>
    </xf>
    <xf numFmtId="0" fontId="2" fillId="0" borderId="0" xfId="126" applyFont="1" applyFill="1" applyBorder="1">
      <alignment/>
      <protection/>
    </xf>
    <xf numFmtId="0" fontId="2" fillId="0" borderId="0" xfId="126" applyFont="1" applyFill="1" applyBorder="1" applyAlignment="1">
      <alignment/>
      <protection/>
    </xf>
    <xf numFmtId="0" fontId="2" fillId="0" borderId="20" xfId="126" applyFont="1" applyFill="1" applyBorder="1" applyAlignment="1">
      <alignment horizontal="center" vertical="top"/>
      <protection/>
    </xf>
    <xf numFmtId="0" fontId="2" fillId="0" borderId="20" xfId="121" applyFont="1" applyFill="1" applyBorder="1" applyAlignment="1">
      <alignment wrapText="1"/>
      <protection/>
    </xf>
    <xf numFmtId="0" fontId="2" fillId="0" borderId="20" xfId="121" applyFont="1" applyFill="1" applyBorder="1" applyAlignment="1">
      <alignment vertical="top" wrapText="1"/>
      <protection/>
    </xf>
    <xf numFmtId="0" fontId="2" fillId="0" borderId="0" xfId="126" applyFont="1" applyFill="1" applyBorder="1" applyAlignment="1">
      <alignment vertical="center"/>
      <protection/>
    </xf>
    <xf numFmtId="3" fontId="2" fillId="0" borderId="23" xfId="121" applyNumberFormat="1" applyFont="1" applyFill="1" applyBorder="1" applyAlignment="1">
      <alignment horizontal="right"/>
      <protection/>
    </xf>
    <xf numFmtId="3" fontId="2" fillId="0" borderId="24" xfId="126" applyNumberFormat="1" applyFont="1" applyFill="1" applyBorder="1" applyAlignment="1">
      <alignment horizontal="right"/>
      <protection/>
    </xf>
    <xf numFmtId="3" fontId="2" fillId="0" borderId="23" xfId="126" applyNumberFormat="1" applyFont="1" applyFill="1" applyBorder="1" applyAlignment="1">
      <alignment horizontal="right"/>
      <protection/>
    </xf>
    <xf numFmtId="0" fontId="2" fillId="0" borderId="0" xfId="126" applyFont="1" applyFill="1" applyBorder="1" applyAlignment="1">
      <alignment horizontal="left"/>
      <protection/>
    </xf>
    <xf numFmtId="3" fontId="2" fillId="0" borderId="20" xfId="126" applyNumberFormat="1" applyFont="1" applyFill="1" applyBorder="1" applyAlignment="1">
      <alignment horizontal="right"/>
      <protection/>
    </xf>
    <xf numFmtId="3" fontId="2" fillId="0" borderId="22" xfId="126" applyNumberFormat="1" applyFont="1" applyFill="1" applyBorder="1" applyAlignment="1">
      <alignment horizontal="right"/>
      <protection/>
    </xf>
    <xf numFmtId="3" fontId="2" fillId="0" borderId="0" xfId="127" applyNumberFormat="1" applyFont="1" applyFill="1" applyBorder="1" applyAlignment="1">
      <alignment horizontal="right"/>
      <protection/>
    </xf>
    <xf numFmtId="3" fontId="2" fillId="0" borderId="0" xfId="127" applyNumberFormat="1" applyFont="1" applyFill="1" applyBorder="1" applyAlignment="1">
      <alignment horizontal="right" wrapText="1"/>
      <protection/>
    </xf>
    <xf numFmtId="0" fontId="2" fillId="0" borderId="0" xfId="0" applyFont="1" applyFill="1" applyBorder="1" applyAlignment="1">
      <alignment horizontal="right"/>
    </xf>
    <xf numFmtId="3" fontId="13" fillId="0" borderId="56" xfId="0" applyNumberFormat="1" applyFont="1" applyFill="1" applyBorder="1" applyAlignment="1">
      <alignment vertical="center"/>
    </xf>
    <xf numFmtId="3" fontId="16" fillId="0" borderId="56" xfId="0" applyNumberFormat="1" applyFont="1" applyFill="1" applyBorder="1" applyAlignment="1">
      <alignment vertical="center"/>
    </xf>
    <xf numFmtId="3" fontId="16" fillId="0" borderId="57" xfId="0" applyNumberFormat="1" applyFont="1" applyFill="1" applyBorder="1" applyAlignment="1">
      <alignment/>
    </xf>
    <xf numFmtId="3" fontId="10" fillId="0" borderId="58" xfId="0" applyNumberFormat="1" applyFont="1" applyFill="1" applyBorder="1" applyAlignment="1">
      <alignment/>
    </xf>
    <xf numFmtId="3" fontId="12" fillId="0" borderId="20" xfId="119" applyNumberFormat="1" applyFont="1" applyFill="1" applyBorder="1" applyAlignment="1">
      <alignment wrapText="1"/>
      <protection/>
    </xf>
    <xf numFmtId="3" fontId="12" fillId="0" borderId="20" xfId="119" applyNumberFormat="1" applyFont="1" applyFill="1" applyBorder="1" applyAlignment="1">
      <alignment horizontal="left" wrapText="1"/>
      <protection/>
    </xf>
    <xf numFmtId="3" fontId="12" fillId="0" borderId="20" xfId="119" applyNumberFormat="1" applyFont="1" applyFill="1" applyBorder="1" applyAlignment="1">
      <alignment horizontal="left" wrapText="1" indent="3"/>
      <protection/>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0" fillId="0" borderId="20" xfId="124" applyNumberFormat="1" applyFont="1" applyFill="1" applyBorder="1" applyAlignment="1">
      <alignment horizontal="center"/>
      <protection/>
    </xf>
    <xf numFmtId="3" fontId="10" fillId="0" borderId="23" xfId="124" applyNumberFormat="1" applyFont="1" applyFill="1" applyBorder="1" applyAlignment="1">
      <alignment horizontal="center"/>
      <protection/>
    </xf>
    <xf numFmtId="3" fontId="10" fillId="0" borderId="24" xfId="0" applyNumberFormat="1" applyFont="1" applyFill="1" applyBorder="1" applyAlignment="1">
      <alignment/>
    </xf>
    <xf numFmtId="3" fontId="10" fillId="0" borderId="20" xfId="124" applyNumberFormat="1" applyFont="1" applyFill="1" applyBorder="1" applyAlignment="1">
      <alignment horizontal="center" vertical="top" wrapText="1"/>
      <protection/>
    </xf>
    <xf numFmtId="3" fontId="10" fillId="0" borderId="22" xfId="0" applyNumberFormat="1" applyFont="1" applyFill="1" applyBorder="1" applyAlignment="1">
      <alignment vertical="top"/>
    </xf>
    <xf numFmtId="3" fontId="13" fillId="0" borderId="36" xfId="124" applyNumberFormat="1" applyFont="1" applyFill="1" applyBorder="1" applyAlignment="1">
      <alignment horizontal="center"/>
      <protection/>
    </xf>
    <xf numFmtId="3" fontId="13" fillId="0" borderId="36" xfId="0" applyNumberFormat="1" applyFont="1" applyFill="1" applyBorder="1" applyAlignment="1">
      <alignment vertical="center"/>
    </xf>
    <xf numFmtId="3" fontId="13" fillId="0" borderId="59" xfId="0" applyNumberFormat="1" applyFont="1" applyFill="1" applyBorder="1" applyAlignment="1">
      <alignment vertical="center"/>
    </xf>
    <xf numFmtId="3" fontId="13" fillId="0" borderId="59" xfId="0" applyNumberFormat="1" applyFont="1" applyFill="1" applyBorder="1" applyAlignment="1">
      <alignment horizontal="right"/>
    </xf>
    <xf numFmtId="3" fontId="13" fillId="0" borderId="19"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xf>
    <xf numFmtId="3" fontId="13" fillId="0" borderId="36" xfId="0" applyNumberFormat="1" applyFont="1" applyFill="1" applyBorder="1" applyAlignment="1">
      <alignment horizontal="center" vertical="center"/>
    </xf>
    <xf numFmtId="3" fontId="13" fillId="0" borderId="59" xfId="0" applyNumberFormat="1" applyFont="1" applyFill="1" applyBorder="1" applyAlignment="1">
      <alignment horizontal="right" vertical="center"/>
    </xf>
    <xf numFmtId="3" fontId="10" fillId="0" borderId="20" xfId="0" applyNumberFormat="1" applyFont="1" applyFill="1" applyBorder="1" applyAlignment="1">
      <alignment horizontal="center" vertical="center" wrapText="1"/>
    </xf>
    <xf numFmtId="3" fontId="10" fillId="0" borderId="22" xfId="0" applyNumberFormat="1" applyFont="1" applyFill="1" applyBorder="1" applyAlignment="1">
      <alignment horizontal="right" vertical="top"/>
    </xf>
    <xf numFmtId="0" fontId="22" fillId="0" borderId="0" xfId="0" applyFont="1" applyFill="1" applyAlignment="1">
      <alignment vertical="top"/>
    </xf>
    <xf numFmtId="0" fontId="2" fillId="0" borderId="20" xfId="126" applyFont="1" applyFill="1" applyBorder="1" applyAlignment="1">
      <alignment horizontal="center"/>
      <protection/>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4" fillId="0" borderId="47" xfId="0" applyFont="1" applyFill="1" applyBorder="1" applyAlignment="1">
      <alignment horizontal="left"/>
    </xf>
    <xf numFmtId="0" fontId="4" fillId="0" borderId="60" xfId="0" applyFont="1" applyFill="1" applyBorder="1" applyAlignment="1">
      <alignment horizontal="center"/>
    </xf>
    <xf numFmtId="3" fontId="4" fillId="0" borderId="61" xfId="0" applyNumberFormat="1" applyFont="1" applyFill="1" applyBorder="1" applyAlignment="1">
      <alignment horizontal="center" wrapText="1"/>
    </xf>
    <xf numFmtId="0" fontId="4" fillId="0" borderId="62" xfId="0" applyFont="1" applyFill="1" applyBorder="1" applyAlignment="1">
      <alignment horizontal="center"/>
    </xf>
    <xf numFmtId="0" fontId="4" fillId="0" borderId="14" xfId="0" applyFont="1" applyFill="1" applyBorder="1" applyAlignment="1">
      <alignment horizontal="center"/>
    </xf>
    <xf numFmtId="3" fontId="4" fillId="0" borderId="63" xfId="0" applyNumberFormat="1" applyFont="1" applyFill="1" applyBorder="1" applyAlignment="1">
      <alignment horizontal="center" wrapText="1"/>
    </xf>
    <xf numFmtId="3" fontId="2" fillId="0" borderId="64" xfId="0" applyNumberFormat="1" applyFont="1" applyFill="1" applyBorder="1" applyAlignment="1">
      <alignment/>
    </xf>
    <xf numFmtId="0" fontId="2" fillId="0" borderId="65" xfId="0" applyFont="1" applyFill="1" applyBorder="1" applyAlignment="1">
      <alignment horizontal="center"/>
    </xf>
    <xf numFmtId="0" fontId="2" fillId="0" borderId="0" xfId="0" applyFont="1" applyFill="1" applyBorder="1" applyAlignment="1">
      <alignment wrapText="1"/>
    </xf>
    <xf numFmtId="0" fontId="2" fillId="0" borderId="65" xfId="0" applyFont="1" applyFill="1" applyBorder="1" applyAlignment="1">
      <alignment horizontal="center" vertical="top"/>
    </xf>
    <xf numFmtId="0" fontId="4" fillId="0" borderId="48" xfId="0" applyFont="1" applyFill="1" applyBorder="1" applyAlignment="1">
      <alignment horizontal="right" vertical="center"/>
    </xf>
    <xf numFmtId="0" fontId="4" fillId="0" borderId="12" xfId="0" applyFont="1" applyFill="1" applyBorder="1" applyAlignment="1">
      <alignment horizontal="left" vertical="center"/>
    </xf>
    <xf numFmtId="3" fontId="4" fillId="0" borderId="66" xfId="0" applyNumberFormat="1" applyFont="1" applyFill="1" applyBorder="1" applyAlignment="1">
      <alignment vertical="center"/>
    </xf>
    <xf numFmtId="3" fontId="4" fillId="0" borderId="67" xfId="0" applyNumberFormat="1" applyFont="1" applyFill="1" applyBorder="1" applyAlignment="1">
      <alignment horizontal="center" vertical="center"/>
    </xf>
    <xf numFmtId="3" fontId="4" fillId="0" borderId="68" xfId="0" applyNumberFormat="1" applyFont="1" applyFill="1" applyBorder="1" applyAlignment="1">
      <alignment horizontal="right" vertical="center"/>
    </xf>
    <xf numFmtId="0" fontId="4" fillId="0" borderId="10" xfId="0" applyFont="1" applyFill="1" applyBorder="1" applyAlignment="1">
      <alignment horizontal="left"/>
    </xf>
    <xf numFmtId="0" fontId="4" fillId="0" borderId="65" xfId="0" applyFont="1" applyFill="1" applyBorder="1" applyAlignment="1">
      <alignment horizontal="center"/>
    </xf>
    <xf numFmtId="0" fontId="2" fillId="0" borderId="0" xfId="0" applyFont="1" applyFill="1" applyBorder="1" applyAlignment="1">
      <alignment horizontal="left"/>
    </xf>
    <xf numFmtId="3" fontId="2" fillId="0" borderId="64" xfId="0" applyNumberFormat="1" applyFont="1" applyFill="1" applyBorder="1" applyAlignment="1">
      <alignment horizontal="right"/>
    </xf>
    <xf numFmtId="1" fontId="2" fillId="0" borderId="65" xfId="0" applyNumberFormat="1" applyFont="1" applyFill="1" applyBorder="1" applyAlignment="1">
      <alignment horizontal="center"/>
    </xf>
    <xf numFmtId="3" fontId="2" fillId="0" borderId="69" xfId="0" applyNumberFormat="1" applyFont="1" applyFill="1" applyBorder="1" applyAlignment="1">
      <alignment horizontal="right"/>
    </xf>
    <xf numFmtId="0" fontId="4" fillId="0" borderId="49" xfId="0" applyFont="1" applyFill="1" applyBorder="1" applyAlignment="1">
      <alignment horizontal="right" vertical="center"/>
    </xf>
    <xf numFmtId="0" fontId="4" fillId="0" borderId="29" xfId="0" applyFont="1" applyFill="1" applyBorder="1" applyAlignment="1">
      <alignment horizontal="left" vertical="center"/>
    </xf>
    <xf numFmtId="3" fontId="4" fillId="0" borderId="70" xfId="0" applyNumberFormat="1" applyFont="1" applyFill="1" applyBorder="1" applyAlignment="1">
      <alignment horizontal="center" vertical="center"/>
    </xf>
    <xf numFmtId="3" fontId="4" fillId="0" borderId="71" xfId="0" applyNumberFormat="1" applyFont="1" applyFill="1" applyBorder="1" applyAlignment="1">
      <alignment horizontal="right" vertical="center"/>
    </xf>
    <xf numFmtId="0" fontId="4" fillId="0" borderId="72" xfId="0" applyFont="1" applyFill="1" applyBorder="1" applyAlignment="1">
      <alignment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2" fillId="0" borderId="10" xfId="0" applyFont="1" applyFill="1" applyBorder="1" applyAlignment="1">
      <alignment horizontal="right" vertical="center"/>
    </xf>
    <xf numFmtId="0" fontId="2" fillId="0" borderId="65"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29" xfId="0" applyFont="1" applyFill="1" applyBorder="1" applyAlignment="1">
      <alignment vertical="center"/>
    </xf>
    <xf numFmtId="0" fontId="2" fillId="0" borderId="49" xfId="0" applyFont="1" applyFill="1" applyBorder="1" applyAlignment="1">
      <alignment horizontal="right" vertical="center"/>
    </xf>
    <xf numFmtId="0" fontId="4" fillId="0" borderId="70" xfId="0" applyFont="1" applyFill="1" applyBorder="1" applyAlignment="1">
      <alignment horizontal="right" vertical="center"/>
    </xf>
    <xf numFmtId="0" fontId="4" fillId="0" borderId="75" xfId="0" applyFont="1" applyFill="1" applyBorder="1" applyAlignment="1">
      <alignment horizontal="right" vertical="center"/>
    </xf>
    <xf numFmtId="0" fontId="4" fillId="0" borderId="76" xfId="0" applyFont="1" applyFill="1" applyBorder="1" applyAlignment="1">
      <alignment horizontal="left" vertical="center"/>
    </xf>
    <xf numFmtId="3" fontId="4" fillId="0" borderId="65"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right" vertical="center"/>
    </xf>
    <xf numFmtId="0" fontId="2" fillId="0" borderId="0" xfId="0" applyFont="1" applyFill="1" applyBorder="1" applyAlignment="1">
      <alignment horizontal="left" indent="2"/>
    </xf>
    <xf numFmtId="0" fontId="4" fillId="0" borderId="77"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78" xfId="0" applyFont="1" applyFill="1" applyBorder="1" applyAlignment="1">
      <alignment horizontal="right" vertical="center"/>
    </xf>
    <xf numFmtId="0" fontId="4" fillId="0" borderId="13" xfId="0" applyFont="1" applyFill="1" applyBorder="1" applyAlignment="1">
      <alignment horizontal="left" vertical="center" wrapText="1"/>
    </xf>
    <xf numFmtId="3" fontId="4" fillId="0" borderId="79" xfId="0" applyNumberFormat="1" applyFont="1" applyFill="1" applyBorder="1" applyAlignment="1">
      <alignment horizontal="center" vertical="center"/>
    </xf>
    <xf numFmtId="0" fontId="4" fillId="0" borderId="13" xfId="0" applyFont="1" applyFill="1" applyBorder="1" applyAlignment="1">
      <alignment horizontal="left" vertical="center"/>
    </xf>
    <xf numFmtId="0" fontId="2" fillId="0" borderId="10" xfId="0" applyFont="1" applyFill="1" applyBorder="1" applyAlignment="1">
      <alignment horizontal="right"/>
    </xf>
    <xf numFmtId="0" fontId="2" fillId="0" borderId="65" xfId="0" applyFont="1" applyFill="1" applyBorder="1" applyAlignment="1">
      <alignment horizontal="right"/>
    </xf>
    <xf numFmtId="0" fontId="2" fillId="0" borderId="80" xfId="0" applyFont="1" applyFill="1" applyBorder="1" applyAlignment="1">
      <alignment horizontal="right"/>
    </xf>
    <xf numFmtId="0" fontId="2" fillId="0" borderId="54" xfId="0" applyFont="1" applyFill="1" applyBorder="1" applyAlignment="1">
      <alignment/>
    </xf>
    <xf numFmtId="0" fontId="2" fillId="0" borderId="81" xfId="0" applyFont="1" applyFill="1" applyBorder="1" applyAlignment="1">
      <alignment horizontal="right"/>
    </xf>
    <xf numFmtId="3" fontId="4" fillId="0" borderId="64" xfId="0" applyNumberFormat="1" applyFont="1" applyFill="1" applyBorder="1" applyAlignment="1">
      <alignment horizontal="right"/>
    </xf>
    <xf numFmtId="3" fontId="4" fillId="0" borderId="82"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3" fontId="2" fillId="0" borderId="64" xfId="0" applyNumberFormat="1" applyFont="1" applyFill="1" applyBorder="1" applyAlignment="1">
      <alignment horizontal="right" vertical="center"/>
    </xf>
    <xf numFmtId="3" fontId="2" fillId="0" borderId="82" xfId="0" applyNumberFormat="1" applyFont="1" applyFill="1" applyBorder="1" applyAlignment="1">
      <alignment horizontal="right" vertical="center"/>
    </xf>
    <xf numFmtId="3"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164" fontId="2" fillId="0" borderId="64" xfId="135" applyNumberFormat="1" applyFont="1" applyFill="1" applyBorder="1" applyAlignment="1">
      <alignment horizontal="right"/>
    </xf>
    <xf numFmtId="164" fontId="2" fillId="0" borderId="86" xfId="135" applyNumberFormat="1" applyFont="1" applyFill="1" applyBorder="1" applyAlignment="1">
      <alignment horizontal="right"/>
    </xf>
    <xf numFmtId="3" fontId="2" fillId="0" borderId="69" xfId="0" applyNumberFormat="1" applyFont="1" applyFill="1" applyBorder="1" applyAlignment="1">
      <alignment horizontal="right" vertical="center" textRotation="180"/>
    </xf>
    <xf numFmtId="3" fontId="4" fillId="0" borderId="87" xfId="0" applyNumberFormat="1" applyFont="1" applyFill="1" applyBorder="1" applyAlignment="1">
      <alignment horizontal="right" vertical="center"/>
    </xf>
    <xf numFmtId="3" fontId="2" fillId="0" borderId="69" xfId="0" applyNumberFormat="1" applyFont="1" applyFill="1" applyBorder="1" applyAlignment="1">
      <alignment horizontal="right" vertical="center"/>
    </xf>
    <xf numFmtId="3" fontId="2" fillId="0" borderId="71" xfId="0" applyNumberFormat="1" applyFont="1" applyFill="1" applyBorder="1" applyAlignment="1">
      <alignment horizontal="right" vertical="center"/>
    </xf>
    <xf numFmtId="3" fontId="2" fillId="0" borderId="88" xfId="0" applyNumberFormat="1" applyFont="1" applyFill="1" applyBorder="1" applyAlignment="1">
      <alignment horizontal="right" vertical="center"/>
    </xf>
    <xf numFmtId="164" fontId="2" fillId="0" borderId="69" xfId="135" applyNumberFormat="1" applyFont="1" applyFill="1" applyBorder="1" applyAlignment="1">
      <alignment horizontal="right"/>
    </xf>
    <xf numFmtId="164" fontId="2" fillId="0" borderId="89" xfId="135" applyNumberFormat="1" applyFont="1" applyFill="1" applyBorder="1" applyAlignment="1">
      <alignment horizontal="right"/>
    </xf>
    <xf numFmtId="3" fontId="10" fillId="0" borderId="90" xfId="0" applyNumberFormat="1" applyFont="1" applyFill="1" applyBorder="1" applyAlignment="1">
      <alignment horizontal="center"/>
    </xf>
    <xf numFmtId="3" fontId="10" fillId="0" borderId="90" xfId="0" applyNumberFormat="1" applyFont="1" applyFill="1" applyBorder="1" applyAlignment="1">
      <alignment horizontal="right"/>
    </xf>
    <xf numFmtId="3" fontId="13" fillId="0" borderId="90" xfId="0" applyNumberFormat="1" applyFont="1" applyFill="1" applyBorder="1" applyAlignment="1">
      <alignment horizontal="right"/>
    </xf>
    <xf numFmtId="3" fontId="22" fillId="0" borderId="0" xfId="0" applyNumberFormat="1" applyFont="1" applyFill="1" applyBorder="1" applyAlignment="1">
      <alignment vertical="center"/>
    </xf>
    <xf numFmtId="3" fontId="10" fillId="0" borderId="20" xfId="119" applyNumberFormat="1" applyFont="1" applyFill="1" applyBorder="1" applyAlignment="1">
      <alignment horizontal="center" vertical="top"/>
      <protection/>
    </xf>
    <xf numFmtId="3" fontId="13" fillId="0" borderId="91" xfId="119" applyNumberFormat="1" applyFont="1" applyFill="1" applyBorder="1" applyAlignment="1">
      <alignment horizontal="right"/>
      <protection/>
    </xf>
    <xf numFmtId="3" fontId="4" fillId="0" borderId="92" xfId="118" applyNumberFormat="1" applyFont="1" applyFill="1" applyBorder="1" applyAlignment="1">
      <alignment horizontal="right" wrapText="1"/>
      <protection/>
    </xf>
    <xf numFmtId="0" fontId="4" fillId="0" borderId="12" xfId="0" applyFont="1" applyFill="1" applyBorder="1" applyAlignment="1">
      <alignment vertical="center"/>
    </xf>
    <xf numFmtId="0" fontId="2" fillId="0" borderId="13" xfId="0" applyFont="1" applyFill="1" applyBorder="1" applyAlignment="1">
      <alignment horizontal="left" wrapText="1" indent="1"/>
    </xf>
    <xf numFmtId="3" fontId="4" fillId="0" borderId="0" xfId="119" applyNumberFormat="1" applyFont="1" applyFill="1" applyAlignment="1">
      <alignment horizontal="center" vertical="center"/>
      <protection/>
    </xf>
    <xf numFmtId="3" fontId="6" fillId="0" borderId="0" xfId="0" applyNumberFormat="1" applyFont="1" applyFill="1" applyBorder="1" applyAlignment="1">
      <alignment horizontal="center"/>
    </xf>
    <xf numFmtId="3" fontId="13" fillId="0" borderId="19" xfId="119" applyNumberFormat="1" applyFont="1" applyFill="1" applyBorder="1" applyAlignment="1">
      <alignment horizontal="center" vertical="center"/>
      <protection/>
    </xf>
    <xf numFmtId="3" fontId="13" fillId="0" borderId="23" xfId="119" applyNumberFormat="1" applyFont="1" applyFill="1" applyBorder="1" applyAlignment="1">
      <alignment wrapText="1"/>
      <protection/>
    </xf>
    <xf numFmtId="3" fontId="13" fillId="0" borderId="20" xfId="119" applyNumberFormat="1" applyFont="1" applyFill="1" applyBorder="1" applyAlignment="1">
      <alignment wrapText="1"/>
      <protection/>
    </xf>
    <xf numFmtId="3" fontId="13" fillId="0" borderId="19" xfId="119" applyNumberFormat="1" applyFont="1" applyFill="1" applyBorder="1" applyAlignment="1">
      <alignment horizontal="center"/>
      <protection/>
    </xf>
    <xf numFmtId="3" fontId="16" fillId="0" borderId="19" xfId="119" applyNumberFormat="1" applyFont="1" applyFill="1" applyBorder="1" applyAlignment="1">
      <alignment horizontal="center" vertical="center"/>
      <protection/>
    </xf>
    <xf numFmtId="3" fontId="13" fillId="0" borderId="20" xfId="119" applyNumberFormat="1" applyFont="1" applyFill="1" applyBorder="1" applyAlignment="1">
      <alignment shrinkToFit="1"/>
      <protection/>
    </xf>
    <xf numFmtId="3" fontId="13" fillId="0" borderId="20" xfId="119" applyNumberFormat="1" applyFont="1" applyFill="1" applyBorder="1" applyAlignment="1">
      <alignment horizontal="left" wrapText="1"/>
      <protection/>
    </xf>
    <xf numFmtId="1" fontId="18" fillId="0" borderId="0" xfId="119" applyNumberFormat="1" applyFont="1" applyFill="1" applyBorder="1" applyAlignment="1">
      <alignment horizontal="center" vertical="center"/>
      <protection/>
    </xf>
    <xf numFmtId="1" fontId="18" fillId="0" borderId="0" xfId="119" applyNumberFormat="1" applyFont="1" applyFill="1" applyBorder="1" applyAlignment="1">
      <alignment horizontal="left" vertical="center"/>
      <protection/>
    </xf>
    <xf numFmtId="3" fontId="10" fillId="0" borderId="43" xfId="119" applyNumberFormat="1" applyFont="1" applyFill="1" applyBorder="1" applyAlignment="1">
      <alignment horizontal="center"/>
      <protection/>
    </xf>
    <xf numFmtId="3" fontId="12" fillId="0" borderId="43" xfId="119" applyNumberFormat="1" applyFont="1" applyFill="1" applyBorder="1" applyAlignment="1">
      <alignment horizontal="center"/>
      <protection/>
    </xf>
    <xf numFmtId="3" fontId="10" fillId="0" borderId="57" xfId="119" applyNumberFormat="1" applyFont="1" applyFill="1" applyBorder="1" applyAlignment="1">
      <alignment horizontal="center"/>
      <protection/>
    </xf>
    <xf numFmtId="3" fontId="10" fillId="0" borderId="93" xfId="0" applyNumberFormat="1" applyFont="1" applyFill="1" applyBorder="1" applyAlignment="1">
      <alignment horizontal="center" wrapText="1"/>
    </xf>
    <xf numFmtId="3" fontId="10" fillId="0" borderId="43" xfId="0" applyNumberFormat="1" applyFont="1" applyFill="1" applyBorder="1" applyAlignment="1">
      <alignment horizontal="center" wrapText="1"/>
    </xf>
    <xf numFmtId="3" fontId="0" fillId="0" borderId="0" xfId="0" applyNumberFormat="1" applyFont="1" applyFill="1" applyAlignment="1">
      <alignment/>
    </xf>
    <xf numFmtId="3" fontId="10" fillId="0" borderId="20" xfId="124" applyNumberFormat="1" applyFont="1" applyFill="1" applyBorder="1" applyAlignment="1">
      <alignment horizontal="center" vertical="center" wrapText="1"/>
      <protection/>
    </xf>
    <xf numFmtId="3" fontId="12" fillId="0" borderId="0" xfId="119" applyNumberFormat="1" applyFont="1" applyFill="1" applyAlignment="1">
      <alignment horizontal="center" vertical="center"/>
      <protection/>
    </xf>
    <xf numFmtId="3" fontId="10" fillId="0" borderId="0" xfId="119" applyNumberFormat="1" applyFont="1" applyFill="1" applyAlignment="1">
      <alignment horizontal="center" vertical="center"/>
      <protection/>
    </xf>
    <xf numFmtId="0" fontId="2" fillId="0" borderId="19" xfId="126" applyFont="1" applyFill="1" applyBorder="1" applyAlignment="1">
      <alignment horizontal="center"/>
      <protection/>
    </xf>
    <xf numFmtId="3" fontId="12" fillId="0" borderId="25" xfId="119" applyNumberFormat="1" applyFont="1" applyFill="1" applyBorder="1" applyAlignment="1">
      <alignment horizontal="center" vertical="center"/>
      <protection/>
    </xf>
    <xf numFmtId="3" fontId="6" fillId="0" borderId="0" xfId="0" applyNumberFormat="1" applyFont="1" applyFill="1" applyBorder="1" applyAlignment="1">
      <alignment vertical="top"/>
    </xf>
    <xf numFmtId="3" fontId="2" fillId="0" borderId="0" xfId="87" applyNumberFormat="1" applyFont="1" applyFill="1" applyBorder="1" applyAlignment="1">
      <alignment horizontal="center" vertical="center"/>
      <protection/>
    </xf>
    <xf numFmtId="3" fontId="2" fillId="0" borderId="0" xfId="87" applyNumberFormat="1" applyFont="1" applyFill="1" applyBorder="1" applyAlignment="1">
      <alignment horizontal="right"/>
      <protection/>
    </xf>
    <xf numFmtId="0" fontId="2" fillId="0" borderId="0" xfId="87" applyFont="1" applyFill="1" applyBorder="1">
      <alignment/>
      <protection/>
    </xf>
    <xf numFmtId="3" fontId="2" fillId="0" borderId="94" xfId="122" applyNumberFormat="1" applyFont="1" applyBorder="1" applyAlignment="1">
      <alignment horizontal="center" vertical="center" wrapText="1"/>
      <protection/>
    </xf>
    <xf numFmtId="3" fontId="2" fillId="0" borderId="95" xfId="122" applyNumberFormat="1" applyFont="1" applyBorder="1" applyAlignment="1">
      <alignment horizontal="right" vertical="center" wrapText="1"/>
      <protection/>
    </xf>
    <xf numFmtId="3" fontId="2" fillId="0" borderId="0" xfId="118" applyNumberFormat="1" applyFont="1" applyFill="1" applyBorder="1" applyAlignment="1">
      <alignment horizontal="left" wrapText="1" indent="3"/>
      <protection/>
    </xf>
    <xf numFmtId="3" fontId="2" fillId="0" borderId="0" xfId="118" applyNumberFormat="1" applyFont="1" applyFill="1" applyBorder="1" applyAlignment="1">
      <alignment vertical="center"/>
      <protection/>
    </xf>
    <xf numFmtId="3" fontId="13" fillId="0" borderId="0" xfId="0" applyNumberFormat="1" applyFont="1" applyFill="1" applyBorder="1" applyAlignment="1">
      <alignment horizontal="right"/>
    </xf>
    <xf numFmtId="3" fontId="12" fillId="0" borderId="25" xfId="119" applyNumberFormat="1" applyFont="1" applyFill="1" applyBorder="1" applyAlignment="1">
      <alignment horizontal="center"/>
      <protection/>
    </xf>
    <xf numFmtId="3" fontId="5" fillId="0" borderId="0" xfId="119" applyNumberFormat="1" applyFont="1" applyFill="1" applyAlignment="1">
      <alignment horizontal="center"/>
      <protection/>
    </xf>
    <xf numFmtId="0" fontId="6" fillId="0" borderId="0" xfId="119" applyNumberFormat="1" applyFont="1" applyFill="1" applyBorder="1" applyAlignment="1">
      <alignment horizontal="center" vertical="center"/>
      <protection/>
    </xf>
    <xf numFmtId="0" fontId="7" fillId="0" borderId="0" xfId="0" applyFont="1" applyFill="1" applyAlignment="1">
      <alignment vertical="center"/>
    </xf>
    <xf numFmtId="3" fontId="13" fillId="0" borderId="91" xfId="124" applyNumberFormat="1" applyFont="1" applyFill="1" applyBorder="1" applyAlignment="1">
      <alignment horizontal="left"/>
      <protection/>
    </xf>
    <xf numFmtId="3" fontId="10" fillId="0" borderId="96" xfId="124" applyNumberFormat="1" applyFont="1" applyFill="1" applyBorder="1" applyAlignment="1">
      <alignment/>
      <protection/>
    </xf>
    <xf numFmtId="3" fontId="13" fillId="0" borderId="96" xfId="124" applyNumberFormat="1" applyFont="1" applyFill="1" applyBorder="1" applyAlignment="1">
      <alignment/>
      <protection/>
    </xf>
    <xf numFmtId="3" fontId="13" fillId="0" borderId="91" xfId="124" applyNumberFormat="1" applyFont="1" applyFill="1" applyBorder="1" applyAlignment="1">
      <alignment/>
      <protection/>
    </xf>
    <xf numFmtId="3" fontId="13" fillId="0" borderId="97" xfId="124" applyNumberFormat="1" applyFont="1" applyFill="1" applyBorder="1" applyAlignment="1">
      <alignment horizontal="left"/>
      <protection/>
    </xf>
    <xf numFmtId="3" fontId="13" fillId="0" borderId="98" xfId="124" applyNumberFormat="1" applyFont="1" applyFill="1" applyBorder="1" applyAlignment="1">
      <alignment wrapText="1"/>
      <protection/>
    </xf>
    <xf numFmtId="3" fontId="10" fillId="0" borderId="94" xfId="0" applyNumberFormat="1" applyFont="1" applyFill="1" applyBorder="1" applyAlignment="1">
      <alignment horizontal="center" vertical="center"/>
    </xf>
    <xf numFmtId="3" fontId="16" fillId="0" borderId="94" xfId="0" applyNumberFormat="1" applyFont="1" applyFill="1" applyBorder="1" applyAlignment="1">
      <alignment horizontal="center" vertical="center"/>
    </xf>
    <xf numFmtId="3" fontId="10" fillId="0" borderId="94" xfId="0" applyNumberFormat="1" applyFont="1" applyFill="1" applyBorder="1" applyAlignment="1">
      <alignment horizontal="center" vertical="top"/>
    </xf>
    <xf numFmtId="3" fontId="10" fillId="0" borderId="99" xfId="0" applyNumberFormat="1" applyFont="1" applyFill="1" applyBorder="1" applyAlignment="1">
      <alignment horizontal="center" vertical="center"/>
    </xf>
    <xf numFmtId="3" fontId="10" fillId="0" borderId="100" xfId="0" applyNumberFormat="1" applyFont="1" applyFill="1" applyBorder="1" applyAlignment="1">
      <alignment horizontal="center" vertical="center"/>
    </xf>
    <xf numFmtId="3" fontId="10" fillId="0" borderId="10" xfId="0" applyNumberFormat="1" applyFont="1" applyFill="1" applyBorder="1" applyAlignment="1">
      <alignment horizontal="center" vertical="center"/>
    </xf>
    <xf numFmtId="3" fontId="10" fillId="0" borderId="101" xfId="0" applyNumberFormat="1" applyFont="1" applyFill="1" applyBorder="1" applyAlignment="1">
      <alignment vertical="center" wrapText="1"/>
    </xf>
    <xf numFmtId="3" fontId="10" fillId="0" borderId="98" xfId="0" applyNumberFormat="1" applyFont="1" applyFill="1" applyBorder="1" applyAlignment="1">
      <alignment horizontal="center"/>
    </xf>
    <xf numFmtId="3" fontId="10" fillId="0" borderId="96" xfId="0" applyNumberFormat="1" applyFont="1" applyFill="1" applyBorder="1" applyAlignment="1">
      <alignment horizontal="center"/>
    </xf>
    <xf numFmtId="3" fontId="10" fillId="0" borderId="96" xfId="0" applyNumberFormat="1" applyFont="1" applyFill="1" applyBorder="1" applyAlignment="1">
      <alignment horizontal="center" vertical="top"/>
    </xf>
    <xf numFmtId="3" fontId="10" fillId="0" borderId="91" xfId="0" applyNumberFormat="1" applyFont="1" applyFill="1" applyBorder="1" applyAlignment="1">
      <alignment horizontal="center"/>
    </xf>
    <xf numFmtId="3" fontId="13" fillId="0" borderId="57" xfId="0" applyNumberFormat="1" applyFont="1" applyFill="1" applyBorder="1" applyAlignment="1">
      <alignment/>
    </xf>
    <xf numFmtId="3" fontId="10" fillId="0" borderId="96" xfId="124" applyNumberFormat="1" applyFont="1" applyFill="1" applyBorder="1" applyAlignment="1">
      <alignment wrapText="1"/>
      <protection/>
    </xf>
    <xf numFmtId="3" fontId="10" fillId="0" borderId="22" xfId="124" applyNumberFormat="1" applyFont="1" applyFill="1" applyBorder="1" applyAlignment="1">
      <alignment/>
      <protection/>
    </xf>
    <xf numFmtId="3" fontId="10" fillId="0" borderId="20" xfId="124" applyNumberFormat="1" applyFont="1" applyFill="1" applyBorder="1" applyAlignment="1">
      <alignment vertical="top" wrapText="1"/>
      <protection/>
    </xf>
    <xf numFmtId="3" fontId="16" fillId="0" borderId="27" xfId="0" applyNumberFormat="1" applyFont="1" applyFill="1" applyBorder="1" applyAlignment="1">
      <alignment vertical="center"/>
    </xf>
    <xf numFmtId="3" fontId="2" fillId="0" borderId="0" xfId="0" applyNumberFormat="1" applyFont="1" applyFill="1" applyAlignment="1">
      <alignment vertical="center"/>
    </xf>
    <xf numFmtId="3" fontId="5" fillId="0" borderId="0" xfId="0" applyNumberFormat="1" applyFont="1" applyFill="1" applyAlignment="1">
      <alignment vertical="center"/>
    </xf>
    <xf numFmtId="3" fontId="4" fillId="0" borderId="0" xfId="0" applyNumberFormat="1" applyFont="1" applyFill="1" applyAlignment="1">
      <alignment vertical="center"/>
    </xf>
    <xf numFmtId="0" fontId="14" fillId="0" borderId="0" xfId="0" applyFont="1" applyFill="1" applyAlignment="1">
      <alignment horizontal="center" vertical="center"/>
    </xf>
    <xf numFmtId="3" fontId="10" fillId="0" borderId="102" xfId="0" applyNumberFormat="1" applyFont="1" applyFill="1" applyBorder="1" applyAlignment="1">
      <alignment vertical="center"/>
    </xf>
    <xf numFmtId="3" fontId="13" fillId="0" borderId="103" xfId="0" applyNumberFormat="1" applyFont="1" applyFill="1" applyBorder="1" applyAlignment="1">
      <alignment vertical="center"/>
    </xf>
    <xf numFmtId="3" fontId="10" fillId="0" borderId="0" xfId="87" applyNumberFormat="1" applyFont="1" applyFill="1" applyBorder="1" applyAlignment="1">
      <alignment horizontal="center" vertical="center"/>
      <protection/>
    </xf>
    <xf numFmtId="3" fontId="10" fillId="0" borderId="0" xfId="87" applyNumberFormat="1" applyFont="1" applyFill="1" applyBorder="1" applyAlignment="1">
      <alignment horizontal="right"/>
      <protection/>
    </xf>
    <xf numFmtId="3" fontId="10" fillId="0" borderId="0" xfId="126" applyNumberFormat="1" applyFont="1" applyFill="1" applyBorder="1" applyAlignment="1">
      <alignment horizontal="right"/>
      <protection/>
    </xf>
    <xf numFmtId="0" fontId="10" fillId="0" borderId="0" xfId="126" applyFont="1" applyFill="1" applyBorder="1">
      <alignment/>
      <protection/>
    </xf>
    <xf numFmtId="0" fontId="10" fillId="0" borderId="0" xfId="126" applyFont="1" applyFill="1" applyBorder="1" applyAlignment="1">
      <alignment horizontal="center" vertical="center"/>
      <protection/>
    </xf>
    <xf numFmtId="0" fontId="10" fillId="0" borderId="0" xfId="126" applyFont="1" applyFill="1" applyBorder="1" applyAlignment="1">
      <alignment horizontal="center" vertical="top"/>
      <protection/>
    </xf>
    <xf numFmtId="0" fontId="10" fillId="0" borderId="0" xfId="126" applyFont="1" applyFill="1" applyBorder="1" applyAlignment="1">
      <alignment wrapText="1"/>
      <protection/>
    </xf>
    <xf numFmtId="3" fontId="10" fillId="0" borderId="0" xfId="126" applyNumberFormat="1" applyFont="1" applyFill="1" applyBorder="1" applyAlignment="1">
      <alignment horizontal="center" vertical="center" wrapText="1"/>
      <protection/>
    </xf>
    <xf numFmtId="3" fontId="12" fillId="0" borderId="0" xfId="126" applyNumberFormat="1" applyFont="1" applyFill="1" applyBorder="1" applyAlignment="1">
      <alignment horizontal="right"/>
      <protection/>
    </xf>
    <xf numFmtId="3" fontId="10" fillId="0" borderId="23" xfId="126" applyNumberFormat="1" applyFont="1" applyFill="1" applyBorder="1" applyAlignment="1">
      <alignment horizontal="right" vertical="center"/>
      <protection/>
    </xf>
    <xf numFmtId="3" fontId="10" fillId="0" borderId="0" xfId="87" applyNumberFormat="1" applyFont="1" applyFill="1" applyBorder="1" applyAlignment="1">
      <alignment horizontal="left" vertical="top"/>
      <protection/>
    </xf>
    <xf numFmtId="3" fontId="10" fillId="0" borderId="0" xfId="127" applyNumberFormat="1" applyFont="1" applyFill="1" applyBorder="1" applyAlignment="1">
      <alignment horizontal="right"/>
      <protection/>
    </xf>
    <xf numFmtId="3" fontId="10" fillId="0" borderId="0" xfId="127" applyNumberFormat="1" applyFont="1" applyFill="1" applyBorder="1" applyAlignment="1">
      <alignment horizontal="right" wrapText="1"/>
      <protection/>
    </xf>
    <xf numFmtId="3" fontId="10" fillId="0" borderId="0" xfId="126" applyNumberFormat="1" applyFont="1" applyFill="1" applyBorder="1" applyAlignment="1">
      <alignment horizontal="right" vertical="center"/>
      <protection/>
    </xf>
    <xf numFmtId="0" fontId="6" fillId="0" borderId="0" xfId="87" applyFont="1" applyFill="1" applyBorder="1" applyAlignment="1">
      <alignment horizontal="center" vertical="center"/>
      <protection/>
    </xf>
    <xf numFmtId="0" fontId="6" fillId="0" borderId="0" xfId="126" applyFont="1" applyFill="1" applyBorder="1" applyAlignment="1">
      <alignment horizontal="center" vertical="center"/>
      <protection/>
    </xf>
    <xf numFmtId="3" fontId="6" fillId="0" borderId="0" xfId="126" applyNumberFormat="1" applyFont="1" applyFill="1" applyBorder="1" applyAlignment="1">
      <alignment horizontal="center" vertical="center"/>
      <protection/>
    </xf>
    <xf numFmtId="0" fontId="10" fillId="0" borderId="0" xfId="126" applyFont="1" applyFill="1" applyBorder="1" applyAlignment="1">
      <alignment vertical="center"/>
      <protection/>
    </xf>
    <xf numFmtId="3" fontId="16" fillId="0" borderId="18" xfId="0" applyNumberFormat="1" applyFont="1" applyFill="1" applyBorder="1" applyAlignment="1">
      <alignment vertical="center"/>
    </xf>
    <xf numFmtId="3" fontId="16" fillId="0" borderId="104" xfId="0" applyNumberFormat="1" applyFont="1" applyFill="1" applyBorder="1" applyAlignment="1">
      <alignment vertical="center"/>
    </xf>
    <xf numFmtId="3" fontId="16" fillId="0" borderId="105" xfId="0" applyNumberFormat="1" applyFont="1" applyFill="1" applyBorder="1" applyAlignment="1">
      <alignment vertical="center"/>
    </xf>
    <xf numFmtId="3" fontId="16" fillId="0" borderId="93" xfId="0" applyNumberFormat="1" applyFont="1" applyFill="1" applyBorder="1" applyAlignment="1">
      <alignment vertical="center"/>
    </xf>
    <xf numFmtId="3" fontId="16" fillId="0" borderId="18" xfId="0" applyNumberFormat="1" applyFont="1" applyFill="1" applyBorder="1" applyAlignment="1">
      <alignment horizontal="center" vertical="center"/>
    </xf>
    <xf numFmtId="3" fontId="16" fillId="0" borderId="18" xfId="0" applyNumberFormat="1" applyFont="1" applyFill="1" applyBorder="1" applyAlignment="1">
      <alignment horizontal="right" vertical="center"/>
    </xf>
    <xf numFmtId="3" fontId="16" fillId="0" borderId="104" xfId="0" applyNumberFormat="1" applyFont="1" applyFill="1" applyBorder="1" applyAlignment="1">
      <alignment horizontal="right" vertical="center"/>
    </xf>
    <xf numFmtId="3" fontId="16" fillId="0" borderId="18" xfId="124" applyNumberFormat="1" applyFont="1" applyFill="1" applyBorder="1" applyAlignment="1">
      <alignment horizontal="center" vertical="center"/>
      <protection/>
    </xf>
    <xf numFmtId="3" fontId="16" fillId="0" borderId="106" xfId="0" applyNumberFormat="1" applyFont="1" applyFill="1" applyBorder="1" applyAlignment="1">
      <alignment horizontal="right" vertical="center"/>
    </xf>
    <xf numFmtId="3" fontId="10" fillId="0" borderId="23" xfId="121" applyNumberFormat="1" applyFont="1" applyFill="1" applyBorder="1" applyAlignment="1">
      <alignment horizontal="right" vertical="center"/>
      <protection/>
    </xf>
    <xf numFmtId="3" fontId="10" fillId="0" borderId="107" xfId="126" applyNumberFormat="1" applyFont="1" applyFill="1" applyBorder="1" applyAlignment="1">
      <alignment horizontal="right" vertical="center"/>
      <protection/>
    </xf>
    <xf numFmtId="0" fontId="10" fillId="0" borderId="19" xfId="126" applyFont="1" applyFill="1" applyBorder="1" applyAlignment="1">
      <alignment horizontal="center" vertical="center"/>
      <protection/>
    </xf>
    <xf numFmtId="0" fontId="10" fillId="0" borderId="20" xfId="126" applyFont="1" applyFill="1" applyBorder="1" applyAlignment="1">
      <alignment horizontal="center"/>
      <protection/>
    </xf>
    <xf numFmtId="3" fontId="10" fillId="0" borderId="20" xfId="126" applyNumberFormat="1" applyFont="1" applyFill="1" applyBorder="1" applyAlignment="1">
      <alignment horizontal="right" vertical="center"/>
      <protection/>
    </xf>
    <xf numFmtId="3" fontId="10" fillId="0" borderId="20" xfId="121" applyNumberFormat="1" applyFont="1" applyFill="1" applyBorder="1" applyAlignment="1">
      <alignment horizontal="right" vertical="center"/>
      <protection/>
    </xf>
    <xf numFmtId="3" fontId="10" fillId="0" borderId="108" xfId="126" applyNumberFormat="1" applyFont="1" applyFill="1" applyBorder="1" applyAlignment="1">
      <alignment horizontal="right" vertical="center"/>
      <protection/>
    </xf>
    <xf numFmtId="0" fontId="10" fillId="0" borderId="20" xfId="126" applyFont="1" applyFill="1" applyBorder="1" applyAlignment="1">
      <alignment horizontal="center" vertical="top"/>
      <protection/>
    </xf>
    <xf numFmtId="0" fontId="6" fillId="0" borderId="0" xfId="127" applyFont="1" applyFill="1" applyBorder="1" applyAlignment="1">
      <alignment horizontal="center" vertical="center" wrapText="1"/>
      <protection/>
    </xf>
    <xf numFmtId="3" fontId="6" fillId="0" borderId="0" xfId="127" applyNumberFormat="1" applyFont="1" applyFill="1" applyBorder="1" applyAlignment="1">
      <alignment horizontal="center" vertical="center"/>
      <protection/>
    </xf>
    <xf numFmtId="3" fontId="10" fillId="0" borderId="11" xfId="126" applyNumberFormat="1" applyFont="1" applyFill="1" applyBorder="1" applyAlignment="1">
      <alignment horizontal="center" vertical="center" wrapText="1"/>
      <protection/>
    </xf>
    <xf numFmtId="3" fontId="10" fillId="0" borderId="36" xfId="121" applyNumberFormat="1" applyFont="1" applyFill="1" applyBorder="1" applyAlignment="1">
      <alignment horizontal="right" vertical="center" wrapText="1"/>
      <protection/>
    </xf>
    <xf numFmtId="3" fontId="10" fillId="0" borderId="109" xfId="121" applyNumberFormat="1" applyFont="1" applyFill="1" applyBorder="1" applyAlignment="1">
      <alignment horizontal="right" vertical="center" wrapText="1"/>
      <protection/>
    </xf>
    <xf numFmtId="3" fontId="10" fillId="0" borderId="20" xfId="121" applyNumberFormat="1" applyFont="1" applyFill="1" applyBorder="1" applyAlignment="1">
      <alignment horizontal="right" vertical="center" wrapText="1"/>
      <protection/>
    </xf>
    <xf numFmtId="3" fontId="10" fillId="0" borderId="110" xfId="121" applyNumberFormat="1" applyFont="1" applyFill="1" applyBorder="1" applyAlignment="1">
      <alignment horizontal="right" vertical="center" wrapText="1"/>
      <protection/>
    </xf>
    <xf numFmtId="3" fontId="10" fillId="0" borderId="110" xfId="126" applyNumberFormat="1" applyFont="1" applyFill="1" applyBorder="1" applyAlignment="1">
      <alignment horizontal="right" vertical="center"/>
      <protection/>
    </xf>
    <xf numFmtId="0" fontId="10" fillId="0" borderId="0" xfId="126" applyFont="1" applyFill="1" applyBorder="1" applyAlignment="1">
      <alignment horizontal="center"/>
      <protection/>
    </xf>
    <xf numFmtId="3" fontId="2" fillId="0" borderId="0" xfId="87" applyNumberFormat="1" applyFont="1" applyFill="1" applyBorder="1" applyAlignment="1">
      <alignment horizontal="center"/>
      <protection/>
    </xf>
    <xf numFmtId="0" fontId="2" fillId="0" borderId="0" xfId="87" applyFont="1" applyFill="1" applyBorder="1" applyAlignment="1">
      <alignment/>
      <protection/>
    </xf>
    <xf numFmtId="3" fontId="2" fillId="0" borderId="0" xfId="126" applyNumberFormat="1" applyFont="1" applyFill="1" applyBorder="1" applyAlignment="1">
      <alignment horizontal="center" wrapText="1"/>
      <protection/>
    </xf>
    <xf numFmtId="3" fontId="2" fillId="0" borderId="11" xfId="126" applyNumberFormat="1" applyFont="1" applyFill="1" applyBorder="1" applyAlignment="1">
      <alignment horizontal="center" vertical="center" wrapText="1"/>
      <protection/>
    </xf>
    <xf numFmtId="3" fontId="2" fillId="0" borderId="80" xfId="126" applyNumberFormat="1" applyFont="1" applyFill="1" applyBorder="1" applyAlignment="1">
      <alignment horizontal="center" vertical="center" wrapText="1"/>
      <protection/>
    </xf>
    <xf numFmtId="0" fontId="4" fillId="0" borderId="25" xfId="126" applyFont="1" applyFill="1" applyBorder="1" applyAlignment="1">
      <alignment horizontal="center"/>
      <protection/>
    </xf>
    <xf numFmtId="3" fontId="4" fillId="0" borderId="111" xfId="121" applyNumberFormat="1" applyFont="1" applyFill="1" applyBorder="1" applyAlignment="1">
      <alignment horizontal="right" wrapText="1"/>
      <protection/>
    </xf>
    <xf numFmtId="0" fontId="4" fillId="0" borderId="0" xfId="126" applyFont="1" applyFill="1" applyBorder="1" applyAlignment="1">
      <alignment/>
      <protection/>
    </xf>
    <xf numFmtId="3" fontId="2" fillId="0" borderId="20" xfId="121" applyNumberFormat="1" applyFont="1" applyFill="1" applyBorder="1" applyAlignment="1">
      <alignment horizontal="right" wrapText="1"/>
      <protection/>
    </xf>
    <xf numFmtId="3" fontId="2" fillId="0" borderId="107" xfId="126" applyNumberFormat="1" applyFont="1" applyFill="1" applyBorder="1" applyAlignment="1">
      <alignment horizontal="right"/>
      <protection/>
    </xf>
    <xf numFmtId="0" fontId="2" fillId="0" borderId="20" xfId="121" applyFont="1" applyFill="1" applyBorder="1" applyAlignment="1">
      <alignment horizontal="left"/>
      <protection/>
    </xf>
    <xf numFmtId="3" fontId="2" fillId="0" borderId="20" xfId="121" applyNumberFormat="1" applyFont="1" applyFill="1" applyBorder="1" applyAlignment="1">
      <alignment horizontal="right"/>
      <protection/>
    </xf>
    <xf numFmtId="3" fontId="2" fillId="0" borderId="108" xfId="126" applyNumberFormat="1" applyFont="1" applyFill="1" applyBorder="1" applyAlignment="1">
      <alignment horizontal="right"/>
      <protection/>
    </xf>
    <xf numFmtId="3" fontId="2" fillId="0" borderId="0" xfId="87" applyNumberFormat="1" applyFont="1" applyFill="1" applyBorder="1" applyAlignment="1">
      <alignment horizontal="left"/>
      <protection/>
    </xf>
    <xf numFmtId="3" fontId="83" fillId="0" borderId="0" xfId="87" applyNumberFormat="1" applyFont="1" applyFill="1" applyBorder="1" applyAlignment="1">
      <alignment horizontal="left"/>
      <protection/>
    </xf>
    <xf numFmtId="0" fontId="4" fillId="0" borderId="19" xfId="126" applyFont="1" applyFill="1" applyBorder="1" applyAlignment="1">
      <alignment horizontal="center"/>
      <protection/>
    </xf>
    <xf numFmtId="3" fontId="4" fillId="0" borderId="110" xfId="121" applyNumberFormat="1" applyFont="1" applyFill="1" applyBorder="1" applyAlignment="1">
      <alignment horizontal="right" wrapText="1"/>
      <protection/>
    </xf>
    <xf numFmtId="0" fontId="24" fillId="0" borderId="23" xfId="126" applyFont="1" applyFill="1" applyBorder="1" applyAlignment="1">
      <alignment horizontal="left"/>
      <protection/>
    </xf>
    <xf numFmtId="0" fontId="2" fillId="0" borderId="20" xfId="121" applyFont="1" applyFill="1" applyBorder="1" applyAlignment="1">
      <alignment/>
      <protection/>
    </xf>
    <xf numFmtId="0" fontId="2" fillId="0" borderId="112" xfId="121" applyFont="1" applyFill="1" applyBorder="1" applyAlignment="1">
      <alignment/>
      <protection/>
    </xf>
    <xf numFmtId="3" fontId="4" fillId="0" borderId="110" xfId="126" applyNumberFormat="1" applyFont="1" applyFill="1" applyBorder="1" applyAlignment="1">
      <alignment horizontal="right"/>
      <protection/>
    </xf>
    <xf numFmtId="3" fontId="10" fillId="0" borderId="0" xfId="126" applyNumberFormat="1" applyFont="1" applyFill="1" applyBorder="1" applyAlignment="1">
      <alignment horizontal="center" vertical="center"/>
      <protection/>
    </xf>
    <xf numFmtId="3" fontId="4" fillId="0" borderId="0" xfId="126" applyNumberFormat="1" applyFont="1" applyFill="1" applyBorder="1" applyAlignment="1">
      <alignment horizontal="right"/>
      <protection/>
    </xf>
    <xf numFmtId="3" fontId="4" fillId="0" borderId="0" xfId="127" applyNumberFormat="1" applyFont="1" applyFill="1" applyBorder="1" applyAlignment="1">
      <alignment horizontal="right"/>
      <protection/>
    </xf>
    <xf numFmtId="3" fontId="2" fillId="0" borderId="113" xfId="121" applyNumberFormat="1" applyFont="1" applyFill="1" applyBorder="1" applyAlignment="1">
      <alignment horizontal="right" wrapText="1"/>
      <protection/>
    </xf>
    <xf numFmtId="3" fontId="2" fillId="0" borderId="112" xfId="122" applyNumberFormat="1" applyFont="1" applyFill="1" applyBorder="1" applyAlignment="1">
      <alignment horizontal="left"/>
      <protection/>
    </xf>
    <xf numFmtId="3" fontId="10" fillId="0" borderId="96" xfId="125" applyNumberFormat="1" applyFont="1" applyFill="1" applyBorder="1" applyAlignment="1">
      <alignment horizontal="left" vertical="center" wrapText="1"/>
      <protection/>
    </xf>
    <xf numFmtId="3" fontId="10" fillId="0" borderId="114" xfId="125" applyNumberFormat="1" applyFont="1" applyFill="1" applyBorder="1" applyAlignment="1">
      <alignment horizontal="left" vertical="center"/>
      <protection/>
    </xf>
    <xf numFmtId="3" fontId="10" fillId="0" borderId="96" xfId="125" applyNumberFormat="1" applyFont="1" applyFill="1" applyBorder="1" applyAlignment="1">
      <alignment horizontal="left" vertical="center"/>
      <protection/>
    </xf>
    <xf numFmtId="3" fontId="10" fillId="0" borderId="91" xfId="125" applyNumberFormat="1" applyFont="1" applyFill="1" applyBorder="1" applyAlignment="1">
      <alignment horizontal="left" vertical="center" wrapText="1"/>
      <protection/>
    </xf>
    <xf numFmtId="3" fontId="2" fillId="0" borderId="0" xfId="118" applyNumberFormat="1" applyFont="1" applyFill="1" applyBorder="1" applyAlignment="1">
      <alignment wrapText="1"/>
      <protection/>
    </xf>
    <xf numFmtId="0" fontId="10" fillId="0" borderId="0" xfId="0" applyFont="1" applyFill="1" applyBorder="1" applyAlignment="1">
      <alignment horizontal="center"/>
    </xf>
    <xf numFmtId="0" fontId="10" fillId="0" borderId="0" xfId="0" applyFont="1" applyFill="1" applyAlignment="1">
      <alignment/>
    </xf>
    <xf numFmtId="0" fontId="6" fillId="0" borderId="54" xfId="0" applyFont="1" applyFill="1" applyBorder="1" applyAlignment="1">
      <alignment horizontal="center"/>
    </xf>
    <xf numFmtId="3" fontId="6" fillId="0" borderId="54" xfId="0" applyNumberFormat="1" applyFont="1" applyFill="1" applyBorder="1" applyAlignment="1">
      <alignment horizontal="center"/>
    </xf>
    <xf numFmtId="0" fontId="6" fillId="0" borderId="0" xfId="0" applyFont="1" applyFill="1" applyAlignment="1">
      <alignment/>
    </xf>
    <xf numFmtId="3" fontId="13" fillId="0" borderId="18" xfId="0" applyNumberFormat="1" applyFont="1" applyFill="1" applyBorder="1" applyAlignment="1">
      <alignment vertical="center"/>
    </xf>
    <xf numFmtId="3" fontId="13" fillId="0" borderId="104" xfId="0" applyNumberFormat="1" applyFont="1" applyFill="1" applyBorder="1" applyAlignment="1">
      <alignment vertical="center"/>
    </xf>
    <xf numFmtId="3" fontId="84" fillId="0" borderId="19" xfId="0" applyNumberFormat="1" applyFont="1" applyFill="1" applyBorder="1" applyAlignment="1">
      <alignment horizontal="center" vertical="center"/>
    </xf>
    <xf numFmtId="3" fontId="84" fillId="0" borderId="20" xfId="0" applyNumberFormat="1" applyFont="1" applyFill="1" applyBorder="1" applyAlignment="1">
      <alignment horizontal="center"/>
    </xf>
    <xf numFmtId="3" fontId="84" fillId="0" borderId="112" xfId="0" applyNumberFormat="1" applyFont="1" applyFill="1" applyBorder="1" applyAlignment="1">
      <alignment horizontal="center"/>
    </xf>
    <xf numFmtId="3" fontId="84" fillId="0" borderId="96" xfId="124" applyNumberFormat="1" applyFont="1" applyFill="1" applyBorder="1" applyAlignment="1">
      <alignment/>
      <protection/>
    </xf>
    <xf numFmtId="3" fontId="84" fillId="0" borderId="20" xfId="0" applyNumberFormat="1" applyFont="1" applyFill="1" applyBorder="1" applyAlignment="1">
      <alignment/>
    </xf>
    <xf numFmtId="3" fontId="85" fillId="0" borderId="20" xfId="0" applyNumberFormat="1" applyFont="1" applyFill="1" applyBorder="1" applyAlignment="1">
      <alignment/>
    </xf>
    <xf numFmtId="3" fontId="84" fillId="0" borderId="21" xfId="0" applyNumberFormat="1" applyFont="1" applyFill="1" applyBorder="1" applyAlignment="1">
      <alignment/>
    </xf>
    <xf numFmtId="3" fontId="84" fillId="0" borderId="0" xfId="0" applyNumberFormat="1" applyFont="1" applyFill="1" applyAlignment="1">
      <alignment vertical="center"/>
    </xf>
    <xf numFmtId="0" fontId="86" fillId="0" borderId="0" xfId="0" applyFont="1" applyFill="1" applyAlignment="1">
      <alignment/>
    </xf>
    <xf numFmtId="3" fontId="84" fillId="0" borderId="0" xfId="0" applyNumberFormat="1" applyFont="1" applyFill="1" applyAlignment="1">
      <alignment vertical="top"/>
    </xf>
    <xf numFmtId="3" fontId="84" fillId="0" borderId="0" xfId="0" applyNumberFormat="1" applyFont="1" applyFill="1" applyAlignment="1">
      <alignment/>
    </xf>
    <xf numFmtId="3" fontId="85" fillId="0" borderId="0" xfId="0" applyNumberFormat="1" applyFont="1" applyFill="1" applyAlignment="1">
      <alignment vertical="top"/>
    </xf>
    <xf numFmtId="3" fontId="84" fillId="0" borderId="19" xfId="0" applyNumberFormat="1" applyFont="1" applyFill="1" applyBorder="1" applyAlignment="1">
      <alignment horizontal="center" vertical="top"/>
    </xf>
    <xf numFmtId="3" fontId="84" fillId="0" borderId="38" xfId="0" applyNumberFormat="1" applyFont="1" applyFill="1" applyBorder="1" applyAlignment="1">
      <alignment horizontal="center"/>
    </xf>
    <xf numFmtId="3" fontId="84" fillId="0" borderId="115" xfId="0" applyNumberFormat="1" applyFont="1" applyFill="1" applyBorder="1" applyAlignment="1">
      <alignment horizontal="center"/>
    </xf>
    <xf numFmtId="3" fontId="84" fillId="0" borderId="38" xfId="0" applyNumberFormat="1" applyFont="1" applyFill="1" applyBorder="1" applyAlignment="1">
      <alignment vertical="top"/>
    </xf>
    <xf numFmtId="3" fontId="85" fillId="0" borderId="38" xfId="0" applyNumberFormat="1" applyFont="1" applyFill="1" applyBorder="1" applyAlignment="1">
      <alignment vertical="top"/>
    </xf>
    <xf numFmtId="3" fontId="84" fillId="0" borderId="39" xfId="0" applyNumberFormat="1" applyFont="1" applyFill="1" applyBorder="1" applyAlignment="1">
      <alignment vertical="top"/>
    </xf>
    <xf numFmtId="3" fontId="84" fillId="0" borderId="116" xfId="0" applyNumberFormat="1" applyFont="1" applyFill="1" applyBorder="1" applyAlignment="1">
      <alignment horizontal="center"/>
    </xf>
    <xf numFmtId="3" fontId="84" fillId="0" borderId="21" xfId="0" applyNumberFormat="1" applyFont="1" applyFill="1" applyBorder="1" applyAlignment="1">
      <alignment vertical="center"/>
    </xf>
    <xf numFmtId="3" fontId="84" fillId="0" borderId="21" xfId="0" applyNumberFormat="1" applyFont="1" applyFill="1" applyBorder="1" applyAlignment="1">
      <alignment vertical="top"/>
    </xf>
    <xf numFmtId="3" fontId="84" fillId="0" borderId="39" xfId="0" applyNumberFormat="1" applyFont="1" applyFill="1" applyBorder="1" applyAlignment="1">
      <alignment vertical="center"/>
    </xf>
    <xf numFmtId="3" fontId="84" fillId="0" borderId="20" xfId="0" applyNumberFormat="1" applyFont="1" applyFill="1" applyBorder="1" applyAlignment="1">
      <alignment vertical="center"/>
    </xf>
    <xf numFmtId="3" fontId="85" fillId="0" borderId="20" xfId="0" applyNumberFormat="1" applyFont="1" applyFill="1" applyBorder="1" applyAlignment="1">
      <alignment vertical="center"/>
    </xf>
    <xf numFmtId="3" fontId="84" fillId="0" borderId="20" xfId="0" applyNumberFormat="1" applyFont="1" applyFill="1" applyBorder="1" applyAlignment="1">
      <alignment vertical="top"/>
    </xf>
    <xf numFmtId="3" fontId="85" fillId="0" borderId="20" xfId="0" applyNumberFormat="1" applyFont="1" applyFill="1" applyBorder="1" applyAlignment="1">
      <alignment vertical="top"/>
    </xf>
    <xf numFmtId="3" fontId="85" fillId="0" borderId="0" xfId="0" applyNumberFormat="1" applyFont="1" applyFill="1" applyAlignment="1">
      <alignment vertical="center"/>
    </xf>
    <xf numFmtId="0" fontId="87" fillId="0" borderId="0" xfId="0" applyFont="1" applyFill="1" applyAlignment="1">
      <alignment/>
    </xf>
    <xf numFmtId="3" fontId="84" fillId="0" borderId="38" xfId="0" applyNumberFormat="1" applyFont="1" applyFill="1" applyBorder="1" applyAlignment="1">
      <alignment vertical="center"/>
    </xf>
    <xf numFmtId="3" fontId="85" fillId="0" borderId="38" xfId="0" applyNumberFormat="1" applyFont="1" applyFill="1" applyBorder="1" applyAlignment="1">
      <alignment vertical="center"/>
    </xf>
    <xf numFmtId="3" fontId="84" fillId="0" borderId="117" xfId="0" applyNumberFormat="1" applyFont="1" applyFill="1" applyBorder="1" applyAlignment="1">
      <alignment horizontal="center" vertical="center"/>
    </xf>
    <xf numFmtId="3" fontId="84" fillId="0" borderId="118" xfId="0" applyNumberFormat="1" applyFont="1" applyFill="1" applyBorder="1" applyAlignment="1">
      <alignment horizontal="center"/>
    </xf>
    <xf numFmtId="3" fontId="10" fillId="0" borderId="36" xfId="0" applyNumberFormat="1" applyFont="1" applyFill="1" applyBorder="1" applyAlignment="1">
      <alignment vertical="center"/>
    </xf>
    <xf numFmtId="3" fontId="12" fillId="0" borderId="36" xfId="0" applyNumberFormat="1" applyFont="1" applyFill="1" applyBorder="1" applyAlignment="1">
      <alignment vertical="center"/>
    </xf>
    <xf numFmtId="3" fontId="13" fillId="0" borderId="37" xfId="0" applyNumberFormat="1" applyFont="1" applyFill="1" applyBorder="1" applyAlignment="1">
      <alignment vertical="center"/>
    </xf>
    <xf numFmtId="3" fontId="16" fillId="0" borderId="36" xfId="0" applyNumberFormat="1" applyFont="1" applyFill="1" applyBorder="1" applyAlignment="1">
      <alignment vertical="center"/>
    </xf>
    <xf numFmtId="3" fontId="84" fillId="0" borderId="58" xfId="0" applyNumberFormat="1" applyFont="1" applyFill="1" applyBorder="1" applyAlignment="1">
      <alignment horizontal="center" vertical="center"/>
    </xf>
    <xf numFmtId="3" fontId="84" fillId="0" borderId="38" xfId="124" applyNumberFormat="1" applyFont="1" applyFill="1" applyBorder="1" applyAlignment="1">
      <alignment/>
      <protection/>
    </xf>
    <xf numFmtId="3" fontId="84" fillId="0" borderId="38" xfId="124" applyNumberFormat="1" applyFont="1" applyFill="1" applyBorder="1" applyAlignment="1">
      <alignment horizontal="left"/>
      <protection/>
    </xf>
    <xf numFmtId="3" fontId="10" fillId="0" borderId="22" xfId="125" applyNumberFormat="1" applyFont="1" applyFill="1" applyBorder="1" applyAlignment="1">
      <alignment vertical="center" wrapText="1"/>
      <protection/>
    </xf>
    <xf numFmtId="3" fontId="10" fillId="0" borderId="119" xfId="125" applyNumberFormat="1" applyFont="1" applyFill="1" applyBorder="1" applyAlignment="1">
      <alignment vertical="center" wrapText="1"/>
      <protection/>
    </xf>
    <xf numFmtId="3" fontId="10" fillId="0" borderId="24" xfId="125" applyNumberFormat="1" applyFont="1" applyFill="1" applyBorder="1" applyAlignment="1">
      <alignment vertical="center" wrapText="1"/>
      <protection/>
    </xf>
    <xf numFmtId="3" fontId="16" fillId="0" borderId="120" xfId="0" applyNumberFormat="1" applyFont="1" applyFill="1" applyBorder="1" applyAlignment="1">
      <alignment horizontal="left" vertical="center"/>
    </xf>
    <xf numFmtId="3" fontId="10" fillId="0" borderId="121" xfId="125" applyNumberFormat="1" applyFont="1" applyFill="1" applyBorder="1" applyAlignment="1">
      <alignment vertical="center"/>
      <protection/>
    </xf>
    <xf numFmtId="3" fontId="84" fillId="0" borderId="96" xfId="0" applyNumberFormat="1" applyFont="1" applyFill="1" applyBorder="1" applyAlignment="1">
      <alignment horizontal="center" vertical="center"/>
    </xf>
    <xf numFmtId="3" fontId="84" fillId="0" borderId="20" xfId="124" applyNumberFormat="1" applyFont="1" applyFill="1" applyBorder="1" applyAlignment="1">
      <alignment/>
      <protection/>
    </xf>
    <xf numFmtId="3" fontId="84" fillId="0" borderId="22" xfId="0" applyNumberFormat="1" applyFont="1" applyFill="1" applyBorder="1" applyAlignment="1">
      <alignment vertical="center"/>
    </xf>
    <xf numFmtId="3" fontId="84" fillId="0" borderId="43" xfId="0" applyNumberFormat="1" applyFont="1" applyFill="1" applyBorder="1" applyAlignment="1">
      <alignment/>
    </xf>
    <xf numFmtId="3" fontId="84" fillId="0" borderId="20" xfId="0" applyNumberFormat="1" applyFont="1" applyFill="1" applyBorder="1" applyAlignment="1">
      <alignment horizontal="right"/>
    </xf>
    <xf numFmtId="3" fontId="84" fillId="0" borderId="21" xfId="0" applyNumberFormat="1" applyFont="1" applyFill="1" applyBorder="1" applyAlignment="1">
      <alignment horizontal="right"/>
    </xf>
    <xf numFmtId="3" fontId="84" fillId="0" borderId="0" xfId="0" applyNumberFormat="1" applyFont="1" applyFill="1" applyBorder="1" applyAlignment="1">
      <alignment horizontal="right" vertical="center"/>
    </xf>
    <xf numFmtId="3" fontId="84" fillId="0" borderId="0" xfId="0" applyNumberFormat="1" applyFont="1" applyFill="1" applyBorder="1" applyAlignment="1">
      <alignment vertical="center"/>
    </xf>
    <xf numFmtId="3" fontId="84" fillId="0" borderId="0" xfId="0" applyNumberFormat="1" applyFont="1" applyFill="1" applyBorder="1" applyAlignment="1">
      <alignment horizontal="right"/>
    </xf>
    <xf numFmtId="3" fontId="84" fillId="0" borderId="0" xfId="0" applyNumberFormat="1" applyFont="1" applyFill="1" applyBorder="1" applyAlignment="1">
      <alignment/>
    </xf>
    <xf numFmtId="3" fontId="84" fillId="0" borderId="114" xfId="0" applyNumberFormat="1" applyFont="1" applyFill="1" applyBorder="1" applyAlignment="1">
      <alignment horizontal="center" vertical="center"/>
    </xf>
    <xf numFmtId="3" fontId="84" fillId="0" borderId="119" xfId="0" applyNumberFormat="1" applyFont="1" applyFill="1" applyBorder="1" applyAlignment="1">
      <alignment vertical="center"/>
    </xf>
    <xf numFmtId="3" fontId="84" fillId="0" borderId="122" xfId="0" applyNumberFormat="1" applyFont="1" applyFill="1" applyBorder="1" applyAlignment="1">
      <alignment/>
    </xf>
    <xf numFmtId="3" fontId="84" fillId="0" borderId="38" xfId="0" applyNumberFormat="1" applyFont="1" applyFill="1" applyBorder="1" applyAlignment="1">
      <alignment horizontal="right"/>
    </xf>
    <xf numFmtId="3" fontId="84" fillId="0" borderId="39" xfId="0" applyNumberFormat="1" applyFont="1" applyFill="1" applyBorder="1" applyAlignment="1">
      <alignment horizontal="right"/>
    </xf>
    <xf numFmtId="3" fontId="84" fillId="0" borderId="0" xfId="0" applyNumberFormat="1" applyFont="1" applyFill="1" applyAlignment="1">
      <alignment horizontal="right"/>
    </xf>
    <xf numFmtId="3" fontId="85" fillId="0" borderId="0" xfId="0" applyNumberFormat="1" applyFont="1" applyFill="1" applyBorder="1" applyAlignment="1">
      <alignment horizontal="right" vertical="center"/>
    </xf>
    <xf numFmtId="3" fontId="85" fillId="0" borderId="0" xfId="0" applyNumberFormat="1" applyFont="1" applyFill="1" applyBorder="1" applyAlignment="1">
      <alignment vertical="center"/>
    </xf>
    <xf numFmtId="3" fontId="16" fillId="0" borderId="123" xfId="0" applyNumberFormat="1" applyFont="1" applyFill="1" applyBorder="1" applyAlignment="1">
      <alignment vertical="center"/>
    </xf>
    <xf numFmtId="3" fontId="13" fillId="0" borderId="44" xfId="0" applyNumberFormat="1" applyFont="1" applyFill="1" applyBorder="1" applyAlignment="1">
      <alignment vertical="center"/>
    </xf>
    <xf numFmtId="3" fontId="13" fillId="0" borderId="18" xfId="124" applyNumberFormat="1" applyFont="1" applyFill="1" applyBorder="1" applyAlignment="1">
      <alignment horizontal="center" vertical="center"/>
      <protection/>
    </xf>
    <xf numFmtId="3" fontId="10" fillId="0" borderId="36" xfId="124" applyNumberFormat="1" applyFont="1" applyFill="1" applyBorder="1" applyAlignment="1">
      <alignment horizontal="center" vertical="center"/>
      <protection/>
    </xf>
    <xf numFmtId="3" fontId="16" fillId="0" borderId="44" xfId="0" applyNumberFormat="1" applyFont="1" applyFill="1" applyBorder="1" applyAlignment="1">
      <alignment vertical="center"/>
    </xf>
    <xf numFmtId="3" fontId="16" fillId="0" borderId="37" xfId="0" applyNumberFormat="1" applyFont="1" applyFill="1" applyBorder="1" applyAlignment="1">
      <alignment vertical="center"/>
    </xf>
    <xf numFmtId="3" fontId="84" fillId="0" borderId="20" xfId="0" applyNumberFormat="1" applyFont="1" applyFill="1" applyBorder="1" applyAlignment="1">
      <alignment horizontal="right" vertical="center"/>
    </xf>
    <xf numFmtId="3" fontId="84" fillId="0" borderId="21" xfId="0" applyNumberFormat="1" applyFont="1" applyFill="1" applyBorder="1" applyAlignment="1">
      <alignment horizontal="right" vertical="center"/>
    </xf>
    <xf numFmtId="3" fontId="84" fillId="0" borderId="0" xfId="0" applyNumberFormat="1" applyFont="1" applyFill="1" applyAlignment="1">
      <alignment horizontal="right" vertical="center"/>
    </xf>
    <xf numFmtId="3" fontId="85" fillId="0" borderId="19" xfId="0" applyNumberFormat="1" applyFont="1" applyFill="1" applyBorder="1" applyAlignment="1">
      <alignment horizontal="left" vertical="center" wrapText="1"/>
    </xf>
    <xf numFmtId="3" fontId="85" fillId="0" borderId="96" xfId="0" applyNumberFormat="1" applyFont="1" applyFill="1" applyBorder="1" applyAlignment="1">
      <alignment horizontal="left" vertical="center" wrapText="1"/>
    </xf>
    <xf numFmtId="3" fontId="85" fillId="0" borderId="20" xfId="0" applyNumberFormat="1" applyFont="1" applyFill="1" applyBorder="1" applyAlignment="1">
      <alignment horizontal="left" vertical="center" wrapText="1"/>
    </xf>
    <xf numFmtId="3" fontId="85" fillId="0" borderId="20" xfId="0" applyNumberFormat="1" applyFont="1" applyFill="1" applyBorder="1" applyAlignment="1">
      <alignment horizontal="right" vertical="center"/>
    </xf>
    <xf numFmtId="3" fontId="85" fillId="0" borderId="22" xfId="0" applyNumberFormat="1" applyFont="1" applyFill="1" applyBorder="1" applyAlignment="1">
      <alignment horizontal="right" vertical="center"/>
    </xf>
    <xf numFmtId="3" fontId="84" fillId="0" borderId="43" xfId="0" applyNumberFormat="1" applyFont="1" applyFill="1" applyBorder="1" applyAlignment="1">
      <alignment horizontal="right" vertical="center"/>
    </xf>
    <xf numFmtId="3" fontId="84" fillId="0" borderId="0" xfId="0" applyNumberFormat="1" applyFont="1" applyFill="1" applyAlignment="1">
      <alignment/>
    </xf>
    <xf numFmtId="3" fontId="6" fillId="0" borderId="0" xfId="0" applyNumberFormat="1" applyFont="1" applyFill="1" applyAlignment="1">
      <alignment horizontal="center"/>
    </xf>
    <xf numFmtId="3" fontId="10" fillId="0" borderId="90" xfId="0" applyNumberFormat="1" applyFont="1" applyFill="1" applyBorder="1" applyAlignment="1">
      <alignment/>
    </xf>
    <xf numFmtId="3" fontId="12" fillId="0" borderId="0" xfId="0" applyNumberFormat="1" applyFont="1" applyFill="1" applyAlignment="1">
      <alignment/>
    </xf>
    <xf numFmtId="3" fontId="6" fillId="0" borderId="0" xfId="0" applyNumberFormat="1" applyFont="1" applyFill="1" applyBorder="1" applyAlignment="1">
      <alignment/>
    </xf>
    <xf numFmtId="3" fontId="6" fillId="0" borderId="90" xfId="0" applyNumberFormat="1" applyFont="1" applyFill="1" applyBorder="1" applyAlignment="1">
      <alignment/>
    </xf>
    <xf numFmtId="3" fontId="85" fillId="0" borderId="110" xfId="0" applyNumberFormat="1" applyFont="1" applyFill="1" applyBorder="1" applyAlignment="1">
      <alignment horizontal="right" vertical="center"/>
    </xf>
    <xf numFmtId="3" fontId="6" fillId="0" borderId="0" xfId="118" applyNumberFormat="1" applyFont="1" applyFill="1" applyAlignment="1">
      <alignment horizontal="center" vertical="center"/>
      <protection/>
    </xf>
    <xf numFmtId="3" fontId="6" fillId="0" borderId="0" xfId="118" applyNumberFormat="1" applyFont="1" applyFill="1" applyAlignment="1">
      <alignment horizontal="center"/>
      <protection/>
    </xf>
    <xf numFmtId="3" fontId="11" fillId="0" borderId="0" xfId="118" applyNumberFormat="1" applyFont="1" applyFill="1" applyAlignment="1">
      <alignment horizontal="center" vertical="center"/>
      <protection/>
    </xf>
    <xf numFmtId="3" fontId="6" fillId="0" borderId="0" xfId="118" applyNumberFormat="1" applyFont="1" applyFill="1" applyAlignment="1">
      <alignment horizontal="center" vertical="top"/>
      <protection/>
    </xf>
    <xf numFmtId="3" fontId="10" fillId="0" borderId="0" xfId="119" applyNumberFormat="1" applyFont="1" applyFill="1" applyAlignment="1">
      <alignment horizontal="right"/>
      <protection/>
    </xf>
    <xf numFmtId="3" fontId="2" fillId="0" borderId="0" xfId="126" applyNumberFormat="1" applyFont="1" applyFill="1" applyBorder="1" applyAlignment="1">
      <alignment horizontal="right"/>
      <protection/>
    </xf>
    <xf numFmtId="0" fontId="2" fillId="0" borderId="0" xfId="126" applyFont="1" applyFill="1" applyBorder="1" applyAlignment="1">
      <alignment horizontal="center"/>
      <protection/>
    </xf>
    <xf numFmtId="3" fontId="2" fillId="0" borderId="0" xfId="126" applyNumberFormat="1" applyFont="1" applyFill="1" applyBorder="1" applyAlignment="1" applyProtection="1">
      <alignment horizontal="right"/>
      <protection locked="0"/>
    </xf>
    <xf numFmtId="0" fontId="2" fillId="0" borderId="0" xfId="126" applyFont="1" applyFill="1" applyBorder="1" applyProtection="1">
      <alignment/>
      <protection locked="0"/>
    </xf>
    <xf numFmtId="0" fontId="2" fillId="0" borderId="0" xfId="126" applyFont="1" applyFill="1" applyBorder="1" applyAlignment="1" applyProtection="1">
      <alignment horizontal="center" vertical="center"/>
      <protection locked="0"/>
    </xf>
    <xf numFmtId="0" fontId="10" fillId="0" borderId="0" xfId="126" applyFont="1" applyFill="1" applyBorder="1" applyAlignment="1" applyProtection="1">
      <alignment horizontal="center" vertical="center"/>
      <protection locked="0"/>
    </xf>
    <xf numFmtId="0" fontId="10" fillId="0" borderId="0" xfId="126" applyFont="1" applyFill="1" applyBorder="1" applyAlignment="1" applyProtection="1">
      <alignment horizontal="center" vertical="top"/>
      <protection locked="0"/>
    </xf>
    <xf numFmtId="0" fontId="10" fillId="0" borderId="0" xfId="126" applyFont="1" applyFill="1" applyBorder="1" applyAlignment="1" applyProtection="1">
      <alignment wrapText="1"/>
      <protection locked="0"/>
    </xf>
    <xf numFmtId="3" fontId="10" fillId="0" borderId="0" xfId="126" applyNumberFormat="1" applyFont="1" applyFill="1" applyBorder="1" applyAlignment="1" applyProtection="1">
      <alignment horizontal="center" vertical="center" wrapText="1"/>
      <protection locked="0"/>
    </xf>
    <xf numFmtId="3" fontId="10" fillId="0" borderId="0" xfId="126" applyNumberFormat="1" applyFont="1" applyFill="1" applyBorder="1" applyAlignment="1" applyProtection="1">
      <alignment horizontal="right"/>
      <protection locked="0"/>
    </xf>
    <xf numFmtId="3" fontId="12" fillId="0" borderId="0" xfId="126" applyNumberFormat="1" applyFont="1" applyFill="1" applyBorder="1" applyAlignment="1" applyProtection="1">
      <alignment horizontal="right"/>
      <protection locked="0"/>
    </xf>
    <xf numFmtId="0" fontId="10" fillId="0" borderId="0" xfId="126" applyFont="1" applyFill="1" applyBorder="1" applyProtection="1">
      <alignment/>
      <protection locked="0"/>
    </xf>
    <xf numFmtId="0" fontId="6" fillId="0" borderId="0" xfId="126" applyFont="1" applyFill="1" applyBorder="1" applyAlignment="1" applyProtection="1">
      <alignment horizontal="center"/>
      <protection locked="0"/>
    </xf>
    <xf numFmtId="0" fontId="6" fillId="0" borderId="0" xfId="127" applyFont="1" applyFill="1" applyBorder="1" applyAlignment="1" applyProtection="1">
      <alignment horizontal="center" wrapText="1"/>
      <protection locked="0"/>
    </xf>
    <xf numFmtId="3" fontId="6" fillId="0" borderId="0" xfId="127"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126" applyFont="1" applyFill="1" applyBorder="1" applyAlignment="1" applyProtection="1">
      <alignment horizontal="center" vertical="center"/>
      <protection locked="0"/>
    </xf>
    <xf numFmtId="0" fontId="13" fillId="0" borderId="0" xfId="126" applyFont="1" applyFill="1" applyBorder="1" applyAlignment="1" applyProtection="1">
      <alignment horizontal="left" vertical="center"/>
      <protection locked="0"/>
    </xf>
    <xf numFmtId="3" fontId="10" fillId="0" borderId="0" xfId="127" applyNumberFormat="1" applyFont="1" applyFill="1" applyBorder="1" applyAlignment="1" applyProtection="1">
      <alignment horizontal="right"/>
      <protection locked="0"/>
    </xf>
    <xf numFmtId="3" fontId="10" fillId="0" borderId="0" xfId="126" applyNumberFormat="1" applyFont="1" applyFill="1" applyBorder="1" applyAlignment="1" applyProtection="1">
      <alignment horizontal="right" vertical="center"/>
      <protection locked="0"/>
    </xf>
    <xf numFmtId="3" fontId="10" fillId="0" borderId="23" xfId="119" applyNumberFormat="1" applyFont="1" applyFill="1" applyBorder="1" applyAlignment="1">
      <alignment horizontal="center"/>
      <protection/>
    </xf>
    <xf numFmtId="3" fontId="10" fillId="0" borderId="89" xfId="0" applyNumberFormat="1" applyFont="1" applyFill="1" applyBorder="1" applyAlignment="1">
      <alignment horizontal="center" vertical="center" wrapText="1"/>
    </xf>
    <xf numFmtId="1" fontId="10" fillId="0" borderId="0" xfId="119" applyNumberFormat="1" applyFont="1" applyFill="1" applyBorder="1" applyAlignment="1">
      <alignment horizontal="center" vertical="center"/>
      <protection/>
    </xf>
    <xf numFmtId="1" fontId="2" fillId="0" borderId="0" xfId="119" applyNumberFormat="1" applyFont="1" applyFill="1" applyBorder="1" applyAlignment="1">
      <alignment horizontal="center" vertical="center"/>
      <protection/>
    </xf>
    <xf numFmtId="3" fontId="2" fillId="0" borderId="0" xfId="119" applyNumberFormat="1" applyFont="1" applyFill="1" applyAlignment="1">
      <alignment horizontal="right"/>
      <protection/>
    </xf>
    <xf numFmtId="3" fontId="10" fillId="0" borderId="0" xfId="119" applyNumberFormat="1" applyFont="1" applyFill="1" applyAlignment="1">
      <alignment horizontal="center"/>
      <protection/>
    </xf>
    <xf numFmtId="3" fontId="10" fillId="0" borderId="0" xfId="119" applyNumberFormat="1" applyFont="1" applyFill="1" applyAlignment="1">
      <alignment horizontal="center" vertical="top"/>
      <protection/>
    </xf>
    <xf numFmtId="0" fontId="13" fillId="0" borderId="0" xfId="119" applyFont="1" applyFill="1" applyBorder="1" applyAlignment="1">
      <alignment vertical="top" wrapText="1"/>
      <protection/>
    </xf>
    <xf numFmtId="3" fontId="10" fillId="0" borderId="0" xfId="119" applyNumberFormat="1" applyFont="1" applyFill="1" applyAlignment="1">
      <alignment/>
      <protection/>
    </xf>
    <xf numFmtId="0" fontId="10" fillId="0" borderId="0" xfId="119" applyFont="1" applyFill="1" applyBorder="1" applyAlignment="1">
      <alignment horizontal="center"/>
      <protection/>
    </xf>
    <xf numFmtId="3" fontId="13" fillId="0" borderId="0" xfId="119" applyNumberFormat="1" applyFont="1" applyFill="1" applyAlignment="1">
      <alignment/>
      <protection/>
    </xf>
    <xf numFmtId="1" fontId="6" fillId="0" borderId="0" xfId="119" applyNumberFormat="1" applyFont="1" applyFill="1" applyBorder="1" applyAlignment="1">
      <alignment horizontal="center" vertical="center"/>
      <protection/>
    </xf>
    <xf numFmtId="3" fontId="6" fillId="0" borderId="0" xfId="119" applyNumberFormat="1" applyFont="1" applyFill="1" applyBorder="1" applyAlignment="1">
      <alignment horizontal="center" vertical="center"/>
      <protection/>
    </xf>
    <xf numFmtId="3" fontId="6" fillId="0" borderId="0" xfId="119" applyNumberFormat="1" applyFont="1" applyFill="1" applyBorder="1" applyAlignment="1">
      <alignment horizontal="center" vertical="center" wrapText="1"/>
      <protection/>
    </xf>
    <xf numFmtId="3" fontId="6" fillId="0" borderId="0" xfId="119" applyNumberFormat="1" applyFont="1" applyFill="1" applyBorder="1" applyAlignment="1">
      <alignment horizontal="center"/>
      <protection/>
    </xf>
    <xf numFmtId="3" fontId="10" fillId="0" borderId="35" xfId="119" applyNumberFormat="1" applyFont="1" applyFill="1" applyBorder="1" applyAlignment="1">
      <alignment horizontal="center"/>
      <protection/>
    </xf>
    <xf numFmtId="3" fontId="23" fillId="0" borderId="36" xfId="119" applyNumberFormat="1" applyFont="1" applyFill="1" applyBorder="1" applyAlignment="1">
      <alignment horizontal="left"/>
      <protection/>
    </xf>
    <xf numFmtId="0" fontId="13" fillId="0" borderId="36" xfId="119" applyFont="1" applyFill="1" applyBorder="1" applyAlignment="1">
      <alignment horizontal="center" vertical="center" wrapText="1"/>
      <protection/>
    </xf>
    <xf numFmtId="3" fontId="10" fillId="0" borderId="36" xfId="119" applyNumberFormat="1" applyFont="1" applyFill="1" applyBorder="1" applyAlignment="1">
      <alignment horizontal="center" vertical="center" wrapText="1"/>
      <protection/>
    </xf>
    <xf numFmtId="3" fontId="13" fillId="0" borderId="36" xfId="119" applyNumberFormat="1" applyFont="1" applyFill="1" applyBorder="1" applyAlignment="1">
      <alignment horizontal="center" vertical="center" wrapText="1"/>
      <protection/>
    </xf>
    <xf numFmtId="3" fontId="10" fillId="0" borderId="36" xfId="0" applyNumberFormat="1" applyFont="1" applyFill="1" applyBorder="1" applyAlignment="1">
      <alignment horizontal="center" vertical="center" wrapText="1"/>
    </xf>
    <xf numFmtId="3" fontId="10" fillId="0" borderId="37" xfId="0" applyNumberFormat="1" applyFont="1" applyFill="1" applyBorder="1" applyAlignment="1">
      <alignment horizontal="center" vertical="center" wrapText="1"/>
    </xf>
    <xf numFmtId="0" fontId="10" fillId="0" borderId="98" xfId="0" applyFont="1" applyFill="1" applyBorder="1" applyAlignment="1">
      <alignment horizontal="center" vertical="center" textRotation="90" wrapText="1"/>
    </xf>
    <xf numFmtId="3" fontId="10" fillId="0" borderId="109" xfId="119" applyNumberFormat="1" applyFont="1" applyFill="1" applyBorder="1" applyAlignment="1">
      <alignment horizontal="center" vertical="center" wrapText="1"/>
      <protection/>
    </xf>
    <xf numFmtId="0" fontId="10" fillId="0" borderId="25" xfId="126" applyFont="1" applyFill="1" applyBorder="1" applyAlignment="1">
      <alignment horizontal="center"/>
      <protection/>
    </xf>
    <xf numFmtId="3" fontId="10" fillId="0" borderId="54" xfId="126" applyNumberFormat="1" applyFont="1" applyFill="1" applyBorder="1" applyAlignment="1">
      <alignment horizontal="center" vertical="center" wrapText="1"/>
      <protection/>
    </xf>
    <xf numFmtId="3" fontId="10" fillId="0" borderId="98" xfId="121" applyNumberFormat="1" applyFont="1" applyFill="1" applyBorder="1" applyAlignment="1">
      <alignment horizontal="right" vertical="center" wrapText="1"/>
      <protection/>
    </xf>
    <xf numFmtId="3" fontId="10" fillId="0" borderId="96" xfId="121" applyNumberFormat="1" applyFont="1" applyFill="1" applyBorder="1" applyAlignment="1">
      <alignment horizontal="right" vertical="center" wrapText="1"/>
      <protection/>
    </xf>
    <xf numFmtId="3" fontId="10" fillId="0" borderId="96" xfId="126" applyNumberFormat="1" applyFont="1" applyFill="1" applyBorder="1" applyAlignment="1">
      <alignment horizontal="right" vertical="center"/>
      <protection/>
    </xf>
    <xf numFmtId="3" fontId="10" fillId="0" borderId="0" xfId="126" applyNumberFormat="1" applyFont="1" applyFill="1" applyBorder="1" applyAlignment="1" applyProtection="1">
      <alignment/>
      <protection locked="0"/>
    </xf>
    <xf numFmtId="3" fontId="10" fillId="0" borderId="0" xfId="127" applyNumberFormat="1" applyFont="1" applyFill="1" applyBorder="1" applyAlignment="1" applyProtection="1">
      <alignment/>
      <protection locked="0"/>
    </xf>
    <xf numFmtId="3" fontId="10" fillId="0" borderId="0" xfId="127" applyNumberFormat="1" applyFont="1" applyFill="1" applyBorder="1" applyAlignment="1" applyProtection="1">
      <alignment wrapText="1"/>
      <protection locked="0"/>
    </xf>
    <xf numFmtId="0" fontId="13" fillId="0" borderId="103" xfId="127" applyFont="1" applyFill="1" applyBorder="1" applyAlignment="1" applyProtection="1">
      <alignment horizontal="center" vertical="center"/>
      <protection locked="0"/>
    </xf>
    <xf numFmtId="3" fontId="13" fillId="0" borderId="103" xfId="127" applyNumberFormat="1" applyFont="1" applyFill="1" applyBorder="1" applyAlignment="1" applyProtection="1">
      <alignment vertical="center"/>
      <protection locked="0"/>
    </xf>
    <xf numFmtId="3" fontId="13" fillId="0" borderId="103" xfId="126" applyNumberFormat="1" applyFont="1" applyFill="1" applyBorder="1" applyAlignment="1" applyProtection="1">
      <alignment vertical="center"/>
      <protection locked="0"/>
    </xf>
    <xf numFmtId="3" fontId="13" fillId="0" borderId="124" xfId="126" applyNumberFormat="1" applyFont="1" applyFill="1" applyBorder="1" applyAlignment="1" applyProtection="1">
      <alignment horizontal="right" vertical="center"/>
      <protection locked="0"/>
    </xf>
    <xf numFmtId="0" fontId="13" fillId="0" borderId="56" xfId="127" applyFont="1" applyFill="1" applyBorder="1" applyAlignment="1" applyProtection="1">
      <alignment horizontal="center" vertical="center"/>
      <protection locked="0"/>
    </xf>
    <xf numFmtId="3" fontId="13" fillId="0" borderId="56" xfId="127" applyNumberFormat="1" applyFont="1" applyFill="1" applyBorder="1" applyAlignment="1" applyProtection="1">
      <alignment vertical="center"/>
      <protection locked="0"/>
    </xf>
    <xf numFmtId="3" fontId="13" fillId="0" borderId="56" xfId="126" applyNumberFormat="1" applyFont="1" applyFill="1" applyBorder="1" applyAlignment="1" applyProtection="1">
      <alignment vertical="center"/>
      <protection locked="0"/>
    </xf>
    <xf numFmtId="3" fontId="13" fillId="0" borderId="125" xfId="126" applyNumberFormat="1" applyFont="1" applyFill="1" applyBorder="1" applyAlignment="1" applyProtection="1">
      <alignment horizontal="right" vertical="center"/>
      <protection locked="0"/>
    </xf>
    <xf numFmtId="0" fontId="10" fillId="0" borderId="0" xfId="119" applyNumberFormat="1" applyFont="1" applyFill="1" applyBorder="1" applyAlignment="1">
      <alignment horizontal="center" vertical="center"/>
      <protection/>
    </xf>
    <xf numFmtId="0" fontId="2" fillId="0" borderId="0" xfId="119" applyNumberFormat="1" applyFont="1" applyFill="1" applyBorder="1" applyAlignment="1">
      <alignment horizontal="center" vertical="center"/>
      <protection/>
    </xf>
    <xf numFmtId="3" fontId="2" fillId="0" borderId="0" xfId="119" applyNumberFormat="1" applyFont="1" applyFill="1" applyAlignment="1">
      <alignment vertical="top"/>
      <protection/>
    </xf>
    <xf numFmtId="3" fontId="2" fillId="0" borderId="0" xfId="119" applyNumberFormat="1" applyFont="1" applyFill="1" applyAlignment="1">
      <alignment horizontal="right" vertical="top"/>
      <protection/>
    </xf>
    <xf numFmtId="0" fontId="0" fillId="0" borderId="0" xfId="0" applyFont="1" applyFill="1" applyAlignment="1">
      <alignment/>
    </xf>
    <xf numFmtId="0" fontId="10" fillId="0" borderId="0" xfId="126" applyFont="1" applyFill="1" applyBorder="1" applyAlignment="1">
      <alignment/>
      <protection/>
    </xf>
    <xf numFmtId="3" fontId="10" fillId="0" borderId="0" xfId="126" applyNumberFormat="1" applyFont="1" applyFill="1" applyBorder="1" applyAlignment="1">
      <alignment horizontal="center" wrapText="1"/>
      <protection/>
    </xf>
    <xf numFmtId="3" fontId="13" fillId="0" borderId="0" xfId="126" applyNumberFormat="1" applyFont="1" applyFill="1" applyBorder="1" applyAlignment="1">
      <alignment horizontal="right"/>
      <protection/>
    </xf>
    <xf numFmtId="0" fontId="6" fillId="0" borderId="0" xfId="126" applyFont="1" applyFill="1" applyBorder="1" applyAlignment="1">
      <alignment horizontal="center"/>
      <protection/>
    </xf>
    <xf numFmtId="0" fontId="6" fillId="0" borderId="0" xfId="127" applyFont="1" applyFill="1" applyBorder="1" applyAlignment="1">
      <alignment horizontal="center" wrapText="1"/>
      <protection/>
    </xf>
    <xf numFmtId="3" fontId="6" fillId="0" borderId="0" xfId="127" applyNumberFormat="1" applyFont="1" applyFill="1" applyBorder="1" applyAlignment="1">
      <alignment horizontal="center"/>
      <protection/>
    </xf>
    <xf numFmtId="0" fontId="6" fillId="0" borderId="0" xfId="0" applyFont="1" applyFill="1" applyAlignment="1">
      <alignment/>
    </xf>
    <xf numFmtId="0" fontId="10" fillId="0" borderId="57" xfId="126" applyFont="1" applyFill="1" applyBorder="1" applyAlignment="1">
      <alignment horizontal="center" vertical="center" wrapText="1"/>
      <protection/>
    </xf>
    <xf numFmtId="0" fontId="10" fillId="0" borderId="43" xfId="126" applyFont="1" applyFill="1" applyBorder="1" applyAlignment="1">
      <alignment horizontal="center" vertical="center" wrapText="1"/>
      <protection/>
    </xf>
    <xf numFmtId="0" fontId="2" fillId="0" borderId="112" xfId="121" applyFont="1" applyFill="1" applyBorder="1" applyAlignment="1">
      <alignment vertical="top" wrapText="1"/>
      <protection/>
    </xf>
    <xf numFmtId="3" fontId="2" fillId="0" borderId="112" xfId="122" applyNumberFormat="1" applyFont="1" applyFill="1" applyBorder="1" applyAlignment="1">
      <alignment horizontal="left" vertical="top" wrapText="1"/>
      <protection/>
    </xf>
    <xf numFmtId="0" fontId="2" fillId="0" borderId="20" xfId="121" applyFont="1" applyFill="1" applyBorder="1" applyAlignment="1">
      <alignment horizontal="left" vertical="top" wrapText="1"/>
      <protection/>
    </xf>
    <xf numFmtId="3" fontId="2" fillId="0" borderId="97" xfId="122" applyNumberFormat="1" applyFont="1" applyFill="1" applyBorder="1" applyAlignment="1">
      <alignment horizontal="left"/>
      <protection/>
    </xf>
    <xf numFmtId="3" fontId="88" fillId="0" borderId="110" xfId="121" applyNumberFormat="1" applyFont="1" applyFill="1" applyBorder="1" applyAlignment="1">
      <alignment horizontal="right" wrapText="1"/>
      <protection/>
    </xf>
    <xf numFmtId="0" fontId="88" fillId="0" borderId="19" xfId="126" applyFont="1" applyFill="1" applyBorder="1" applyAlignment="1">
      <alignment horizontal="center"/>
      <protection/>
    </xf>
    <xf numFmtId="0" fontId="88" fillId="0" borderId="20" xfId="126" applyFont="1" applyFill="1" applyBorder="1" applyAlignment="1">
      <alignment horizontal="center"/>
      <protection/>
    </xf>
    <xf numFmtId="0" fontId="88" fillId="0" borderId="20" xfId="121" applyFont="1" applyFill="1" applyBorder="1" applyAlignment="1">
      <alignment horizontal="left"/>
      <protection/>
    </xf>
    <xf numFmtId="3" fontId="88" fillId="0" borderId="20" xfId="126" applyNumberFormat="1" applyFont="1" applyFill="1" applyBorder="1" applyAlignment="1">
      <alignment horizontal="right"/>
      <protection/>
    </xf>
    <xf numFmtId="3" fontId="88" fillId="0" borderId="20" xfId="121" applyNumberFormat="1" applyFont="1" applyFill="1" applyBorder="1" applyAlignment="1">
      <alignment horizontal="right"/>
      <protection/>
    </xf>
    <xf numFmtId="3" fontId="88" fillId="0" borderId="20" xfId="121" applyNumberFormat="1" applyFont="1" applyFill="1" applyBorder="1" applyAlignment="1">
      <alignment horizontal="right" wrapText="1"/>
      <protection/>
    </xf>
    <xf numFmtId="3" fontId="88" fillId="0" borderId="108" xfId="126" applyNumberFormat="1" applyFont="1" applyFill="1" applyBorder="1" applyAlignment="1">
      <alignment horizontal="right"/>
      <protection/>
    </xf>
    <xf numFmtId="0" fontId="88" fillId="0" borderId="0" xfId="126" applyFont="1" applyFill="1" applyBorder="1" applyAlignment="1">
      <alignment/>
      <protection/>
    </xf>
    <xf numFmtId="0" fontId="88" fillId="0" borderId="112" xfId="121" applyFont="1" applyFill="1" applyBorder="1" applyAlignment="1">
      <alignment/>
      <protection/>
    </xf>
    <xf numFmtId="3" fontId="2" fillId="0" borderId="126" xfId="126" applyNumberFormat="1" applyFont="1" applyFill="1" applyBorder="1" applyAlignment="1">
      <alignment horizontal="center" vertical="center" wrapText="1"/>
      <protection/>
    </xf>
    <xf numFmtId="3" fontId="2" fillId="0" borderId="127" xfId="121" applyNumberFormat="1" applyFont="1" applyFill="1" applyBorder="1" applyAlignment="1">
      <alignment horizontal="right" wrapText="1"/>
      <protection/>
    </xf>
    <xf numFmtId="3" fontId="2" fillId="0" borderId="96" xfId="121" applyNumberFormat="1" applyFont="1" applyFill="1" applyBorder="1" applyAlignment="1">
      <alignment horizontal="right" wrapText="1"/>
      <protection/>
    </xf>
    <xf numFmtId="3" fontId="88" fillId="0" borderId="96" xfId="121" applyNumberFormat="1" applyFont="1" applyFill="1" applyBorder="1" applyAlignment="1">
      <alignment horizontal="right" wrapText="1"/>
      <protection/>
    </xf>
    <xf numFmtId="0" fontId="2" fillId="0" borderId="57" xfId="126" applyFont="1" applyFill="1" applyBorder="1" applyAlignment="1">
      <alignment horizontal="center" wrapText="1"/>
      <protection/>
    </xf>
    <xf numFmtId="0" fontId="2" fillId="0" borderId="43" xfId="126" applyFont="1" applyFill="1" applyBorder="1" applyAlignment="1">
      <alignment horizontal="center" wrapText="1"/>
      <protection/>
    </xf>
    <xf numFmtId="0" fontId="88" fillId="0" borderId="43" xfId="126" applyFont="1" applyFill="1" applyBorder="1" applyAlignment="1">
      <alignment horizontal="center" wrapText="1"/>
      <protection/>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0" applyFont="1" applyFill="1" applyBorder="1" applyAlignment="1">
      <alignment vertical="center"/>
    </xf>
    <xf numFmtId="3" fontId="10" fillId="0" borderId="0" xfId="122" applyNumberFormat="1" applyFont="1">
      <alignment/>
      <protection/>
    </xf>
    <xf numFmtId="3" fontId="10" fillId="0" borderId="0" xfId="122" applyNumberFormat="1" applyFont="1" applyAlignment="1">
      <alignment horizontal="center"/>
      <protection/>
    </xf>
    <xf numFmtId="3" fontId="10" fillId="0" borderId="0" xfId="122" applyNumberFormat="1" applyFont="1" applyAlignment="1">
      <alignment horizontal="left" wrapText="1"/>
      <protection/>
    </xf>
    <xf numFmtId="14" fontId="10" fillId="0" borderId="0" xfId="122" applyNumberFormat="1" applyFont="1" applyAlignment="1">
      <alignment horizontal="center"/>
      <protection/>
    </xf>
    <xf numFmtId="3" fontId="89" fillId="0" borderId="20" xfId="126" applyNumberFormat="1" applyFont="1" applyFill="1" applyBorder="1" applyAlignment="1">
      <alignment horizontal="right"/>
      <protection/>
    </xf>
    <xf numFmtId="3" fontId="89" fillId="0" borderId="20" xfId="121" applyNumberFormat="1" applyFont="1" applyFill="1" applyBorder="1" applyAlignment="1">
      <alignment horizontal="right" wrapText="1"/>
      <protection/>
    </xf>
    <xf numFmtId="3" fontId="89" fillId="0" borderId="127" xfId="121" applyNumberFormat="1" applyFont="1" applyFill="1" applyBorder="1" applyAlignment="1">
      <alignment horizontal="right" wrapText="1"/>
      <protection/>
    </xf>
    <xf numFmtId="3" fontId="89" fillId="0" borderId="113" xfId="121" applyNumberFormat="1" applyFont="1" applyFill="1" applyBorder="1" applyAlignment="1">
      <alignment horizontal="right" wrapText="1"/>
      <protection/>
    </xf>
    <xf numFmtId="3" fontId="88" fillId="0" borderId="111" xfId="121" applyNumberFormat="1" applyFont="1" applyFill="1" applyBorder="1" applyAlignment="1">
      <alignment horizontal="right" wrapText="1"/>
      <protection/>
    </xf>
    <xf numFmtId="3" fontId="89" fillId="0" borderId="96" xfId="121" applyNumberFormat="1" applyFont="1" applyFill="1" applyBorder="1" applyAlignment="1">
      <alignment horizontal="right" wrapText="1"/>
      <protection/>
    </xf>
    <xf numFmtId="3" fontId="89" fillId="0" borderId="96" xfId="126" applyNumberFormat="1" applyFont="1" applyFill="1" applyBorder="1" applyAlignment="1">
      <alignment horizontal="right"/>
      <protection/>
    </xf>
    <xf numFmtId="3" fontId="88" fillId="0" borderId="110" xfId="126" applyNumberFormat="1" applyFont="1" applyFill="1" applyBorder="1" applyAlignment="1">
      <alignment horizontal="right"/>
      <protection/>
    </xf>
    <xf numFmtId="0" fontId="2" fillId="0" borderId="112" xfId="121" applyFont="1" applyFill="1" applyBorder="1" applyAlignment="1">
      <alignment horizontal="left" wrapText="1"/>
      <protection/>
    </xf>
    <xf numFmtId="2" fontId="2" fillId="0" borderId="20" xfId="121" applyNumberFormat="1" applyFont="1" applyFill="1" applyBorder="1" applyAlignment="1">
      <alignment wrapText="1"/>
      <protection/>
    </xf>
    <xf numFmtId="0" fontId="89" fillId="0" borderId="0" xfId="126" applyFont="1" applyFill="1" applyBorder="1" applyAlignment="1">
      <alignment/>
      <protection/>
    </xf>
    <xf numFmtId="0" fontId="25" fillId="0" borderId="20" xfId="121" applyFont="1" applyFill="1" applyBorder="1" applyAlignment="1">
      <alignment horizontal="left"/>
      <protection/>
    </xf>
    <xf numFmtId="0" fontId="2" fillId="0" borderId="43" xfId="126" applyFont="1" applyFill="1" applyBorder="1" applyAlignment="1">
      <alignment horizontal="center" vertical="top" wrapText="1"/>
      <protection/>
    </xf>
    <xf numFmtId="3" fontId="89" fillId="0" borderId="20" xfId="121" applyNumberFormat="1" applyFont="1" applyFill="1" applyBorder="1" applyAlignment="1">
      <alignment horizontal="right"/>
      <protection/>
    </xf>
    <xf numFmtId="3" fontId="12" fillId="0" borderId="0" xfId="0" applyNumberFormat="1" applyFont="1" applyFill="1" applyAlignment="1">
      <alignment horizontal="right" vertical="center"/>
    </xf>
    <xf numFmtId="0" fontId="28" fillId="0" borderId="20" xfId="121" applyFont="1" applyFill="1" applyBorder="1" applyAlignment="1">
      <alignment horizontal="left"/>
      <protection/>
    </xf>
    <xf numFmtId="3" fontId="4" fillId="0" borderId="30" xfId="0" applyNumberFormat="1" applyFont="1" applyFill="1" applyBorder="1" applyAlignment="1">
      <alignment vertical="center"/>
    </xf>
    <xf numFmtId="0" fontId="2" fillId="0" borderId="0" xfId="90" applyFont="1" applyFill="1" applyBorder="1" applyAlignment="1" applyProtection="1">
      <alignment horizontal="center" vertical="center"/>
      <protection locked="0"/>
    </xf>
    <xf numFmtId="3" fontId="2" fillId="0" borderId="0" xfId="90" applyNumberFormat="1" applyFont="1" applyFill="1" applyBorder="1" applyAlignment="1" applyProtection="1">
      <alignment horizontal="center" vertical="center"/>
      <protection locked="0"/>
    </xf>
    <xf numFmtId="3" fontId="2" fillId="0" borderId="0" xfId="90" applyNumberFormat="1" applyFont="1" applyFill="1" applyBorder="1" applyAlignment="1" applyProtection="1">
      <alignment/>
      <protection locked="0"/>
    </xf>
    <xf numFmtId="3" fontId="2" fillId="0" borderId="0" xfId="90" applyNumberFormat="1" applyFont="1" applyFill="1" applyBorder="1" applyAlignment="1" applyProtection="1">
      <alignment horizontal="right"/>
      <protection locked="0"/>
    </xf>
    <xf numFmtId="0" fontId="2" fillId="0" borderId="0" xfId="90" applyFont="1" applyFill="1" applyBorder="1" applyProtection="1">
      <alignment/>
      <protection locked="0"/>
    </xf>
    <xf numFmtId="3" fontId="10" fillId="0" borderId="0" xfId="90" applyNumberFormat="1" applyFont="1" applyFill="1" applyBorder="1" applyAlignment="1" applyProtection="1">
      <alignment horizontal="left" vertical="top"/>
      <protection locked="0"/>
    </xf>
    <xf numFmtId="3" fontId="10" fillId="0" borderId="0" xfId="90" applyNumberFormat="1" applyFont="1" applyFill="1" applyBorder="1" applyAlignment="1" applyProtection="1">
      <alignment horizontal="center" vertical="top"/>
      <protection locked="0"/>
    </xf>
    <xf numFmtId="3" fontId="10" fillId="0" borderId="0" xfId="90" applyNumberFormat="1" applyFont="1" applyFill="1" applyBorder="1" applyAlignment="1" applyProtection="1">
      <alignment horizontal="center" vertical="center"/>
      <protection locked="0"/>
    </xf>
    <xf numFmtId="3" fontId="10" fillId="0" borderId="0" xfId="90" applyNumberFormat="1" applyFont="1" applyFill="1" applyBorder="1" applyAlignment="1" applyProtection="1">
      <alignment/>
      <protection locked="0"/>
    </xf>
    <xf numFmtId="0" fontId="2" fillId="0" borderId="23" xfId="126" applyFont="1" applyFill="1" applyBorder="1" applyAlignment="1">
      <alignment horizontal="center"/>
      <protection/>
    </xf>
    <xf numFmtId="3" fontId="89" fillId="0" borderId="23" xfId="126" applyNumberFormat="1" applyFont="1" applyFill="1" applyBorder="1" applyAlignment="1">
      <alignment horizontal="right"/>
      <protection/>
    </xf>
    <xf numFmtId="3" fontId="89" fillId="0" borderId="23" xfId="121" applyNumberFormat="1" applyFont="1" applyFill="1" applyBorder="1" applyAlignment="1">
      <alignment horizontal="right"/>
      <protection/>
    </xf>
    <xf numFmtId="3" fontId="88" fillId="0" borderId="91" xfId="121" applyNumberFormat="1" applyFont="1" applyFill="1" applyBorder="1" applyAlignment="1">
      <alignment horizontal="right" wrapText="1"/>
      <protection/>
    </xf>
    <xf numFmtId="3" fontId="88" fillId="0" borderId="23" xfId="121" applyNumberFormat="1" applyFont="1" applyFill="1" applyBorder="1" applyAlignment="1">
      <alignment horizontal="right" wrapText="1"/>
      <protection/>
    </xf>
    <xf numFmtId="3" fontId="89" fillId="0" borderId="23" xfId="121" applyNumberFormat="1" applyFont="1" applyFill="1" applyBorder="1" applyAlignment="1">
      <alignment horizontal="right" wrapText="1"/>
      <protection/>
    </xf>
    <xf numFmtId="3" fontId="88" fillId="0" borderId="128" xfId="121" applyNumberFormat="1" applyFont="1" applyFill="1" applyBorder="1" applyAlignment="1">
      <alignment horizontal="right" wrapText="1"/>
      <protection/>
    </xf>
    <xf numFmtId="0" fontId="28" fillId="0" borderId="23" xfId="121" applyFont="1" applyFill="1" applyBorder="1" applyAlignment="1">
      <alignment horizontal="left"/>
      <protection/>
    </xf>
    <xf numFmtId="3" fontId="88" fillId="0" borderId="129" xfId="126" applyNumberFormat="1" applyFont="1" applyFill="1" applyBorder="1" applyAlignment="1">
      <alignment horizontal="right"/>
      <protection/>
    </xf>
    <xf numFmtId="3" fontId="88" fillId="0" borderId="107" xfId="126" applyNumberFormat="1" applyFont="1" applyFill="1" applyBorder="1" applyAlignment="1">
      <alignment horizontal="right"/>
      <protection/>
    </xf>
    <xf numFmtId="3" fontId="2" fillId="0" borderId="129" xfId="126" applyNumberFormat="1" applyFont="1" applyFill="1" applyBorder="1" applyAlignment="1">
      <alignment horizontal="right"/>
      <protection/>
    </xf>
    <xf numFmtId="0" fontId="2" fillId="0" borderId="38" xfId="126" applyFont="1" applyFill="1" applyBorder="1" applyAlignment="1">
      <alignment horizontal="center"/>
      <protection/>
    </xf>
    <xf numFmtId="0" fontId="88" fillId="0" borderId="38" xfId="121" applyFont="1" applyFill="1" applyBorder="1" applyAlignment="1">
      <alignment horizontal="left"/>
      <protection/>
    </xf>
    <xf numFmtId="3" fontId="89" fillId="0" borderId="38" xfId="121" applyNumberFormat="1" applyFont="1" applyFill="1" applyBorder="1" applyAlignment="1">
      <alignment horizontal="right"/>
      <protection/>
    </xf>
    <xf numFmtId="0" fontId="88" fillId="0" borderId="122" xfId="126" applyFont="1" applyFill="1" applyBorder="1" applyAlignment="1">
      <alignment horizontal="center" wrapText="1"/>
      <protection/>
    </xf>
    <xf numFmtId="3" fontId="88" fillId="0" borderId="114" xfId="121" applyNumberFormat="1" applyFont="1" applyFill="1" applyBorder="1" applyAlignment="1">
      <alignment horizontal="right" wrapText="1"/>
      <protection/>
    </xf>
    <xf numFmtId="3" fontId="88" fillId="0" borderId="38" xfId="121" applyNumberFormat="1" applyFont="1" applyFill="1" applyBorder="1" applyAlignment="1">
      <alignment horizontal="right" wrapText="1"/>
      <protection/>
    </xf>
    <xf numFmtId="3" fontId="89" fillId="0" borderId="38" xfId="121" applyNumberFormat="1" applyFont="1" applyFill="1" applyBorder="1" applyAlignment="1">
      <alignment horizontal="right" wrapText="1"/>
      <protection/>
    </xf>
    <xf numFmtId="3" fontId="88" fillId="0" borderId="130" xfId="121" applyNumberFormat="1" applyFont="1" applyFill="1" applyBorder="1" applyAlignment="1">
      <alignment horizontal="right" wrapText="1"/>
      <protection/>
    </xf>
    <xf numFmtId="0" fontId="88" fillId="0" borderId="115" xfId="121" applyFont="1" applyFill="1" applyBorder="1" applyAlignment="1">
      <alignment/>
      <protection/>
    </xf>
    <xf numFmtId="3" fontId="2" fillId="0" borderId="38" xfId="126" applyNumberFormat="1" applyFont="1" applyFill="1" applyBorder="1" applyAlignment="1">
      <alignment horizontal="right"/>
      <protection/>
    </xf>
    <xf numFmtId="3" fontId="2" fillId="0" borderId="38" xfId="121" applyNumberFormat="1" applyFont="1" applyFill="1" applyBorder="1" applyAlignment="1">
      <alignment horizontal="right"/>
      <protection/>
    </xf>
    <xf numFmtId="0" fontId="2" fillId="0" borderId="122" xfId="126" applyFont="1" applyFill="1" applyBorder="1" applyAlignment="1">
      <alignment horizontal="center" wrapText="1"/>
      <protection/>
    </xf>
    <xf numFmtId="3" fontId="2" fillId="0" borderId="114" xfId="121" applyNumberFormat="1" applyFont="1" applyFill="1" applyBorder="1" applyAlignment="1">
      <alignment horizontal="right" wrapText="1"/>
      <protection/>
    </xf>
    <xf numFmtId="3" fontId="2" fillId="0" borderId="38" xfId="121" applyNumberFormat="1" applyFont="1" applyFill="1" applyBorder="1" applyAlignment="1">
      <alignment horizontal="right" wrapText="1"/>
      <protection/>
    </xf>
    <xf numFmtId="3" fontId="2" fillId="0" borderId="20" xfId="119" applyNumberFormat="1" applyFont="1" applyFill="1" applyBorder="1" applyAlignment="1">
      <alignment horizontal="center" vertical="center"/>
      <protection/>
    </xf>
    <xf numFmtId="3" fontId="2" fillId="0" borderId="0" xfId="119" applyNumberFormat="1" applyFont="1" applyFill="1" applyBorder="1" applyAlignment="1">
      <alignment horizontal="center" vertical="center"/>
      <protection/>
    </xf>
    <xf numFmtId="3" fontId="10" fillId="0" borderId="0" xfId="122" applyNumberFormat="1" applyFont="1" applyAlignment="1">
      <alignment horizontal="center" wrapText="1"/>
      <protection/>
    </xf>
    <xf numFmtId="3" fontId="10" fillId="0" borderId="0" xfId="122" applyNumberFormat="1" applyFont="1" applyBorder="1" applyAlignment="1">
      <alignment horizontal="center"/>
      <protection/>
    </xf>
    <xf numFmtId="3" fontId="10" fillId="0" borderId="131" xfId="122" applyNumberFormat="1" applyFont="1" applyBorder="1" applyAlignment="1">
      <alignment horizontal="center" vertical="center" wrapText="1"/>
      <protection/>
    </xf>
    <xf numFmtId="3" fontId="2" fillId="0" borderId="132" xfId="122" applyNumberFormat="1" applyFont="1" applyBorder="1" applyAlignment="1">
      <alignment horizontal="center" vertical="center" wrapText="1"/>
      <protection/>
    </xf>
    <xf numFmtId="3" fontId="2" fillId="0" borderId="95" xfId="122" applyNumberFormat="1" applyFont="1" applyBorder="1" applyAlignment="1">
      <alignment horizontal="center" vertical="center" wrapText="1"/>
      <protection/>
    </xf>
    <xf numFmtId="3" fontId="10" fillId="0" borderId="0" xfId="122" applyNumberFormat="1" applyFont="1" applyBorder="1" applyAlignment="1">
      <alignment horizontal="center" vertical="center" wrapText="1"/>
      <protection/>
    </xf>
    <xf numFmtId="3" fontId="2" fillId="0" borderId="10" xfId="122" applyNumberFormat="1" applyFont="1" applyBorder="1" applyAlignment="1">
      <alignment horizontal="center" wrapText="1"/>
      <protection/>
    </xf>
    <xf numFmtId="3" fontId="24" fillId="0" borderId="133" xfId="122" applyNumberFormat="1" applyFont="1" applyBorder="1" applyAlignment="1">
      <alignment horizontal="left"/>
      <protection/>
    </xf>
    <xf numFmtId="3" fontId="2" fillId="0" borderId="102" xfId="122" applyNumberFormat="1" applyFont="1" applyBorder="1" applyAlignment="1">
      <alignment horizontal="center" wrapText="1"/>
      <protection/>
    </xf>
    <xf numFmtId="14" fontId="2" fillId="0" borderId="109" xfId="122" applyNumberFormat="1" applyFont="1" applyBorder="1" applyAlignment="1">
      <alignment horizontal="center" vertical="center" wrapText="1"/>
      <protection/>
    </xf>
    <xf numFmtId="3" fontId="2" fillId="0" borderId="0" xfId="122" applyNumberFormat="1" applyFont="1" applyBorder="1" applyAlignment="1">
      <alignment horizontal="center" vertical="center" wrapText="1"/>
      <protection/>
    </xf>
    <xf numFmtId="3" fontId="2" fillId="0" borderId="134" xfId="122" applyNumberFormat="1" applyFont="1" applyBorder="1" applyAlignment="1">
      <alignment horizontal="center" vertical="center" wrapText="1"/>
      <protection/>
    </xf>
    <xf numFmtId="3" fontId="2" fillId="0" borderId="127" xfId="122" applyNumberFormat="1" applyFont="1" applyBorder="1" applyAlignment="1">
      <alignment horizontal="center" vertical="center" wrapText="1"/>
      <protection/>
    </xf>
    <xf numFmtId="0" fontId="2" fillId="0" borderId="113" xfId="122" applyNumberFormat="1" applyFont="1" applyBorder="1" applyAlignment="1">
      <alignment horizontal="center" vertical="center" wrapText="1"/>
      <protection/>
    </xf>
    <xf numFmtId="3" fontId="2" fillId="0" borderId="111" xfId="122" applyNumberFormat="1" applyFont="1" applyBorder="1" applyAlignment="1">
      <alignment horizontal="center" vertical="center" wrapText="1"/>
      <protection/>
    </xf>
    <xf numFmtId="3" fontId="2" fillId="0" borderId="113" xfId="122" applyNumberFormat="1" applyFont="1" applyBorder="1" applyAlignment="1">
      <alignment horizontal="center" vertical="center" wrapText="1"/>
      <protection/>
    </xf>
    <xf numFmtId="3" fontId="2" fillId="0" borderId="135" xfId="122" applyNumberFormat="1" applyFont="1" applyBorder="1" applyAlignment="1">
      <alignment horizontal="center" vertical="center" wrapText="1"/>
      <protection/>
    </xf>
    <xf numFmtId="3" fontId="2" fillId="0" borderId="20" xfId="122" applyNumberFormat="1" applyFont="1" applyBorder="1" applyAlignment="1">
      <alignment horizontal="left" vertical="center" wrapText="1"/>
      <protection/>
    </xf>
    <xf numFmtId="14" fontId="2" fillId="0" borderId="110" xfId="122" applyNumberFormat="1" applyFont="1" applyBorder="1" applyAlignment="1">
      <alignment horizontal="center" vertical="center" wrapText="1"/>
      <protection/>
    </xf>
    <xf numFmtId="3" fontId="2" fillId="0" borderId="43" xfId="122" applyNumberFormat="1" applyFont="1" applyBorder="1" applyAlignment="1">
      <alignment horizontal="right" vertical="center" wrapText="1"/>
      <protection/>
    </xf>
    <xf numFmtId="3" fontId="2" fillId="0" borderId="96" xfId="122" applyNumberFormat="1" applyFont="1" applyBorder="1" applyAlignment="1">
      <alignment horizontal="right" vertical="center" wrapText="1"/>
      <protection/>
    </xf>
    <xf numFmtId="3" fontId="2" fillId="0" borderId="20" xfId="122" applyNumberFormat="1" applyFont="1" applyBorder="1" applyAlignment="1">
      <alignment horizontal="right" vertical="center" wrapText="1"/>
      <protection/>
    </xf>
    <xf numFmtId="3" fontId="2" fillId="0" borderId="110" xfId="122" applyNumberFormat="1" applyFont="1" applyBorder="1" applyAlignment="1">
      <alignment horizontal="right" vertical="center" wrapText="1"/>
      <protection/>
    </xf>
    <xf numFmtId="3" fontId="2" fillId="0" borderId="20" xfId="122" applyNumberFormat="1" applyFont="1" applyBorder="1" applyAlignment="1">
      <alignment horizontal="center" vertical="top" wrapText="1"/>
      <protection/>
    </xf>
    <xf numFmtId="3" fontId="2" fillId="0" borderId="57" xfId="122" applyNumberFormat="1" applyFont="1" applyBorder="1" applyAlignment="1">
      <alignment horizontal="right" vertical="center" wrapText="1"/>
      <protection/>
    </xf>
    <xf numFmtId="3" fontId="2" fillId="0" borderId="91" xfId="122" applyNumberFormat="1" applyFont="1" applyBorder="1" applyAlignment="1">
      <alignment horizontal="right" vertical="center" wrapText="1"/>
      <protection/>
    </xf>
    <xf numFmtId="3" fontId="2" fillId="0" borderId="20" xfId="122" applyNumberFormat="1" applyFont="1" applyBorder="1" applyAlignment="1">
      <alignment horizontal="center" vertical="center" wrapText="1"/>
      <protection/>
    </xf>
    <xf numFmtId="0" fontId="2" fillId="0" borderId="102" xfId="0" applyFont="1" applyFill="1" applyBorder="1" applyAlignment="1">
      <alignment vertical="center" wrapText="1"/>
    </xf>
    <xf numFmtId="0" fontId="2" fillId="0" borderId="20" xfId="0" applyFont="1" applyFill="1" applyBorder="1" applyAlignment="1">
      <alignment wrapText="1"/>
    </xf>
    <xf numFmtId="3" fontId="2" fillId="0" borderId="133" xfId="122" applyNumberFormat="1" applyFont="1" applyBorder="1" applyAlignment="1">
      <alignment horizontal="center" vertical="center" wrapText="1"/>
      <protection/>
    </xf>
    <xf numFmtId="0" fontId="2" fillId="0" borderId="102" xfId="122" applyNumberFormat="1" applyFont="1" applyBorder="1" applyAlignment="1">
      <alignment horizontal="center" vertical="center" wrapText="1"/>
      <protection/>
    </xf>
    <xf numFmtId="3" fontId="2" fillId="0" borderId="136" xfId="122" applyNumberFormat="1" applyFont="1" applyBorder="1" applyAlignment="1">
      <alignment horizontal="center" vertical="center" wrapText="1"/>
      <protection/>
    </xf>
    <xf numFmtId="3" fontId="2" fillId="0" borderId="137" xfId="122" applyNumberFormat="1" applyFont="1" applyBorder="1" applyAlignment="1">
      <alignment horizontal="center" vertical="center" wrapText="1"/>
      <protection/>
    </xf>
    <xf numFmtId="3" fontId="2" fillId="0" borderId="102" xfId="122" applyNumberFormat="1" applyFont="1" applyBorder="1" applyAlignment="1">
      <alignment horizontal="center" vertical="center" wrapText="1"/>
      <protection/>
    </xf>
    <xf numFmtId="3" fontId="2" fillId="0" borderId="40" xfId="122" applyNumberFormat="1" applyFont="1" applyFill="1" applyBorder="1" applyAlignment="1">
      <alignment horizontal="center" vertical="center" wrapText="1"/>
      <protection/>
    </xf>
    <xf numFmtId="3" fontId="4" fillId="0" borderId="138" xfId="122" applyNumberFormat="1" applyFont="1" applyBorder="1" applyAlignment="1">
      <alignment horizontal="right" vertical="center"/>
      <protection/>
    </xf>
    <xf numFmtId="3" fontId="4" fillId="0" borderId="56" xfId="122" applyNumberFormat="1" applyFont="1" applyBorder="1" applyAlignment="1">
      <alignment horizontal="right" vertical="center"/>
      <protection/>
    </xf>
    <xf numFmtId="3" fontId="12" fillId="0" borderId="19" xfId="0" applyNumberFormat="1" applyFont="1" applyFill="1" applyBorder="1" applyAlignment="1">
      <alignment horizontal="center"/>
    </xf>
    <xf numFmtId="3" fontId="12" fillId="0" borderId="20" xfId="124" applyNumberFormat="1" applyFont="1" applyFill="1" applyBorder="1" applyAlignment="1">
      <alignment horizontal="center"/>
      <protection/>
    </xf>
    <xf numFmtId="3" fontId="12" fillId="0" borderId="22" xfId="0" applyNumberFormat="1" applyFont="1" applyFill="1" applyBorder="1" applyAlignment="1">
      <alignment/>
    </xf>
    <xf numFmtId="3" fontId="12" fillId="0" borderId="21" xfId="0" applyNumberFormat="1" applyFont="1" applyFill="1" applyBorder="1" applyAlignment="1">
      <alignment/>
    </xf>
    <xf numFmtId="3" fontId="16" fillId="0" borderId="0" xfId="0" applyNumberFormat="1" applyFont="1" applyFill="1" applyAlignment="1">
      <alignment horizontal="right"/>
    </xf>
    <xf numFmtId="3" fontId="16" fillId="0" borderId="0" xfId="0" applyNumberFormat="1" applyFont="1" applyFill="1" applyAlignment="1">
      <alignment/>
    </xf>
    <xf numFmtId="3" fontId="84" fillId="0" borderId="96" xfId="119" applyNumberFormat="1" applyFont="1" applyFill="1" applyBorder="1" applyAlignment="1">
      <alignment horizontal="right"/>
      <protection/>
    </xf>
    <xf numFmtId="3" fontId="84" fillId="0" borderId="20" xfId="0" applyNumberFormat="1" applyFont="1" applyFill="1" applyBorder="1" applyAlignment="1">
      <alignment horizontal="right" wrapText="1"/>
    </xf>
    <xf numFmtId="3" fontId="84" fillId="0" borderId="21" xfId="0" applyNumberFormat="1" applyFont="1" applyFill="1" applyBorder="1" applyAlignment="1">
      <alignment horizontal="right" wrapText="1"/>
    </xf>
    <xf numFmtId="3" fontId="85" fillId="0" borderId="96" xfId="119" applyNumberFormat="1" applyFont="1" applyFill="1" applyBorder="1" applyAlignment="1">
      <alignment horizontal="right"/>
      <protection/>
    </xf>
    <xf numFmtId="3" fontId="84" fillId="0" borderId="20" xfId="0" applyNumberFormat="1" applyFont="1" applyFill="1" applyBorder="1" applyAlignment="1">
      <alignment horizontal="right" vertical="center" wrapText="1"/>
    </xf>
    <xf numFmtId="3" fontId="84" fillId="0" borderId="19" xfId="119" applyNumberFormat="1" applyFont="1" applyFill="1" applyBorder="1" applyAlignment="1">
      <alignment horizontal="center" vertical="center"/>
      <protection/>
    </xf>
    <xf numFmtId="3" fontId="84" fillId="0" borderId="20" xfId="119" applyNumberFormat="1" applyFont="1" applyFill="1" applyBorder="1" applyAlignment="1">
      <alignment horizontal="center" vertical="center"/>
      <protection/>
    </xf>
    <xf numFmtId="3" fontId="84" fillId="0" borderId="23" xfId="119" applyNumberFormat="1" applyFont="1" applyFill="1" applyBorder="1" applyAlignment="1">
      <alignment wrapText="1"/>
      <protection/>
    </xf>
    <xf numFmtId="3" fontId="84" fillId="0" borderId="20" xfId="119" applyNumberFormat="1" applyFont="1" applyFill="1" applyBorder="1" applyAlignment="1">
      <alignment horizontal="right"/>
      <protection/>
    </xf>
    <xf numFmtId="3" fontId="84" fillId="0" borderId="22" xfId="119" applyNumberFormat="1" applyFont="1" applyFill="1" applyBorder="1" applyAlignment="1">
      <alignment horizontal="right"/>
      <protection/>
    </xf>
    <xf numFmtId="3" fontId="84" fillId="0" borderId="43" xfId="119" applyNumberFormat="1" applyFont="1" applyFill="1" applyBorder="1" applyAlignment="1">
      <alignment horizontal="center"/>
      <protection/>
    </xf>
    <xf numFmtId="3" fontId="88" fillId="0" borderId="0" xfId="119" applyNumberFormat="1" applyFont="1" applyFill="1" applyAlignment="1">
      <alignment horizontal="center" vertical="center"/>
      <protection/>
    </xf>
    <xf numFmtId="3" fontId="84" fillId="0" borderId="23" xfId="119" applyNumberFormat="1" applyFont="1" applyFill="1" applyBorder="1" applyAlignment="1">
      <alignment horizontal="right"/>
      <protection/>
    </xf>
    <xf numFmtId="3" fontId="84" fillId="0" borderId="24" xfId="119" applyNumberFormat="1" applyFont="1" applyFill="1" applyBorder="1" applyAlignment="1">
      <alignment horizontal="right"/>
      <protection/>
    </xf>
    <xf numFmtId="3" fontId="84" fillId="0" borderId="57" xfId="119" applyNumberFormat="1" applyFont="1" applyFill="1" applyBorder="1" applyAlignment="1">
      <alignment horizontal="center"/>
      <protection/>
    </xf>
    <xf numFmtId="3" fontId="84" fillId="0" borderId="23" xfId="0" applyNumberFormat="1" applyFont="1" applyFill="1" applyBorder="1" applyAlignment="1">
      <alignment horizontal="right" wrapText="1"/>
    </xf>
    <xf numFmtId="3" fontId="84" fillId="0" borderId="28" xfId="0" applyNumberFormat="1" applyFont="1" applyFill="1" applyBorder="1" applyAlignment="1">
      <alignment horizontal="right" wrapText="1"/>
    </xf>
    <xf numFmtId="3" fontId="88" fillId="0" borderId="0" xfId="119" applyNumberFormat="1" applyFont="1" applyFill="1" applyAlignment="1">
      <alignment horizontal="center"/>
      <protection/>
    </xf>
    <xf numFmtId="3" fontId="85" fillId="0" borderId="19" xfId="119" applyNumberFormat="1" applyFont="1" applyFill="1" applyBorder="1" applyAlignment="1">
      <alignment horizontal="center" vertical="center"/>
      <protection/>
    </xf>
    <xf numFmtId="3" fontId="85" fillId="0" borderId="23" xfId="119" applyNumberFormat="1" applyFont="1" applyFill="1" applyBorder="1" applyAlignment="1">
      <alignment horizontal="left" wrapText="1" indent="4"/>
      <protection/>
    </xf>
    <xf numFmtId="3" fontId="85" fillId="0" borderId="20" xfId="119" applyNumberFormat="1" applyFont="1" applyFill="1" applyBorder="1" applyAlignment="1">
      <alignment horizontal="right"/>
      <protection/>
    </xf>
    <xf numFmtId="3" fontId="85" fillId="0" borderId="22" xfId="119" applyNumberFormat="1" applyFont="1" applyFill="1" applyBorder="1" applyAlignment="1">
      <alignment horizontal="right"/>
      <protection/>
    </xf>
    <xf numFmtId="3" fontId="85" fillId="0" borderId="43" xfId="119" applyNumberFormat="1" applyFont="1" applyFill="1" applyBorder="1" applyAlignment="1">
      <alignment horizontal="center"/>
      <protection/>
    </xf>
    <xf numFmtId="3" fontId="85" fillId="0" borderId="20" xfId="0" applyNumberFormat="1" applyFont="1" applyFill="1" applyBorder="1" applyAlignment="1">
      <alignment horizontal="right" wrapText="1"/>
    </xf>
    <xf numFmtId="3" fontId="85" fillId="0" borderId="21" xfId="0" applyNumberFormat="1" applyFont="1" applyFill="1" applyBorder="1" applyAlignment="1">
      <alignment horizontal="right" wrapText="1"/>
    </xf>
    <xf numFmtId="3" fontId="90" fillId="0" borderId="0" xfId="119" applyNumberFormat="1" applyFont="1" applyFill="1" applyAlignment="1">
      <alignment horizontal="center" vertical="center"/>
      <protection/>
    </xf>
    <xf numFmtId="3" fontId="90" fillId="0" borderId="0" xfId="119" applyNumberFormat="1" applyFont="1" applyFill="1" applyBorder="1" applyAlignment="1">
      <alignment horizontal="center" vertical="center"/>
      <protection/>
    </xf>
    <xf numFmtId="3" fontId="90" fillId="0" borderId="20" xfId="119" applyNumberFormat="1" applyFont="1" applyFill="1" applyBorder="1" applyAlignment="1">
      <alignment horizontal="center" vertical="center"/>
      <protection/>
    </xf>
    <xf numFmtId="3" fontId="85" fillId="0" borderId="23" xfId="119" applyNumberFormat="1" applyFont="1" applyFill="1" applyBorder="1" applyAlignment="1">
      <alignment horizontal="left" vertical="top" wrapText="1" indent="4"/>
      <protection/>
    </xf>
    <xf numFmtId="3" fontId="84" fillId="0" borderId="25" xfId="119" applyNumberFormat="1" applyFont="1" applyFill="1" applyBorder="1" applyAlignment="1">
      <alignment horizontal="center" vertical="center"/>
      <protection/>
    </xf>
    <xf numFmtId="3" fontId="85" fillId="0" borderId="0" xfId="119" applyNumberFormat="1" applyFont="1" applyFill="1" applyAlignment="1">
      <alignment horizontal="center" vertical="center"/>
      <protection/>
    </xf>
    <xf numFmtId="3" fontId="84" fillId="0" borderId="0" xfId="119" applyNumberFormat="1" applyFont="1" applyFill="1" applyAlignment="1">
      <alignment horizontal="center" vertical="center"/>
      <protection/>
    </xf>
    <xf numFmtId="3" fontId="84" fillId="0" borderId="23" xfId="119" applyNumberFormat="1" applyFont="1" applyFill="1" applyBorder="1" applyAlignment="1">
      <alignment horizontal="left" wrapText="1" indent="2"/>
      <protection/>
    </xf>
    <xf numFmtId="3" fontId="85" fillId="0" borderId="25" xfId="119" applyNumberFormat="1" applyFont="1" applyFill="1" applyBorder="1" applyAlignment="1">
      <alignment horizontal="center" vertical="center"/>
      <protection/>
    </xf>
    <xf numFmtId="3" fontId="85" fillId="0" borderId="23" xfId="119" applyNumberFormat="1" applyFont="1" applyFill="1" applyBorder="1" applyAlignment="1">
      <alignment horizontal="right"/>
      <protection/>
    </xf>
    <xf numFmtId="3" fontId="85" fillId="0" borderId="24" xfId="119" applyNumberFormat="1" applyFont="1" applyFill="1" applyBorder="1" applyAlignment="1">
      <alignment horizontal="right"/>
      <protection/>
    </xf>
    <xf numFmtId="3" fontId="85" fillId="0" borderId="23" xfId="0" applyNumberFormat="1" applyFont="1" applyFill="1" applyBorder="1" applyAlignment="1">
      <alignment horizontal="right" wrapText="1"/>
    </xf>
    <xf numFmtId="3" fontId="85" fillId="0" borderId="28" xfId="0" applyNumberFormat="1" applyFont="1" applyFill="1" applyBorder="1" applyAlignment="1">
      <alignment horizontal="right" wrapText="1"/>
    </xf>
    <xf numFmtId="3" fontId="85" fillId="0" borderId="57" xfId="119" applyNumberFormat="1" applyFont="1" applyFill="1" applyBorder="1" applyAlignment="1">
      <alignment horizontal="center"/>
      <protection/>
    </xf>
    <xf numFmtId="3" fontId="85" fillId="0" borderId="25" xfId="119" applyNumberFormat="1" applyFont="1" applyFill="1" applyBorder="1" applyAlignment="1">
      <alignment horizontal="center"/>
      <protection/>
    </xf>
    <xf numFmtId="3" fontId="84" fillId="0" borderId="20" xfId="119" applyNumberFormat="1" applyFont="1" applyFill="1" applyBorder="1" applyAlignment="1">
      <alignment horizontal="center"/>
      <protection/>
    </xf>
    <xf numFmtId="3" fontId="88" fillId="0" borderId="0" xfId="119" applyNumberFormat="1" applyFont="1" applyFill="1" applyAlignment="1">
      <alignment/>
      <protection/>
    </xf>
    <xf numFmtId="3" fontId="84" fillId="0" borderId="117" xfId="119" applyNumberFormat="1" applyFont="1" applyFill="1" applyBorder="1" applyAlignment="1">
      <alignment horizontal="center" vertical="center"/>
      <protection/>
    </xf>
    <xf numFmtId="3" fontId="84" fillId="0" borderId="118" xfId="119" applyNumberFormat="1" applyFont="1" applyFill="1" applyBorder="1" applyAlignment="1">
      <alignment horizontal="center" vertical="center"/>
      <protection/>
    </xf>
    <xf numFmtId="3" fontId="84" fillId="0" borderId="139" xfId="119" applyNumberFormat="1" applyFont="1" applyFill="1" applyBorder="1" applyAlignment="1">
      <alignment horizontal="center"/>
      <protection/>
    </xf>
    <xf numFmtId="3" fontId="91" fillId="0" borderId="0" xfId="119" applyNumberFormat="1" applyFont="1" applyFill="1" applyAlignment="1">
      <alignment horizontal="center" vertical="center"/>
      <protection/>
    </xf>
    <xf numFmtId="3" fontId="91" fillId="0" borderId="0" xfId="119" applyNumberFormat="1" applyFont="1" applyFill="1" applyBorder="1">
      <alignment/>
      <protection/>
    </xf>
    <xf numFmtId="3" fontId="12" fillId="0" borderId="19" xfId="0" applyNumberFormat="1" applyFont="1" applyFill="1" applyBorder="1" applyAlignment="1">
      <alignment horizontal="center" vertical="top"/>
    </xf>
    <xf numFmtId="3" fontId="12" fillId="0" borderId="96" xfId="0" applyNumberFormat="1" applyFont="1" applyFill="1" applyBorder="1" applyAlignment="1">
      <alignment horizontal="center"/>
    </xf>
    <xf numFmtId="3" fontId="12" fillId="0" borderId="20" xfId="124" applyNumberFormat="1" applyFont="1" applyFill="1" applyBorder="1" applyAlignment="1">
      <alignment horizontal="center" vertical="top" wrapText="1"/>
      <protection/>
    </xf>
    <xf numFmtId="3" fontId="12" fillId="0" borderId="22" xfId="0" applyNumberFormat="1" applyFont="1" applyFill="1" applyBorder="1" applyAlignment="1">
      <alignment vertical="top"/>
    </xf>
    <xf numFmtId="0" fontId="2" fillId="0" borderId="20" xfId="121" applyFont="1" applyFill="1" applyBorder="1" applyAlignment="1">
      <alignment horizontal="left" shrinkToFit="1"/>
      <protection/>
    </xf>
    <xf numFmtId="0" fontId="2" fillId="0" borderId="112" xfId="121" applyFont="1" applyFill="1" applyBorder="1" applyAlignment="1">
      <alignment shrinkToFit="1"/>
      <protection/>
    </xf>
    <xf numFmtId="0" fontId="2" fillId="0" borderId="0" xfId="0" applyFont="1" applyFill="1" applyBorder="1" applyAlignment="1">
      <alignment horizontal="left" wrapText="1"/>
    </xf>
    <xf numFmtId="3" fontId="10" fillId="0" borderId="0" xfId="126" applyNumberFormat="1" applyFont="1" applyAlignment="1" applyProtection="1">
      <alignment horizontal="center" vertical="center"/>
      <protection locked="0"/>
    </xf>
    <xf numFmtId="0" fontId="10" fillId="0" borderId="25" xfId="127" applyFont="1" applyBorder="1" applyAlignment="1" applyProtection="1">
      <alignment horizontal="center"/>
      <protection locked="0"/>
    </xf>
    <xf numFmtId="3" fontId="23" fillId="0" borderId="23" xfId="124" applyNumberFormat="1" applyFont="1" applyBorder="1" applyAlignment="1" applyProtection="1">
      <alignment horizontal="left"/>
      <protection locked="0"/>
    </xf>
    <xf numFmtId="0" fontId="23" fillId="0" borderId="23" xfId="126" applyFont="1" applyBorder="1" applyAlignment="1" applyProtection="1">
      <alignment horizontal="left" wrapText="1"/>
      <protection locked="0"/>
    </xf>
    <xf numFmtId="0" fontId="10" fillId="0" borderId="23" xfId="127" applyFont="1" applyBorder="1" applyAlignment="1" applyProtection="1">
      <alignment horizontal="center"/>
      <protection locked="0"/>
    </xf>
    <xf numFmtId="3" fontId="10" fillId="0" borderId="23" xfId="127" applyNumberFormat="1" applyFont="1" applyBorder="1" applyProtection="1">
      <alignment/>
      <protection locked="0"/>
    </xf>
    <xf numFmtId="3" fontId="10" fillId="0" borderId="23" xfId="126" applyNumberFormat="1" applyFont="1" applyBorder="1" applyProtection="1">
      <alignment/>
      <protection locked="0"/>
    </xf>
    <xf numFmtId="3" fontId="10" fillId="0" borderId="24" xfId="126" applyNumberFormat="1" applyFont="1" applyBorder="1" applyAlignment="1" applyProtection="1">
      <alignment horizontal="right"/>
      <protection locked="0"/>
    </xf>
    <xf numFmtId="0" fontId="10" fillId="0" borderId="0" xfId="126" applyFont="1" applyAlignment="1" applyProtection="1">
      <alignment horizontal="left"/>
      <protection locked="0"/>
    </xf>
    <xf numFmtId="0" fontId="10" fillId="0" borderId="0" xfId="126" applyFont="1" applyAlignment="1" applyProtection="1">
      <alignment horizontal="center" vertical="center"/>
      <protection locked="0"/>
    </xf>
    <xf numFmtId="3" fontId="10" fillId="0" borderId="20" xfId="124" applyNumberFormat="1" applyFont="1" applyBorder="1" applyAlignment="1" applyProtection="1">
      <alignment horizontal="center" vertical="top"/>
      <protection locked="0"/>
    </xf>
    <xf numFmtId="0" fontId="10" fillId="0" borderId="20" xfId="126" applyFont="1" applyBorder="1" applyAlignment="1" applyProtection="1">
      <alignment horizontal="left" wrapText="1"/>
      <protection locked="0"/>
    </xf>
    <xf numFmtId="3" fontId="10" fillId="0" borderId="23" xfId="127" applyNumberFormat="1" applyFont="1" applyBorder="1" applyAlignment="1" applyProtection="1">
      <alignment vertical="center"/>
      <protection locked="0"/>
    </xf>
    <xf numFmtId="3" fontId="10" fillId="0" borderId="23" xfId="126" applyNumberFormat="1" applyFont="1" applyBorder="1" applyAlignment="1" applyProtection="1">
      <alignment vertical="center"/>
      <protection locked="0"/>
    </xf>
    <xf numFmtId="3" fontId="10" fillId="0" borderId="24" xfId="126" applyNumberFormat="1" applyFont="1" applyBorder="1" applyAlignment="1" applyProtection="1">
      <alignment horizontal="right" vertical="center"/>
      <protection locked="0"/>
    </xf>
    <xf numFmtId="0" fontId="10" fillId="0" borderId="0" xfId="126" applyFont="1" applyProtection="1">
      <alignment/>
      <protection locked="0"/>
    </xf>
    <xf numFmtId="3" fontId="10" fillId="0" borderId="20" xfId="124" applyNumberFormat="1" applyFont="1" applyBorder="1" applyAlignment="1" applyProtection="1">
      <alignment horizontal="center"/>
      <protection locked="0"/>
    </xf>
    <xf numFmtId="0" fontId="10" fillId="0" borderId="23" xfId="126" applyFont="1" applyBorder="1" applyAlignment="1" applyProtection="1">
      <alignment horizontal="left" wrapText="1"/>
      <protection locked="0"/>
    </xf>
    <xf numFmtId="0" fontId="16" fillId="0" borderId="20" xfId="126" applyFont="1" applyBorder="1" applyProtection="1">
      <alignment/>
      <protection locked="0"/>
    </xf>
    <xf numFmtId="0" fontId="16" fillId="0" borderId="23" xfId="127" applyFont="1" applyBorder="1" applyAlignment="1" applyProtection="1">
      <alignment horizontal="left"/>
      <protection locked="0"/>
    </xf>
    <xf numFmtId="3" fontId="23" fillId="0" borderId="20" xfId="124" applyNumberFormat="1" applyFont="1" applyBorder="1" applyAlignment="1" applyProtection="1">
      <alignment horizontal="left"/>
      <protection locked="0"/>
    </xf>
    <xf numFmtId="0" fontId="16" fillId="0" borderId="20" xfId="126" applyFont="1" applyBorder="1" applyAlignment="1" applyProtection="1">
      <alignment horizontal="left"/>
      <protection locked="0"/>
    </xf>
    <xf numFmtId="3" fontId="13" fillId="0" borderId="23" xfId="127" applyNumberFormat="1" applyFont="1" applyBorder="1" applyProtection="1">
      <alignment/>
      <protection locked="0"/>
    </xf>
    <xf numFmtId="3" fontId="10" fillId="0" borderId="24" xfId="126" applyNumberFormat="1" applyFont="1" applyBorder="1" applyAlignment="1" applyProtection="1">
      <alignment horizontal="left"/>
      <protection locked="0"/>
    </xf>
    <xf numFmtId="0" fontId="13" fillId="0" borderId="20" xfId="126" applyFont="1" applyBorder="1" applyAlignment="1" applyProtection="1">
      <alignment wrapText="1"/>
      <protection locked="0"/>
    </xf>
    <xf numFmtId="0" fontId="29" fillId="0" borderId="20" xfId="126" applyFont="1" applyBorder="1" applyAlignment="1" applyProtection="1">
      <alignment horizontal="left"/>
      <protection locked="0"/>
    </xf>
    <xf numFmtId="0" fontId="10" fillId="0" borderId="25" xfId="127" applyFont="1" applyBorder="1" applyAlignment="1" applyProtection="1">
      <alignment horizontal="center" vertical="top"/>
      <protection locked="0"/>
    </xf>
    <xf numFmtId="0" fontId="10" fillId="0" borderId="20" xfId="126" applyFont="1" applyBorder="1" applyAlignment="1" applyProtection="1">
      <alignment horizontal="left" vertical="top" wrapText="1"/>
      <protection locked="0"/>
    </xf>
    <xf numFmtId="0" fontId="10" fillId="0" borderId="23" xfId="127" applyFont="1" applyBorder="1" applyAlignment="1" applyProtection="1">
      <alignment horizontal="center" vertical="top"/>
      <protection locked="0"/>
    </xf>
    <xf numFmtId="3" fontId="10" fillId="0" borderId="23" xfId="127" applyNumberFormat="1" applyFont="1" applyBorder="1" applyAlignment="1" applyProtection="1">
      <alignment horizontal="center" vertical="top"/>
      <protection locked="0"/>
    </xf>
    <xf numFmtId="3" fontId="10" fillId="0" borderId="23" xfId="126" applyNumberFormat="1" applyFont="1" applyBorder="1" applyAlignment="1" applyProtection="1">
      <alignment horizontal="right"/>
      <protection locked="0"/>
    </xf>
    <xf numFmtId="0" fontId="10" fillId="0" borderId="0" xfId="126" applyFont="1" applyAlignment="1" applyProtection="1">
      <alignment vertical="top"/>
      <protection locked="0"/>
    </xf>
    <xf numFmtId="0" fontId="10" fillId="0" borderId="23" xfId="126" applyFont="1" applyBorder="1" applyAlignment="1" applyProtection="1">
      <alignment horizontal="left" vertical="top" wrapText="1"/>
      <protection locked="0"/>
    </xf>
    <xf numFmtId="3" fontId="10" fillId="0" borderId="23" xfId="127" applyNumberFormat="1" applyFont="1" applyBorder="1" applyAlignment="1" applyProtection="1">
      <alignment horizontal="right"/>
      <protection locked="0"/>
    </xf>
    <xf numFmtId="3" fontId="23" fillId="0" borderId="23" xfId="0" applyNumberFormat="1" applyFont="1" applyBorder="1" applyAlignment="1" applyProtection="1">
      <alignment horizontal="left"/>
      <protection locked="0"/>
    </xf>
    <xf numFmtId="0" fontId="10" fillId="0" borderId="19" xfId="127" applyFont="1" applyBorder="1" applyAlignment="1" applyProtection="1">
      <alignment horizontal="center"/>
      <protection locked="0"/>
    </xf>
    <xf numFmtId="0" fontId="10" fillId="0" borderId="20" xfId="127" applyFont="1" applyBorder="1" applyAlignment="1" applyProtection="1">
      <alignment horizontal="center"/>
      <protection locked="0"/>
    </xf>
    <xf numFmtId="3" fontId="10" fillId="0" borderId="20" xfId="127" applyNumberFormat="1" applyFont="1" applyBorder="1" applyAlignment="1" applyProtection="1">
      <alignment vertical="center"/>
      <protection locked="0"/>
    </xf>
    <xf numFmtId="3" fontId="10" fillId="0" borderId="20" xfId="126" applyNumberFormat="1" applyFont="1" applyBorder="1" applyAlignment="1" applyProtection="1">
      <alignment vertical="center"/>
      <protection locked="0"/>
    </xf>
    <xf numFmtId="3" fontId="10" fillId="0" borderId="22" xfId="126" applyNumberFormat="1" applyFont="1" applyBorder="1" applyAlignment="1" applyProtection="1">
      <alignment horizontal="right" vertical="center"/>
      <protection locked="0"/>
    </xf>
    <xf numFmtId="3" fontId="23" fillId="0" borderId="24" xfId="0" applyNumberFormat="1" applyFont="1" applyBorder="1" applyAlignment="1" applyProtection="1">
      <alignment horizontal="left"/>
      <protection locked="0"/>
    </xf>
    <xf numFmtId="3" fontId="10" fillId="0" borderId="23" xfId="124" applyNumberFormat="1" applyFont="1" applyBorder="1" applyAlignment="1" applyProtection="1">
      <alignment horizontal="center"/>
      <protection locked="0"/>
    </xf>
    <xf numFmtId="3" fontId="2" fillId="0" borderId="0" xfId="122" applyNumberFormat="1" applyFont="1" applyAlignment="1">
      <alignment horizontal="left" wrapText="1"/>
      <protection/>
    </xf>
    <xf numFmtId="3" fontId="4" fillId="0" borderId="0" xfId="119" applyNumberFormat="1" applyFont="1" applyFill="1" applyAlignment="1">
      <alignment horizontal="center"/>
      <protection/>
    </xf>
    <xf numFmtId="3" fontId="4" fillId="0" borderId="0" xfId="119" applyNumberFormat="1" applyFont="1" applyFill="1" applyAlignment="1">
      <alignment horizontal="center" vertical="center"/>
      <protection/>
    </xf>
    <xf numFmtId="3" fontId="88" fillId="0" borderId="38" xfId="121" applyNumberFormat="1" applyFont="1" applyFill="1" applyBorder="1" applyAlignment="1">
      <alignment horizontal="right"/>
      <protection/>
    </xf>
    <xf numFmtId="3" fontId="2" fillId="0" borderId="91" xfId="121" applyNumberFormat="1" applyFont="1" applyFill="1" applyBorder="1" applyAlignment="1">
      <alignment horizontal="right" wrapText="1"/>
      <protection/>
    </xf>
    <xf numFmtId="3" fontId="2" fillId="0" borderId="23" xfId="121" applyNumberFormat="1" applyFont="1" applyFill="1" applyBorder="1" applyAlignment="1">
      <alignment horizontal="right" wrapText="1"/>
      <protection/>
    </xf>
    <xf numFmtId="3" fontId="4" fillId="0" borderId="128" xfId="121" applyNumberFormat="1" applyFont="1" applyFill="1" applyBorder="1" applyAlignment="1">
      <alignment horizontal="right" wrapText="1"/>
      <protection/>
    </xf>
    <xf numFmtId="3" fontId="2" fillId="0" borderId="114" xfId="126" applyNumberFormat="1" applyFont="1" applyFill="1" applyBorder="1" applyAlignment="1">
      <alignment horizontal="right"/>
      <protection/>
    </xf>
    <xf numFmtId="3" fontId="2" fillId="0" borderId="91" xfId="126" applyNumberFormat="1" applyFont="1" applyFill="1" applyBorder="1" applyAlignment="1">
      <alignment horizontal="right"/>
      <protection/>
    </xf>
    <xf numFmtId="3" fontId="4" fillId="0" borderId="128" xfId="126" applyNumberFormat="1" applyFont="1" applyFill="1" applyBorder="1" applyAlignment="1">
      <alignment horizontal="right"/>
      <protection/>
    </xf>
    <xf numFmtId="3" fontId="2" fillId="0" borderId="0" xfId="122" applyNumberFormat="1" applyFont="1" applyAlignment="1">
      <alignment horizontal="center" vertical="center"/>
      <protection/>
    </xf>
    <xf numFmtId="3" fontId="83" fillId="0" borderId="20" xfId="122" applyNumberFormat="1" applyFont="1" applyBorder="1" applyAlignment="1">
      <alignment horizontal="right" vertical="center" wrapText="1"/>
      <protection/>
    </xf>
    <xf numFmtId="3" fontId="2" fillId="0" borderId="94" xfId="122" applyNumberFormat="1" applyFont="1" applyFill="1" applyBorder="1" applyAlignment="1">
      <alignment horizontal="center" vertical="center" wrapText="1"/>
      <protection/>
    </xf>
    <xf numFmtId="3" fontId="2" fillId="0" borderId="20" xfId="122" applyNumberFormat="1" applyFont="1" applyFill="1" applyBorder="1" applyAlignment="1">
      <alignment horizontal="center" vertical="center" wrapText="1"/>
      <protection/>
    </xf>
    <xf numFmtId="3" fontId="2" fillId="0" borderId="33" xfId="122" applyNumberFormat="1" applyFont="1" applyFill="1" applyBorder="1" applyAlignment="1">
      <alignment horizontal="right" vertical="center" wrapText="1"/>
      <protection/>
    </xf>
    <xf numFmtId="3" fontId="2" fillId="0" borderId="110" xfId="122" applyNumberFormat="1" applyFont="1" applyFill="1" applyBorder="1" applyAlignment="1">
      <alignment horizontal="right" vertical="center" wrapText="1"/>
      <protection/>
    </xf>
    <xf numFmtId="3" fontId="83" fillId="0" borderId="20" xfId="122" applyNumberFormat="1" applyFont="1" applyFill="1" applyBorder="1" applyAlignment="1">
      <alignment horizontal="right" vertical="center" wrapText="1"/>
      <protection/>
    </xf>
    <xf numFmtId="3" fontId="2" fillId="0" borderId="0" xfId="122" applyNumberFormat="1" applyFont="1" applyFill="1">
      <alignment/>
      <protection/>
    </xf>
    <xf numFmtId="3" fontId="2" fillId="0" borderId="20" xfId="122" applyNumberFormat="1" applyFont="1" applyFill="1" applyBorder="1" applyAlignment="1">
      <alignment horizontal="center" vertical="top" wrapText="1"/>
      <protection/>
    </xf>
    <xf numFmtId="3" fontId="2" fillId="0" borderId="19" xfId="122" applyNumberFormat="1" applyFont="1" applyFill="1" applyBorder="1" applyAlignment="1">
      <alignment horizontal="center" vertical="center" wrapText="1"/>
      <protection/>
    </xf>
    <xf numFmtId="0" fontId="2" fillId="0" borderId="20" xfId="121" applyFont="1" applyFill="1" applyBorder="1" applyAlignment="1">
      <alignment vertical="center"/>
      <protection/>
    </xf>
    <xf numFmtId="3" fontId="2" fillId="0" borderId="0" xfId="122" applyNumberFormat="1" applyFont="1" applyBorder="1" applyAlignment="1">
      <alignment horizontal="right" vertical="center" wrapText="1"/>
      <protection/>
    </xf>
    <xf numFmtId="3" fontId="2" fillId="0" borderId="91" xfId="122" applyNumberFormat="1" applyFont="1" applyFill="1" applyBorder="1" applyAlignment="1">
      <alignment horizontal="center" vertical="center" wrapText="1"/>
      <protection/>
    </xf>
    <xf numFmtId="3" fontId="2" fillId="0" borderId="97" xfId="122" applyNumberFormat="1" applyFont="1" applyBorder="1" applyAlignment="1">
      <alignment horizontal="right" vertical="center" wrapText="1"/>
      <protection/>
    </xf>
    <xf numFmtId="3" fontId="2" fillId="0" borderId="23" xfId="122" applyNumberFormat="1" applyFont="1" applyBorder="1" applyAlignment="1">
      <alignment horizontal="right" vertical="center" wrapText="1"/>
      <protection/>
    </xf>
    <xf numFmtId="14" fontId="2" fillId="0" borderId="128" xfId="122" applyNumberFormat="1" applyFont="1" applyBorder="1" applyAlignment="1">
      <alignment horizontal="center" vertical="center" wrapText="1"/>
      <protection/>
    </xf>
    <xf numFmtId="3" fontId="2" fillId="0" borderId="140" xfId="122" applyNumberFormat="1" applyFont="1" applyBorder="1" applyAlignment="1">
      <alignment horizontal="center" vertical="center" wrapText="1"/>
      <protection/>
    </xf>
    <xf numFmtId="14" fontId="2" fillId="0" borderId="130" xfId="122" applyNumberFormat="1" applyFont="1" applyBorder="1" applyAlignment="1">
      <alignment horizontal="center" vertical="center" wrapText="1"/>
      <protection/>
    </xf>
    <xf numFmtId="3" fontId="2" fillId="0" borderId="141" xfId="122" applyNumberFormat="1" applyFont="1" applyBorder="1" applyAlignment="1">
      <alignment horizontal="right" vertical="center" wrapText="1"/>
      <protection/>
    </xf>
    <xf numFmtId="3" fontId="2" fillId="0" borderId="122" xfId="122" applyNumberFormat="1" applyFont="1" applyBorder="1" applyAlignment="1">
      <alignment horizontal="right" vertical="center" wrapText="1"/>
      <protection/>
    </xf>
    <xf numFmtId="3" fontId="2" fillId="0" borderId="114" xfId="122" applyNumberFormat="1" applyFont="1" applyBorder="1" applyAlignment="1">
      <alignment horizontal="right" vertical="center" wrapText="1"/>
      <protection/>
    </xf>
    <xf numFmtId="3" fontId="2" fillId="0" borderId="38" xfId="122" applyNumberFormat="1" applyFont="1" applyBorder="1" applyAlignment="1">
      <alignment horizontal="right" vertical="center" wrapText="1"/>
      <protection/>
    </xf>
    <xf numFmtId="3" fontId="2" fillId="0" borderId="130" xfId="122" applyNumberFormat="1" applyFont="1" applyBorder="1" applyAlignment="1">
      <alignment horizontal="right" vertical="center" wrapText="1"/>
      <protection/>
    </xf>
    <xf numFmtId="3" fontId="2" fillId="0" borderId="39" xfId="122" applyNumberFormat="1" applyFont="1" applyBorder="1" applyAlignment="1">
      <alignment horizontal="right" vertical="center" wrapText="1"/>
      <protection/>
    </xf>
    <xf numFmtId="3" fontId="2" fillId="0" borderId="102" xfId="122" applyNumberFormat="1" applyFont="1" applyBorder="1" applyAlignment="1">
      <alignment horizontal="left" vertical="center" wrapText="1"/>
      <protection/>
    </xf>
    <xf numFmtId="3" fontId="2" fillId="0" borderId="58" xfId="122" applyNumberFormat="1" applyFont="1" applyBorder="1" applyAlignment="1">
      <alignment horizontal="center" vertical="center" wrapText="1"/>
      <protection/>
    </xf>
    <xf numFmtId="3" fontId="2" fillId="0" borderId="38" xfId="122" applyNumberFormat="1" applyFont="1" applyBorder="1" applyAlignment="1">
      <alignment horizontal="left" vertical="center" wrapText="1"/>
      <protection/>
    </xf>
    <xf numFmtId="0" fontId="2" fillId="0" borderId="0" xfId="0" applyFont="1" applyFill="1" applyBorder="1" applyAlignment="1">
      <alignment/>
    </xf>
    <xf numFmtId="0" fontId="2" fillId="0" borderId="20" xfId="121" applyFont="1" applyFill="1" applyBorder="1" applyAlignment="1">
      <alignment vertical="center" wrapText="1"/>
      <protection/>
    </xf>
    <xf numFmtId="0" fontId="2" fillId="0" borderId="102" xfId="126" applyFont="1" applyFill="1" applyBorder="1" applyAlignment="1">
      <alignment horizontal="center"/>
      <protection/>
    </xf>
    <xf numFmtId="3" fontId="4" fillId="0" borderId="102" xfId="126" applyNumberFormat="1" applyFont="1" applyFill="1" applyBorder="1" applyAlignment="1">
      <alignment horizontal="right"/>
      <protection/>
    </xf>
    <xf numFmtId="3" fontId="4" fillId="0" borderId="133" xfId="126" applyNumberFormat="1" applyFont="1" applyFill="1" applyBorder="1" applyAlignment="1">
      <alignment horizontal="right"/>
      <protection/>
    </xf>
    <xf numFmtId="0" fontId="4" fillId="0" borderId="58" xfId="126" applyFont="1" applyFill="1" applyBorder="1" applyAlignment="1">
      <alignment horizontal="center"/>
      <protection/>
    </xf>
    <xf numFmtId="3" fontId="4" fillId="0" borderId="20" xfId="126" applyNumberFormat="1" applyFont="1" applyFill="1" applyBorder="1" applyAlignment="1">
      <alignment horizontal="right"/>
      <protection/>
    </xf>
    <xf numFmtId="3" fontId="2" fillId="0" borderId="142" xfId="126" applyNumberFormat="1" applyFont="1" applyFill="1" applyBorder="1" applyAlignment="1">
      <alignment horizontal="right"/>
      <protection/>
    </xf>
    <xf numFmtId="3" fontId="4" fillId="0" borderId="96" xfId="126" applyNumberFormat="1" applyFont="1" applyFill="1" applyBorder="1" applyAlignment="1">
      <alignment horizontal="right"/>
      <protection/>
    </xf>
    <xf numFmtId="3" fontId="4" fillId="0" borderId="38" xfId="126" applyNumberFormat="1" applyFont="1" applyFill="1" applyBorder="1" applyAlignment="1">
      <alignment horizontal="right"/>
      <protection/>
    </xf>
    <xf numFmtId="3" fontId="4" fillId="0" borderId="114" xfId="126" applyNumberFormat="1" applyFont="1" applyFill="1" applyBorder="1" applyAlignment="1">
      <alignment horizontal="right"/>
      <protection/>
    </xf>
    <xf numFmtId="3" fontId="2" fillId="0" borderId="143" xfId="126" applyNumberFormat="1" applyFont="1" applyFill="1" applyBorder="1" applyAlignment="1">
      <alignment horizontal="right"/>
      <protection/>
    </xf>
    <xf numFmtId="0" fontId="2" fillId="0" borderId="91" xfId="126" applyFont="1" applyFill="1" applyBorder="1" applyAlignment="1">
      <alignment horizontal="center" wrapText="1"/>
      <protection/>
    </xf>
    <xf numFmtId="3" fontId="2" fillId="0" borderId="144" xfId="126" applyNumberFormat="1" applyFont="1" applyFill="1" applyBorder="1" applyAlignment="1">
      <alignment horizontal="right"/>
      <protection/>
    </xf>
    <xf numFmtId="3" fontId="4" fillId="0" borderId="23" xfId="126" applyNumberFormat="1" applyFont="1" applyFill="1" applyBorder="1" applyAlignment="1">
      <alignment horizontal="right"/>
      <protection/>
    </xf>
    <xf numFmtId="3" fontId="2" fillId="0" borderId="131" xfId="126" applyNumberFormat="1" applyFont="1" applyFill="1" applyBorder="1" applyAlignment="1">
      <alignment horizontal="right"/>
      <protection/>
    </xf>
    <xf numFmtId="3" fontId="2" fillId="0" borderId="19" xfId="119" applyNumberFormat="1" applyFont="1" applyFill="1" applyBorder="1" applyAlignment="1">
      <alignment horizontal="center"/>
      <protection/>
    </xf>
    <xf numFmtId="3" fontId="2" fillId="0" borderId="20" xfId="119" applyNumberFormat="1" applyFont="1" applyFill="1" applyBorder="1">
      <alignment/>
      <protection/>
    </xf>
    <xf numFmtId="3" fontId="2" fillId="0" borderId="43" xfId="119" applyNumberFormat="1" applyFont="1" applyFill="1" applyBorder="1" applyAlignment="1">
      <alignment horizontal="center"/>
      <protection/>
    </xf>
    <xf numFmtId="0" fontId="24" fillId="0" borderId="20" xfId="121" applyFont="1" applyFill="1" applyBorder="1" applyAlignment="1">
      <alignment vertical="center" wrapText="1"/>
      <protection/>
    </xf>
    <xf numFmtId="3" fontId="10" fillId="0" borderId="142" xfId="126" applyNumberFormat="1" applyFont="1" applyFill="1" applyBorder="1" applyAlignment="1">
      <alignment horizontal="right" vertical="center"/>
      <protection/>
    </xf>
    <xf numFmtId="3" fontId="92" fillId="0" borderId="20" xfId="0" applyNumberFormat="1" applyFont="1" applyFill="1" applyBorder="1" applyAlignment="1">
      <alignment horizontal="right" wrapText="1"/>
    </xf>
    <xf numFmtId="3" fontId="92" fillId="0" borderId="21" xfId="0" applyNumberFormat="1" applyFont="1" applyFill="1" applyBorder="1" applyAlignment="1">
      <alignment horizontal="right" wrapText="1"/>
    </xf>
    <xf numFmtId="3" fontId="84" fillId="0" borderId="91" xfId="119" applyNumberFormat="1" applyFont="1" applyFill="1" applyBorder="1" applyAlignment="1">
      <alignment horizontal="right"/>
      <protection/>
    </xf>
    <xf numFmtId="3" fontId="92" fillId="0" borderId="23" xfId="0" applyNumberFormat="1" applyFont="1" applyFill="1" applyBorder="1" applyAlignment="1">
      <alignment horizontal="right" wrapText="1"/>
    </xf>
    <xf numFmtId="3" fontId="92" fillId="0" borderId="28" xfId="0" applyNumberFormat="1" applyFont="1" applyFill="1" applyBorder="1" applyAlignment="1">
      <alignment horizontal="right" wrapText="1"/>
    </xf>
    <xf numFmtId="3" fontId="84" fillId="0" borderId="96" xfId="119" applyNumberFormat="1" applyFont="1" applyFill="1" applyBorder="1" applyAlignment="1">
      <alignment horizontal="right" vertical="center"/>
      <protection/>
    </xf>
    <xf numFmtId="3" fontId="92" fillId="0" borderId="20" xfId="0" applyNumberFormat="1" applyFont="1" applyFill="1" applyBorder="1" applyAlignment="1">
      <alignment horizontal="right" vertical="center" wrapText="1"/>
    </xf>
    <xf numFmtId="3" fontId="92" fillId="0" borderId="21" xfId="0" applyNumberFormat="1" applyFont="1" applyFill="1" applyBorder="1" applyAlignment="1">
      <alignment horizontal="right" vertical="center" wrapText="1"/>
    </xf>
    <xf numFmtId="3" fontId="93" fillId="0" borderId="20" xfId="0" applyNumberFormat="1" applyFont="1" applyFill="1" applyBorder="1" applyAlignment="1">
      <alignment horizontal="right" wrapText="1"/>
    </xf>
    <xf numFmtId="3" fontId="93" fillId="0" borderId="21" xfId="0" applyNumberFormat="1" applyFont="1" applyFill="1" applyBorder="1" applyAlignment="1">
      <alignment horizontal="right" wrapText="1"/>
    </xf>
    <xf numFmtId="3" fontId="85" fillId="0" borderId="96" xfId="119" applyNumberFormat="1" applyFont="1" applyFill="1" applyBorder="1" applyAlignment="1">
      <alignment horizontal="right" vertical="center"/>
      <protection/>
    </xf>
    <xf numFmtId="3" fontId="93" fillId="0" borderId="20" xfId="0" applyNumberFormat="1" applyFont="1" applyFill="1" applyBorder="1" applyAlignment="1">
      <alignment horizontal="right" vertical="center" wrapText="1"/>
    </xf>
    <xf numFmtId="3" fontId="93" fillId="0" borderId="21" xfId="0" applyNumberFormat="1" applyFont="1" applyFill="1" applyBorder="1" applyAlignment="1">
      <alignment horizontal="right" vertical="center" wrapText="1"/>
    </xf>
    <xf numFmtId="3" fontId="93" fillId="0" borderId="23" xfId="0" applyNumberFormat="1" applyFont="1" applyFill="1" applyBorder="1" applyAlignment="1">
      <alignment horizontal="right" wrapText="1"/>
    </xf>
    <xf numFmtId="3" fontId="93" fillId="0" borderId="28" xfId="0" applyNumberFormat="1" applyFont="1" applyFill="1" applyBorder="1" applyAlignment="1">
      <alignment horizontal="right" wrapText="1"/>
    </xf>
    <xf numFmtId="3" fontId="88" fillId="0" borderId="20" xfId="119" applyNumberFormat="1" applyFont="1" applyFill="1" applyBorder="1">
      <alignment/>
      <protection/>
    </xf>
    <xf numFmtId="3" fontId="89" fillId="0" borderId="20" xfId="119" applyNumberFormat="1" applyFont="1" applyFill="1" applyBorder="1">
      <alignment/>
      <protection/>
    </xf>
    <xf numFmtId="3" fontId="89" fillId="0" borderId="21" xfId="119" applyNumberFormat="1" applyFont="1" applyFill="1" applyBorder="1">
      <alignment/>
      <protection/>
    </xf>
    <xf numFmtId="3" fontId="92" fillId="0" borderId="18" xfId="0" applyNumberFormat="1" applyFont="1" applyFill="1" applyBorder="1" applyAlignment="1">
      <alignment horizontal="right" wrapText="1"/>
    </xf>
    <xf numFmtId="3" fontId="84" fillId="0" borderId="91" xfId="0" applyNumberFormat="1" applyFont="1" applyFill="1" applyBorder="1" applyAlignment="1">
      <alignment horizontal="right"/>
    </xf>
    <xf numFmtId="3" fontId="88" fillId="0" borderId="96" xfId="126" applyNumberFormat="1" applyFont="1" applyFill="1" applyBorder="1" applyAlignment="1">
      <alignment horizontal="right"/>
      <protection/>
    </xf>
    <xf numFmtId="3" fontId="13" fillId="0" borderId="96" xfId="0" applyNumberFormat="1" applyFont="1" applyFill="1" applyBorder="1" applyAlignment="1">
      <alignment horizontal="center" vertical="center"/>
    </xf>
    <xf numFmtId="3" fontId="13" fillId="0" borderId="20" xfId="0" applyNumberFormat="1" applyFont="1" applyFill="1" applyBorder="1" applyAlignment="1">
      <alignment vertical="center"/>
    </xf>
    <xf numFmtId="3" fontId="13" fillId="0" borderId="114" xfId="0" applyNumberFormat="1" applyFont="1" applyFill="1" applyBorder="1" applyAlignment="1">
      <alignment horizontal="center" vertical="center"/>
    </xf>
    <xf numFmtId="3" fontId="13" fillId="0" borderId="38" xfId="0" applyNumberFormat="1" applyFont="1" applyFill="1" applyBorder="1" applyAlignment="1">
      <alignment vertical="center"/>
    </xf>
    <xf numFmtId="3" fontId="13" fillId="0" borderId="116" xfId="0" applyNumberFormat="1" applyFont="1" applyFill="1" applyBorder="1" applyAlignment="1">
      <alignment horizontal="center" vertical="center"/>
    </xf>
    <xf numFmtId="3" fontId="13" fillId="0" borderId="20" xfId="124" applyNumberFormat="1" applyFont="1" applyFill="1" applyBorder="1" applyAlignment="1">
      <alignment horizontal="center" vertical="center"/>
      <protection/>
    </xf>
    <xf numFmtId="3" fontId="13" fillId="0" borderId="118" xfId="0" applyNumberFormat="1" applyFont="1" applyFill="1" applyBorder="1" applyAlignment="1">
      <alignment vertical="center"/>
    </xf>
    <xf numFmtId="3" fontId="13" fillId="0" borderId="20" xfId="0" applyNumberFormat="1" applyFont="1" applyFill="1" applyBorder="1" applyAlignment="1">
      <alignment horizontal="center"/>
    </xf>
    <xf numFmtId="3" fontId="13" fillId="0" borderId="20" xfId="0" applyNumberFormat="1" applyFont="1" applyFill="1" applyBorder="1" applyAlignment="1">
      <alignment/>
    </xf>
    <xf numFmtId="3" fontId="13" fillId="0" borderId="20" xfId="124" applyNumberFormat="1" applyFont="1" applyFill="1" applyBorder="1" applyAlignment="1">
      <alignment horizontal="center"/>
      <protection/>
    </xf>
    <xf numFmtId="0" fontId="4" fillId="0" borderId="0" xfId="0" applyFont="1" applyAlignment="1">
      <alignment/>
    </xf>
    <xf numFmtId="3" fontId="2" fillId="0" borderId="91" xfId="126" applyNumberFormat="1" applyFont="1" applyFill="1" applyBorder="1" applyAlignment="1">
      <alignment horizontal="center"/>
      <protection/>
    </xf>
    <xf numFmtId="3" fontId="2" fillId="33" borderId="0" xfId="119" applyNumberFormat="1" applyFont="1" applyFill="1" applyAlignment="1">
      <alignment horizontal="center" vertical="center"/>
      <protection/>
    </xf>
    <xf numFmtId="3" fontId="2" fillId="33" borderId="0" xfId="119" applyNumberFormat="1" applyFont="1" applyFill="1" applyAlignment="1">
      <alignment horizontal="center"/>
      <protection/>
    </xf>
    <xf numFmtId="3" fontId="93" fillId="0" borderId="23" xfId="119" applyNumberFormat="1" applyFont="1" applyFill="1" applyBorder="1" applyAlignment="1">
      <alignment horizontal="left" vertical="top" wrapText="1" indent="4"/>
      <protection/>
    </xf>
    <xf numFmtId="3" fontId="84" fillId="0" borderId="20" xfId="124" applyNumberFormat="1" applyFont="1" applyFill="1" applyBorder="1" applyAlignment="1">
      <alignment horizontal="left"/>
      <protection/>
    </xf>
    <xf numFmtId="3" fontId="84" fillId="0" borderId="22" xfId="124" applyNumberFormat="1" applyFont="1" applyFill="1" applyBorder="1" applyAlignment="1">
      <alignment/>
      <protection/>
    </xf>
    <xf numFmtId="3" fontId="84" fillId="0" borderId="21" xfId="0" applyNumberFormat="1" applyFont="1" applyFill="1" applyBorder="1" applyAlignment="1">
      <alignment horizontal="right" vertical="center" wrapText="1"/>
    </xf>
    <xf numFmtId="3" fontId="92" fillId="0" borderId="104" xfId="0" applyNumberFormat="1" applyFont="1" applyFill="1" applyBorder="1" applyAlignment="1">
      <alignment horizontal="right" wrapText="1"/>
    </xf>
    <xf numFmtId="3" fontId="2" fillId="0" borderId="38" xfId="122" applyNumberFormat="1" applyFont="1" applyFill="1" applyBorder="1" applyAlignment="1">
      <alignment horizontal="right" vertical="center" wrapText="1"/>
      <protection/>
    </xf>
    <xf numFmtId="3" fontId="2" fillId="0" borderId="20" xfId="119" applyNumberFormat="1" applyFont="1" applyFill="1" applyBorder="1" applyAlignment="1">
      <alignment shrinkToFit="1"/>
      <protection/>
    </xf>
    <xf numFmtId="3" fontId="4" fillId="0" borderId="0" xfId="119" applyNumberFormat="1" applyFont="1" applyFill="1" applyAlignment="1">
      <alignment horizontal="center"/>
      <protection/>
    </xf>
    <xf numFmtId="3" fontId="4" fillId="0" borderId="0" xfId="119" applyNumberFormat="1" applyFont="1" applyFill="1" applyAlignment="1">
      <alignment horizontal="center" vertical="center"/>
      <protection/>
    </xf>
    <xf numFmtId="0" fontId="4" fillId="0" borderId="0" xfId="0" applyFont="1" applyAlignment="1">
      <alignment wrapText="1"/>
    </xf>
    <xf numFmtId="0" fontId="2" fillId="0" borderId="0" xfId="0" applyFont="1" applyAlignment="1">
      <alignment horizontal="left" wrapText="1" indent="2"/>
    </xf>
    <xf numFmtId="3" fontId="2" fillId="0" borderId="0" xfId="0" applyNumberFormat="1" applyFont="1" applyAlignment="1">
      <alignment vertical="top"/>
    </xf>
    <xf numFmtId="0" fontId="41" fillId="0" borderId="0" xfId="0" applyFont="1" applyAlignment="1">
      <alignment horizontal="left" wrapText="1" indent="2"/>
    </xf>
    <xf numFmtId="3" fontId="2" fillId="0" borderId="0" xfId="128" applyNumberFormat="1" applyFont="1" applyAlignment="1">
      <alignment vertical="top"/>
      <protection/>
    </xf>
    <xf numFmtId="3" fontId="4" fillId="0" borderId="145" xfId="118" applyNumberFormat="1" applyFont="1" applyFill="1" applyBorder="1" applyAlignment="1">
      <alignment horizontal="center" vertical="center" wrapText="1"/>
      <protection/>
    </xf>
    <xf numFmtId="3" fontId="4" fillId="0" borderId="62" xfId="118" applyNumberFormat="1" applyFont="1" applyFill="1" applyBorder="1" applyAlignment="1">
      <alignment horizontal="right" wrapText="1"/>
      <protection/>
    </xf>
    <xf numFmtId="3" fontId="4" fillId="0" borderId="65" xfId="118" applyNumberFormat="1" applyFont="1" applyFill="1" applyBorder="1" applyAlignment="1">
      <alignment horizontal="right" wrapText="1"/>
      <protection/>
    </xf>
    <xf numFmtId="3" fontId="4" fillId="0" borderId="65" xfId="0" applyNumberFormat="1" applyFont="1" applyFill="1" applyBorder="1" applyAlignment="1">
      <alignment horizontal="right"/>
    </xf>
    <xf numFmtId="3" fontId="2" fillId="0" borderId="65" xfId="0" applyNumberFormat="1" applyFont="1" applyFill="1" applyBorder="1" applyAlignment="1">
      <alignment horizontal="right"/>
    </xf>
    <xf numFmtId="3" fontId="4" fillId="0" borderId="79" xfId="0" applyNumberFormat="1" applyFont="1" applyFill="1" applyBorder="1" applyAlignment="1">
      <alignment horizontal="right"/>
    </xf>
    <xf numFmtId="3" fontId="4" fillId="0" borderId="67" xfId="0" applyNumberFormat="1" applyFont="1" applyFill="1" applyBorder="1" applyAlignment="1">
      <alignment horizontal="right" vertical="center"/>
    </xf>
    <xf numFmtId="3" fontId="2" fillId="0" borderId="79" xfId="0" applyNumberFormat="1" applyFont="1" applyFill="1" applyBorder="1" applyAlignment="1">
      <alignment horizontal="right"/>
    </xf>
    <xf numFmtId="3" fontId="4" fillId="0" borderId="70" xfId="0" applyNumberFormat="1" applyFont="1" applyFill="1" applyBorder="1" applyAlignment="1">
      <alignment horizontal="right" vertical="center"/>
    </xf>
    <xf numFmtId="3" fontId="4" fillId="0" borderId="146"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3" fontId="4" fillId="0" borderId="147" xfId="0" applyNumberFormat="1" applyFont="1" applyFill="1" applyBorder="1" applyAlignment="1">
      <alignment horizontal="right" vertical="center"/>
    </xf>
    <xf numFmtId="3" fontId="5" fillId="0" borderId="34" xfId="118" applyNumberFormat="1" applyFont="1" applyFill="1" applyBorder="1" applyAlignment="1">
      <alignment horizontal="center" vertical="center"/>
      <protection/>
    </xf>
    <xf numFmtId="0" fontId="5" fillId="0" borderId="0" xfId="0" applyFont="1" applyFill="1" applyAlignment="1">
      <alignment/>
    </xf>
    <xf numFmtId="3" fontId="17" fillId="0" borderId="14" xfId="118" applyNumberFormat="1" applyFont="1" applyFill="1" applyBorder="1" applyAlignment="1">
      <alignment horizontal="right" wrapText="1"/>
      <protection/>
    </xf>
    <xf numFmtId="3" fontId="17" fillId="0" borderId="0" xfId="118" applyNumberFormat="1" applyFont="1" applyFill="1" applyBorder="1" applyAlignment="1">
      <alignment horizontal="right" wrapText="1"/>
      <protection/>
    </xf>
    <xf numFmtId="3" fontId="17" fillId="0" borderId="0" xfId="0" applyNumberFormat="1" applyFont="1" applyFill="1" applyBorder="1" applyAlignment="1">
      <alignment horizontal="right"/>
    </xf>
    <xf numFmtId="0" fontId="5" fillId="0" borderId="0"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0" fontId="17" fillId="0" borderId="0" xfId="0" applyFont="1" applyFill="1" applyBorder="1" applyAlignment="1">
      <alignment/>
    </xf>
    <xf numFmtId="3" fontId="17" fillId="0" borderId="12" xfId="118" applyNumberFormat="1" applyFont="1" applyFill="1" applyBorder="1" applyAlignment="1">
      <alignment horizontal="right" wrapText="1"/>
      <protection/>
    </xf>
    <xf numFmtId="3" fontId="17" fillId="0" borderId="12" xfId="0" applyNumberFormat="1" applyFont="1" applyFill="1" applyBorder="1" applyAlignment="1">
      <alignment horizontal="right" vertical="center"/>
    </xf>
    <xf numFmtId="3" fontId="17" fillId="0" borderId="29" xfId="0" applyNumberFormat="1" applyFont="1" applyFill="1" applyBorder="1" applyAlignment="1">
      <alignment horizontal="right" vertical="center"/>
    </xf>
    <xf numFmtId="3" fontId="17" fillId="0" borderId="3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0" fontId="17" fillId="0" borderId="0" xfId="0" applyFont="1" applyFill="1" applyBorder="1" applyAlignment="1">
      <alignment vertical="center"/>
    </xf>
    <xf numFmtId="3" fontId="17" fillId="0" borderId="31" xfId="0" applyNumberFormat="1" applyFont="1" applyFill="1" applyBorder="1" applyAlignment="1">
      <alignment horizontal="right" vertical="center"/>
    </xf>
    <xf numFmtId="3" fontId="4" fillId="0" borderId="148" xfId="118" applyNumberFormat="1" applyFont="1" applyFill="1" applyBorder="1" applyAlignment="1">
      <alignment horizontal="center" vertical="center" wrapText="1"/>
      <protection/>
    </xf>
    <xf numFmtId="3" fontId="4" fillId="0" borderId="62" xfId="118" applyNumberFormat="1" applyFont="1" applyFill="1" applyBorder="1">
      <alignment/>
      <protection/>
    </xf>
    <xf numFmtId="3" fontId="2" fillId="0" borderId="65" xfId="118" applyNumberFormat="1" applyFont="1" applyFill="1" applyBorder="1">
      <alignment/>
      <protection/>
    </xf>
    <xf numFmtId="3" fontId="4" fillId="0" borderId="67" xfId="118" applyNumberFormat="1" applyFont="1" applyFill="1" applyBorder="1">
      <alignment/>
      <protection/>
    </xf>
    <xf numFmtId="3" fontId="4" fillId="0" borderId="65" xfId="118" applyNumberFormat="1" applyFont="1" applyFill="1" applyBorder="1">
      <alignment/>
      <protection/>
    </xf>
    <xf numFmtId="3" fontId="5" fillId="0" borderId="65" xfId="118" applyNumberFormat="1" applyFont="1" applyFill="1" applyBorder="1">
      <alignment/>
      <protection/>
    </xf>
    <xf numFmtId="3" fontId="2" fillId="0" borderId="65" xfId="118" applyNumberFormat="1" applyFont="1" applyFill="1" applyBorder="1" applyAlignment="1">
      <alignment vertical="center"/>
      <protection/>
    </xf>
    <xf numFmtId="3" fontId="4" fillId="0" borderId="65" xfId="118" applyNumberFormat="1" applyFont="1" applyFill="1" applyBorder="1" applyAlignment="1">
      <alignment vertical="center"/>
      <protection/>
    </xf>
    <xf numFmtId="3" fontId="2" fillId="0" borderId="65" xfId="118" applyNumberFormat="1" applyFont="1" applyFill="1" applyBorder="1" applyAlignment="1">
      <alignment/>
      <protection/>
    </xf>
    <xf numFmtId="3" fontId="4" fillId="0" borderId="145" xfId="118" applyNumberFormat="1" applyFont="1" applyFill="1" applyBorder="1" applyAlignment="1">
      <alignment vertical="center"/>
      <protection/>
    </xf>
    <xf numFmtId="3" fontId="2" fillId="0" borderId="65" xfId="118" applyNumberFormat="1" applyFont="1" applyFill="1" applyBorder="1" applyAlignment="1">
      <alignment vertical="top"/>
      <protection/>
    </xf>
    <xf numFmtId="3" fontId="4" fillId="0" borderId="149" xfId="118" applyNumberFormat="1" applyFont="1" applyFill="1" applyBorder="1">
      <alignment/>
      <protection/>
    </xf>
    <xf numFmtId="3" fontId="2" fillId="0" borderId="131" xfId="118" applyNumberFormat="1" applyFont="1" applyFill="1" applyBorder="1">
      <alignment/>
      <protection/>
    </xf>
    <xf numFmtId="3" fontId="4" fillId="0" borderId="150" xfId="118" applyNumberFormat="1" applyFont="1" applyFill="1" applyBorder="1">
      <alignment/>
      <protection/>
    </xf>
    <xf numFmtId="3" fontId="4" fillId="0" borderId="131" xfId="118" applyNumberFormat="1" applyFont="1" applyFill="1" applyBorder="1">
      <alignment/>
      <protection/>
    </xf>
    <xf numFmtId="3" fontId="5" fillId="0" borderId="131" xfId="118" applyNumberFormat="1" applyFont="1" applyFill="1" applyBorder="1">
      <alignment/>
      <protection/>
    </xf>
    <xf numFmtId="3" fontId="4" fillId="0" borderId="151" xfId="118" applyNumberFormat="1" applyFont="1" applyFill="1" applyBorder="1" applyAlignment="1">
      <alignment vertical="center"/>
      <protection/>
    </xf>
    <xf numFmtId="3" fontId="17" fillId="0" borderId="14" xfId="118" applyNumberFormat="1" applyFont="1" applyFill="1" applyBorder="1">
      <alignment/>
      <protection/>
    </xf>
    <xf numFmtId="3" fontId="17" fillId="0" borderId="12" xfId="118" applyNumberFormat="1" applyFont="1" applyFill="1" applyBorder="1">
      <alignment/>
      <protection/>
    </xf>
    <xf numFmtId="3" fontId="17" fillId="0" borderId="0" xfId="118" applyNumberFormat="1" applyFont="1" applyFill="1" applyBorder="1">
      <alignment/>
      <protection/>
    </xf>
    <xf numFmtId="3" fontId="5" fillId="0" borderId="0" xfId="118" applyNumberFormat="1" applyFont="1" applyFill="1" applyBorder="1" applyAlignment="1">
      <alignment vertical="center"/>
      <protection/>
    </xf>
    <xf numFmtId="3" fontId="5" fillId="0" borderId="0" xfId="118" applyNumberFormat="1" applyFont="1" applyFill="1" applyBorder="1" applyAlignment="1">
      <alignment/>
      <protection/>
    </xf>
    <xf numFmtId="3" fontId="17" fillId="0" borderId="16" xfId="118" applyNumberFormat="1" applyFont="1" applyFill="1" applyBorder="1" applyAlignment="1">
      <alignment vertical="center"/>
      <protection/>
    </xf>
    <xf numFmtId="3" fontId="5" fillId="0" borderId="0" xfId="118" applyNumberFormat="1" applyFont="1" applyFill="1" applyBorder="1" applyAlignment="1">
      <alignment vertical="top"/>
      <protection/>
    </xf>
    <xf numFmtId="3" fontId="84" fillId="0" borderId="23" xfId="0" applyNumberFormat="1" applyFont="1" applyFill="1" applyBorder="1" applyAlignment="1">
      <alignment/>
    </xf>
    <xf numFmtId="3" fontId="84" fillId="0" borderId="152" xfId="0" applyNumberFormat="1" applyFont="1" applyFill="1" applyBorder="1" applyAlignment="1">
      <alignment horizontal="center"/>
    </xf>
    <xf numFmtId="3" fontId="84" fillId="0" borderId="0" xfId="0" applyNumberFormat="1" applyFont="1" applyFill="1" applyBorder="1" applyAlignment="1">
      <alignment horizontal="center"/>
    </xf>
    <xf numFmtId="3" fontId="84" fillId="0" borderId="102" xfId="0" applyNumberFormat="1" applyFont="1" applyFill="1" applyBorder="1" applyAlignment="1">
      <alignment vertical="center"/>
    </xf>
    <xf numFmtId="3" fontId="85" fillId="0" borderId="102" xfId="0" applyNumberFormat="1" applyFont="1" applyFill="1" applyBorder="1" applyAlignment="1">
      <alignment vertical="center"/>
    </xf>
    <xf numFmtId="3" fontId="84" fillId="0" borderId="25" xfId="0" applyNumberFormat="1" applyFont="1" applyFill="1" applyBorder="1" applyAlignment="1">
      <alignment horizontal="center" vertical="center"/>
    </xf>
    <xf numFmtId="3" fontId="84" fillId="0" borderId="153" xfId="0" applyNumberFormat="1" applyFont="1" applyFill="1" applyBorder="1" applyAlignment="1">
      <alignment horizontal="center"/>
    </xf>
    <xf numFmtId="3" fontId="84" fillId="0" borderId="154" xfId="0" applyNumberFormat="1" applyFont="1" applyFill="1" applyBorder="1" applyAlignment="1">
      <alignment horizontal="center"/>
    </xf>
    <xf numFmtId="3" fontId="84" fillId="0" borderId="153" xfId="0" applyNumberFormat="1" applyFont="1" applyFill="1" applyBorder="1" applyAlignment="1">
      <alignment vertical="center"/>
    </xf>
    <xf numFmtId="3" fontId="84" fillId="0" borderId="10" xfId="0" applyNumberFormat="1" applyFont="1" applyFill="1" applyBorder="1" applyAlignment="1">
      <alignment horizontal="center" vertical="center"/>
    </xf>
    <xf numFmtId="3" fontId="84" fillId="0" borderId="41" xfId="0" applyNumberFormat="1" applyFont="1" applyFill="1" applyBorder="1" applyAlignment="1">
      <alignment horizontal="center" vertical="center"/>
    </xf>
    <xf numFmtId="3" fontId="84" fillId="0" borderId="0" xfId="0" applyNumberFormat="1" applyFont="1" applyFill="1" applyBorder="1" applyAlignment="1">
      <alignment horizontal="center" vertical="center"/>
    </xf>
    <xf numFmtId="3" fontId="12" fillId="0" borderId="96" xfId="124" applyNumberFormat="1" applyFont="1" applyFill="1" applyBorder="1" applyAlignment="1">
      <alignment/>
      <protection/>
    </xf>
    <xf numFmtId="3" fontId="84" fillId="0" borderId="99" xfId="0" applyNumberFormat="1" applyFont="1" applyFill="1" applyBorder="1" applyAlignment="1">
      <alignment horizontal="center"/>
    </xf>
    <xf numFmtId="3" fontId="13" fillId="0" borderId="155" xfId="124" applyNumberFormat="1" applyFont="1" applyFill="1" applyBorder="1" applyAlignment="1">
      <alignment/>
      <protection/>
    </xf>
    <xf numFmtId="3" fontId="84" fillId="0" borderId="25" xfId="0" applyNumberFormat="1" applyFont="1" applyFill="1" applyBorder="1" applyAlignment="1">
      <alignment horizontal="center" vertical="top"/>
    </xf>
    <xf numFmtId="3" fontId="13" fillId="0" borderId="156" xfId="124" applyNumberFormat="1" applyFont="1" applyFill="1" applyBorder="1" applyAlignment="1">
      <alignment/>
      <protection/>
    </xf>
    <xf numFmtId="3" fontId="12" fillId="0" borderId="20" xfId="124" applyNumberFormat="1" applyFont="1" applyFill="1" applyBorder="1" applyAlignment="1">
      <alignment/>
      <protection/>
    </xf>
    <xf numFmtId="3" fontId="13" fillId="0" borderId="157" xfId="0" applyNumberFormat="1" applyFont="1" applyFill="1" applyBorder="1" applyAlignment="1">
      <alignment/>
    </xf>
    <xf numFmtId="3" fontId="84" fillId="0" borderId="158" xfId="0" applyNumberFormat="1" applyFont="1" applyFill="1" applyBorder="1" applyAlignment="1">
      <alignment horizontal="center" vertical="center"/>
    </xf>
    <xf numFmtId="3" fontId="13" fillId="0" borderId="23" xfId="0" applyNumberFormat="1" applyFont="1" applyFill="1" applyBorder="1" applyAlignment="1">
      <alignment/>
    </xf>
    <xf numFmtId="3" fontId="13" fillId="0" borderId="20" xfId="0" applyNumberFormat="1" applyFont="1" applyFill="1" applyBorder="1" applyAlignment="1">
      <alignment vertical="top"/>
    </xf>
    <xf numFmtId="3" fontId="12" fillId="0" borderId="21" xfId="0" applyNumberFormat="1" applyFont="1" applyFill="1" applyBorder="1" applyAlignment="1">
      <alignment vertical="center"/>
    </xf>
    <xf numFmtId="3" fontId="13" fillId="0" borderId="116" xfId="124" applyNumberFormat="1" applyFont="1" applyFill="1" applyBorder="1" applyAlignment="1">
      <alignment/>
      <protection/>
    </xf>
    <xf numFmtId="3" fontId="13" fillId="0" borderId="153" xfId="0" applyNumberFormat="1" applyFont="1" applyFill="1" applyBorder="1" applyAlignment="1">
      <alignment vertical="center"/>
    </xf>
    <xf numFmtId="3" fontId="13" fillId="0" borderId="153" xfId="0" applyNumberFormat="1" applyFont="1" applyFill="1" applyBorder="1" applyAlignment="1">
      <alignment vertical="top"/>
    </xf>
    <xf numFmtId="3" fontId="13" fillId="0" borderId="99" xfId="0" applyNumberFormat="1" applyFont="1" applyFill="1" applyBorder="1" applyAlignment="1">
      <alignment vertical="center"/>
    </xf>
    <xf numFmtId="3" fontId="13" fillId="0" borderId="102" xfId="0" applyNumberFormat="1" applyFont="1" applyFill="1" applyBorder="1" applyAlignment="1">
      <alignment vertical="center"/>
    </xf>
    <xf numFmtId="3" fontId="13" fillId="0" borderId="38" xfId="0" applyNumberFormat="1" applyFont="1" applyFill="1" applyBorder="1" applyAlignment="1">
      <alignment vertical="top"/>
    </xf>
    <xf numFmtId="3" fontId="13" fillId="0" borderId="159" xfId="0" applyNumberFormat="1" applyFont="1" applyFill="1" applyBorder="1" applyAlignment="1">
      <alignment/>
    </xf>
    <xf numFmtId="3" fontId="13" fillId="0" borderId="160" xfId="126" applyNumberFormat="1" applyFont="1" applyFill="1" applyBorder="1" applyAlignment="1" applyProtection="1">
      <alignment horizontal="right" vertical="center"/>
      <protection locked="0"/>
    </xf>
    <xf numFmtId="3" fontId="13" fillId="0" borderId="151" xfId="126" applyNumberFormat="1" applyFont="1" applyFill="1" applyBorder="1" applyAlignment="1" applyProtection="1">
      <alignment horizontal="right" vertical="center"/>
      <protection locked="0"/>
    </xf>
    <xf numFmtId="0" fontId="10" fillId="0" borderId="131" xfId="126" applyFont="1" applyBorder="1" applyAlignment="1" applyProtection="1">
      <alignment horizontal="left"/>
      <protection locked="0"/>
    </xf>
    <xf numFmtId="3" fontId="10" fillId="0" borderId="57" xfId="126" applyNumberFormat="1" applyFont="1" applyBorder="1" applyAlignment="1" applyProtection="1">
      <alignment horizontal="left"/>
      <protection locked="0"/>
    </xf>
    <xf numFmtId="3" fontId="10" fillId="0" borderId="57" xfId="126" applyNumberFormat="1" applyFont="1" applyBorder="1" applyAlignment="1" applyProtection="1">
      <alignment horizontal="right"/>
      <protection locked="0"/>
    </xf>
    <xf numFmtId="3" fontId="10" fillId="0" borderId="43" xfId="126" applyNumberFormat="1" applyFont="1" applyBorder="1" applyAlignment="1" applyProtection="1">
      <alignment horizontal="right"/>
      <protection locked="0"/>
    </xf>
    <xf numFmtId="3" fontId="13" fillId="0" borderId="161" xfId="126" applyNumberFormat="1" applyFont="1" applyFill="1" applyBorder="1" applyAlignment="1" applyProtection="1">
      <alignment horizontal="right" vertical="center"/>
      <protection locked="0"/>
    </xf>
    <xf numFmtId="3" fontId="13" fillId="0" borderId="138" xfId="126" applyNumberFormat="1" applyFont="1" applyFill="1" applyBorder="1" applyAlignment="1" applyProtection="1">
      <alignment horizontal="right" vertical="center"/>
      <protection locked="0"/>
    </xf>
    <xf numFmtId="3" fontId="10" fillId="0" borderId="142" xfId="126" applyNumberFormat="1" applyFont="1" applyBorder="1" applyProtection="1">
      <alignment/>
      <protection locked="0"/>
    </xf>
    <xf numFmtId="0" fontId="10" fillId="0" borderId="142" xfId="126" applyFont="1" applyBorder="1" applyAlignment="1" applyProtection="1">
      <alignment horizontal="left"/>
      <protection locked="0"/>
    </xf>
    <xf numFmtId="0" fontId="5" fillId="0" borderId="0" xfId="90" applyFont="1" applyFill="1" applyBorder="1" applyProtection="1">
      <alignment/>
      <protection locked="0"/>
    </xf>
    <xf numFmtId="0" fontId="12" fillId="0" borderId="0" xfId="126" applyFont="1" applyFill="1" applyBorder="1" applyProtection="1">
      <alignment/>
      <protection locked="0"/>
    </xf>
    <xf numFmtId="3" fontId="16" fillId="0" borderId="103" xfId="126" applyNumberFormat="1" applyFont="1" applyFill="1" applyBorder="1" applyAlignment="1" applyProtection="1">
      <alignment horizontal="right" vertical="center"/>
      <protection locked="0"/>
    </xf>
    <xf numFmtId="3" fontId="16" fillId="0" borderId="56" xfId="126" applyNumberFormat="1" applyFont="1" applyFill="1" applyBorder="1" applyAlignment="1" applyProtection="1">
      <alignment horizontal="right" vertical="center"/>
      <protection locked="0"/>
    </xf>
    <xf numFmtId="3" fontId="84" fillId="0" borderId="112" xfId="0" applyNumberFormat="1" applyFont="1" applyFill="1" applyBorder="1" applyAlignment="1">
      <alignment horizontal="center" vertical="center"/>
    </xf>
    <xf numFmtId="3" fontId="13" fillId="0" borderId="112" xfId="0" applyNumberFormat="1" applyFont="1" applyFill="1" applyBorder="1" applyAlignment="1">
      <alignment horizontal="center" vertical="center"/>
    </xf>
    <xf numFmtId="3" fontId="13" fillId="0" borderId="96" xfId="124" applyNumberFormat="1" applyFont="1" applyFill="1" applyBorder="1" applyAlignment="1">
      <alignment horizontal="center" vertical="center"/>
      <protection/>
    </xf>
    <xf numFmtId="3" fontId="13" fillId="0" borderId="0" xfId="0" applyNumberFormat="1" applyFont="1" applyFill="1" applyBorder="1" applyAlignment="1">
      <alignment horizontal="center" vertical="center"/>
    </xf>
    <xf numFmtId="3" fontId="84" fillId="0" borderId="152" xfId="0" applyNumberFormat="1" applyFont="1" applyFill="1" applyBorder="1" applyAlignment="1">
      <alignment vertical="center"/>
    </xf>
    <xf numFmtId="3" fontId="84" fillId="0" borderId="102" xfId="0" applyNumberFormat="1" applyFont="1" applyFill="1" applyBorder="1" applyAlignment="1">
      <alignment horizontal="right"/>
    </xf>
    <xf numFmtId="3" fontId="84" fillId="0" borderId="40" xfId="0" applyNumberFormat="1" applyFont="1" applyFill="1" applyBorder="1" applyAlignment="1">
      <alignment horizontal="right"/>
    </xf>
    <xf numFmtId="3" fontId="13" fillId="0" borderId="10" xfId="0" applyNumberFormat="1" applyFont="1" applyFill="1" applyBorder="1" applyAlignment="1">
      <alignment horizontal="center" vertical="center"/>
    </xf>
    <xf numFmtId="3" fontId="13" fillId="0" borderId="41" xfId="0" applyNumberFormat="1" applyFont="1" applyFill="1" applyBorder="1" applyAlignment="1">
      <alignment horizontal="center" vertical="center"/>
    </xf>
    <xf numFmtId="3" fontId="13" fillId="0" borderId="133" xfId="0" applyNumberFormat="1" applyFont="1" applyFill="1" applyBorder="1" applyAlignment="1">
      <alignment horizontal="center" vertical="center"/>
    </xf>
    <xf numFmtId="3" fontId="13" fillId="0" borderId="96" xfId="124" applyNumberFormat="1" applyFont="1" applyFill="1" applyBorder="1" applyAlignment="1">
      <alignment horizontal="center"/>
      <protection/>
    </xf>
    <xf numFmtId="3" fontId="84" fillId="0" borderId="133" xfId="0" applyNumberFormat="1" applyFont="1" applyFill="1" applyBorder="1" applyAlignment="1">
      <alignment horizontal="center"/>
    </xf>
    <xf numFmtId="3" fontId="84" fillId="0" borderId="133" xfId="0" applyNumberFormat="1" applyFont="1" applyFill="1" applyBorder="1" applyAlignment="1">
      <alignment horizontal="center" vertical="center"/>
    </xf>
    <xf numFmtId="3" fontId="84" fillId="0" borderId="102" xfId="124" applyNumberFormat="1" applyFont="1" applyFill="1" applyBorder="1" applyAlignment="1">
      <alignment horizontal="center"/>
      <protection/>
    </xf>
    <xf numFmtId="3" fontId="13" fillId="0" borderId="58" xfId="0" applyNumberFormat="1" applyFont="1" applyFill="1" applyBorder="1" applyAlignment="1">
      <alignment horizontal="center" vertical="center"/>
    </xf>
    <xf numFmtId="3" fontId="13" fillId="0" borderId="38" xfId="0" applyNumberFormat="1" applyFont="1" applyFill="1" applyBorder="1" applyAlignment="1">
      <alignment horizontal="center" vertical="center"/>
    </xf>
    <xf numFmtId="3" fontId="13" fillId="0" borderId="20" xfId="0" applyNumberFormat="1" applyFont="1" applyFill="1" applyBorder="1" applyAlignment="1">
      <alignment horizontal="center" vertical="center"/>
    </xf>
    <xf numFmtId="3" fontId="13" fillId="0" borderId="94" xfId="0" applyNumberFormat="1" applyFont="1" applyFill="1" applyBorder="1" applyAlignment="1">
      <alignment horizontal="center" vertical="center"/>
    </xf>
    <xf numFmtId="3" fontId="13" fillId="0" borderId="99" xfId="0" applyNumberFormat="1" applyFont="1" applyFill="1" applyBorder="1" applyAlignment="1">
      <alignment horizontal="center" vertical="center"/>
    </xf>
    <xf numFmtId="3" fontId="12" fillId="0" borderId="43" xfId="0" applyNumberFormat="1" applyFont="1" applyFill="1" applyBorder="1" applyAlignment="1">
      <alignment/>
    </xf>
    <xf numFmtId="3" fontId="93" fillId="0" borderId="20" xfId="0" applyNumberFormat="1" applyFont="1" applyFill="1" applyBorder="1" applyAlignment="1">
      <alignment horizontal="right"/>
    </xf>
    <xf numFmtId="3" fontId="93" fillId="0" borderId="21" xfId="0" applyNumberFormat="1" applyFont="1" applyFill="1" applyBorder="1" applyAlignment="1">
      <alignment horizontal="right"/>
    </xf>
    <xf numFmtId="3" fontId="13" fillId="0" borderId="20" xfId="0" applyNumberFormat="1" applyFont="1" applyFill="1" applyBorder="1" applyAlignment="1">
      <alignment horizontal="right"/>
    </xf>
    <xf numFmtId="3" fontId="84" fillId="0" borderId="153" xfId="0" applyNumberFormat="1" applyFont="1" applyFill="1" applyBorder="1" applyAlignment="1">
      <alignment horizontal="center" vertical="center"/>
    </xf>
    <xf numFmtId="3" fontId="84" fillId="0" borderId="156" xfId="0" applyNumberFormat="1" applyFont="1" applyFill="1" applyBorder="1" applyAlignment="1">
      <alignment horizontal="center" vertical="center"/>
    </xf>
    <xf numFmtId="3" fontId="84" fillId="0" borderId="162" xfId="0" applyNumberFormat="1" applyFont="1" applyFill="1" applyBorder="1" applyAlignment="1">
      <alignment vertical="center"/>
    </xf>
    <xf numFmtId="3" fontId="84" fillId="0" borderId="38" xfId="0" applyNumberFormat="1" applyFont="1" applyFill="1" applyBorder="1" applyAlignment="1">
      <alignment horizontal="center" vertical="center"/>
    </xf>
    <xf numFmtId="3" fontId="13" fillId="0" borderId="163" xfId="0" applyNumberFormat="1" applyFont="1" applyFill="1" applyBorder="1" applyAlignment="1">
      <alignment/>
    </xf>
    <xf numFmtId="3" fontId="13" fillId="0" borderId="38" xfId="0" applyNumberFormat="1" applyFont="1" applyFill="1" applyBorder="1" applyAlignment="1">
      <alignment horizontal="right"/>
    </xf>
    <xf numFmtId="3" fontId="13" fillId="0" borderId="25" xfId="0" applyNumberFormat="1" applyFont="1" applyFill="1" applyBorder="1" applyAlignment="1">
      <alignment horizontal="center" vertical="center"/>
    </xf>
    <xf numFmtId="3" fontId="13" fillId="0" borderId="153" xfId="0" applyNumberFormat="1" applyFont="1" applyFill="1" applyBorder="1" applyAlignment="1">
      <alignment horizontal="center" vertical="center"/>
    </xf>
    <xf numFmtId="3" fontId="13" fillId="0" borderId="156" xfId="0" applyNumberFormat="1" applyFont="1" applyFill="1" applyBorder="1" applyAlignment="1">
      <alignment horizontal="center" vertical="center"/>
    </xf>
    <xf numFmtId="3" fontId="13" fillId="0" borderId="153" xfId="0" applyNumberFormat="1" applyFont="1" applyFill="1" applyBorder="1" applyAlignment="1">
      <alignment horizontal="right"/>
    </xf>
    <xf numFmtId="3" fontId="13" fillId="0" borderId="102" xfId="0" applyNumberFormat="1" applyFont="1" applyFill="1" applyBorder="1" applyAlignment="1">
      <alignment horizontal="right"/>
    </xf>
    <xf numFmtId="3" fontId="85" fillId="0" borderId="58" xfId="0" applyNumberFormat="1" applyFont="1" applyFill="1" applyBorder="1" applyAlignment="1">
      <alignment horizontal="left" vertical="center" wrapText="1"/>
    </xf>
    <xf numFmtId="3" fontId="85" fillId="0" borderId="114" xfId="0" applyNumberFormat="1" applyFont="1" applyFill="1" applyBorder="1" applyAlignment="1">
      <alignment horizontal="left" vertical="center" wrapText="1"/>
    </xf>
    <xf numFmtId="3" fontId="85" fillId="0" borderId="38" xfId="0" applyNumberFormat="1" applyFont="1" applyFill="1" applyBorder="1" applyAlignment="1">
      <alignment horizontal="left" vertical="center" wrapText="1"/>
    </xf>
    <xf numFmtId="3" fontId="85" fillId="0" borderId="38" xfId="0" applyNumberFormat="1" applyFont="1" applyFill="1" applyBorder="1" applyAlignment="1">
      <alignment horizontal="right" vertical="center"/>
    </xf>
    <xf numFmtId="3" fontId="85" fillId="0" borderId="119" xfId="0" applyNumberFormat="1" applyFont="1" applyFill="1" applyBorder="1" applyAlignment="1">
      <alignment horizontal="right" vertical="center"/>
    </xf>
    <xf numFmtId="3" fontId="84" fillId="0" borderId="122" xfId="0" applyNumberFormat="1" applyFont="1" applyFill="1" applyBorder="1" applyAlignment="1">
      <alignment horizontal="right" vertical="center"/>
    </xf>
    <xf numFmtId="3" fontId="84" fillId="0" borderId="38" xfId="0" applyNumberFormat="1" applyFont="1" applyFill="1" applyBorder="1" applyAlignment="1">
      <alignment horizontal="right" vertical="center"/>
    </xf>
    <xf numFmtId="3" fontId="84" fillId="0" borderId="39" xfId="0" applyNumberFormat="1" applyFont="1" applyFill="1" applyBorder="1" applyAlignment="1">
      <alignment horizontal="right" vertical="center"/>
    </xf>
    <xf numFmtId="3" fontId="84" fillId="0" borderId="119" xfId="124" applyNumberFormat="1" applyFont="1" applyFill="1" applyBorder="1" applyAlignment="1">
      <alignment/>
      <protection/>
    </xf>
    <xf numFmtId="3" fontId="84" fillId="0" borderId="38" xfId="124" applyNumberFormat="1" applyFont="1" applyFill="1" applyBorder="1" applyAlignment="1">
      <alignment horizontal="center"/>
      <protection/>
    </xf>
    <xf numFmtId="3" fontId="84" fillId="0" borderId="96" xfId="0" applyNumberFormat="1" applyFont="1" applyFill="1" applyBorder="1" applyAlignment="1">
      <alignment horizontal="center"/>
    </xf>
    <xf numFmtId="3" fontId="84" fillId="0" borderId="20" xfId="124" applyNumberFormat="1" applyFont="1" applyFill="1" applyBorder="1" applyAlignment="1">
      <alignment horizontal="center"/>
      <protection/>
    </xf>
    <xf numFmtId="3" fontId="84" fillId="0" borderId="100" xfId="0" applyNumberFormat="1" applyFont="1" applyFill="1" applyBorder="1" applyAlignment="1">
      <alignment horizontal="center" vertical="center"/>
    </xf>
    <xf numFmtId="3" fontId="84" fillId="0" borderId="94" xfId="0" applyNumberFormat="1" applyFont="1" applyFill="1" applyBorder="1" applyAlignment="1">
      <alignment horizontal="center" vertical="center"/>
    </xf>
    <xf numFmtId="3" fontId="13" fillId="0" borderId="102" xfId="0" applyNumberFormat="1" applyFont="1" applyFill="1" applyBorder="1" applyAlignment="1">
      <alignment horizontal="right" vertical="center"/>
    </xf>
    <xf numFmtId="3" fontId="13" fillId="0" borderId="21" xfId="0" applyNumberFormat="1" applyFont="1" applyFill="1" applyBorder="1" applyAlignment="1">
      <alignment horizontal="right"/>
    </xf>
    <xf numFmtId="3" fontId="13" fillId="0" borderId="164" xfId="0" applyNumberFormat="1" applyFont="1" applyFill="1" applyBorder="1" applyAlignment="1">
      <alignment horizontal="right"/>
    </xf>
    <xf numFmtId="3" fontId="13" fillId="0" borderId="40" xfId="0" applyNumberFormat="1" applyFont="1" applyFill="1" applyBorder="1" applyAlignment="1">
      <alignment horizontal="right"/>
    </xf>
    <xf numFmtId="3" fontId="13" fillId="0" borderId="40" xfId="0" applyNumberFormat="1" applyFont="1" applyFill="1" applyBorder="1" applyAlignment="1">
      <alignment horizontal="right" vertical="center"/>
    </xf>
    <xf numFmtId="3" fontId="85" fillId="0" borderId="80" xfId="0" applyNumberFormat="1" applyFont="1" applyFill="1" applyBorder="1" applyAlignment="1">
      <alignment horizontal="left" vertical="center" wrapText="1"/>
    </xf>
    <xf numFmtId="3" fontId="85" fillId="0" borderId="54" xfId="0" applyNumberFormat="1" applyFont="1" applyFill="1" applyBorder="1" applyAlignment="1">
      <alignment horizontal="left" vertical="center" wrapText="1"/>
    </xf>
    <xf numFmtId="3" fontId="85" fillId="0" borderId="54" xfId="0" applyNumberFormat="1" applyFont="1" applyFill="1" applyBorder="1" applyAlignment="1">
      <alignment horizontal="right" vertical="center"/>
    </xf>
    <xf numFmtId="3" fontId="13" fillId="0" borderId="139" xfId="0" applyNumberFormat="1" applyFont="1" applyFill="1" applyBorder="1" applyAlignment="1">
      <alignment/>
    </xf>
    <xf numFmtId="3" fontId="12" fillId="0" borderId="20" xfId="0" applyNumberFormat="1" applyFont="1" applyFill="1" applyBorder="1" applyAlignment="1">
      <alignment horizontal="right" vertical="center"/>
    </xf>
    <xf numFmtId="3" fontId="12" fillId="0" borderId="21" xfId="0" applyNumberFormat="1" applyFont="1" applyFill="1" applyBorder="1" applyAlignment="1">
      <alignment horizontal="right" vertical="center"/>
    </xf>
    <xf numFmtId="3" fontId="12" fillId="0" borderId="23" xfId="119" applyNumberFormat="1" applyFont="1" applyFill="1" applyBorder="1" applyAlignment="1">
      <alignment horizontal="left" vertical="top" wrapText="1" indent="4"/>
      <protection/>
    </xf>
    <xf numFmtId="3" fontId="13" fillId="0" borderId="96" xfId="119" applyNumberFormat="1" applyFont="1" applyFill="1" applyBorder="1" applyAlignment="1">
      <alignment horizontal="right"/>
      <protection/>
    </xf>
    <xf numFmtId="3" fontId="13" fillId="0" borderId="23" xfId="0" applyNumberFormat="1" applyFont="1" applyFill="1" applyBorder="1" applyAlignment="1">
      <alignment horizontal="right" wrapText="1"/>
    </xf>
    <xf numFmtId="3" fontId="16" fillId="0" borderId="96" xfId="119" applyNumberFormat="1" applyFont="1" applyFill="1" applyBorder="1" applyAlignment="1">
      <alignment horizontal="right"/>
      <protection/>
    </xf>
    <xf numFmtId="3" fontId="12" fillId="0" borderId="96" xfId="119" applyNumberFormat="1" applyFont="1" applyFill="1" applyBorder="1" applyAlignment="1">
      <alignment horizontal="right"/>
      <protection/>
    </xf>
    <xf numFmtId="3" fontId="13" fillId="0" borderId="28" xfId="0" applyNumberFormat="1" applyFont="1" applyFill="1" applyBorder="1" applyAlignment="1">
      <alignment horizontal="right" wrapText="1"/>
    </xf>
    <xf numFmtId="3" fontId="16" fillId="0" borderId="23" xfId="0" applyNumberFormat="1" applyFont="1" applyFill="1" applyBorder="1" applyAlignment="1">
      <alignment horizontal="right" wrapText="1"/>
    </xf>
    <xf numFmtId="3" fontId="16" fillId="0" borderId="28" xfId="0" applyNumberFormat="1" applyFont="1" applyFill="1" applyBorder="1" applyAlignment="1">
      <alignment horizontal="right" wrapText="1"/>
    </xf>
    <xf numFmtId="3" fontId="13" fillId="0" borderId="20" xfId="0" applyNumberFormat="1" applyFont="1" applyFill="1" applyBorder="1" applyAlignment="1">
      <alignment horizontal="right" wrapText="1"/>
    </xf>
    <xf numFmtId="3" fontId="12" fillId="0" borderId="21" xfId="0" applyNumberFormat="1" applyFont="1" applyFill="1" applyBorder="1" applyAlignment="1">
      <alignment horizontal="right" wrapText="1"/>
    </xf>
    <xf numFmtId="3" fontId="12" fillId="0" borderId="20" xfId="0" applyNumberFormat="1" applyFont="1" applyFill="1" applyBorder="1" applyAlignment="1">
      <alignment horizontal="right" wrapText="1"/>
    </xf>
    <xf numFmtId="3" fontId="16" fillId="0" borderId="20" xfId="0" applyNumberFormat="1" applyFont="1" applyFill="1" applyBorder="1" applyAlignment="1">
      <alignment horizontal="right" wrapText="1"/>
    </xf>
    <xf numFmtId="3" fontId="16" fillId="0" borderId="21" xfId="0" applyNumberFormat="1" applyFont="1" applyFill="1" applyBorder="1" applyAlignment="1">
      <alignment horizontal="right" wrapText="1"/>
    </xf>
    <xf numFmtId="3" fontId="13" fillId="0" borderId="20" xfId="0" applyNumberFormat="1" applyFont="1" applyFill="1" applyBorder="1" applyAlignment="1">
      <alignment horizontal="right" vertical="center" wrapText="1"/>
    </xf>
    <xf numFmtId="3" fontId="13" fillId="0" borderId="21" xfId="0" applyNumberFormat="1" applyFont="1" applyFill="1" applyBorder="1" applyAlignment="1">
      <alignment horizontal="right" wrapText="1"/>
    </xf>
    <xf numFmtId="3" fontId="16" fillId="0" borderId="20" xfId="0" applyNumberFormat="1" applyFont="1" applyFill="1" applyBorder="1" applyAlignment="1">
      <alignment horizontal="right" vertical="center" wrapText="1"/>
    </xf>
    <xf numFmtId="3" fontId="13" fillId="0" borderId="23" xfId="119" applyNumberFormat="1" applyFont="1" applyFill="1" applyBorder="1" applyAlignment="1">
      <alignment horizontal="left" wrapText="1" indent="2"/>
      <protection/>
    </xf>
    <xf numFmtId="3" fontId="12" fillId="0" borderId="23" xfId="119" applyNumberFormat="1" applyFont="1" applyFill="1" applyBorder="1" applyAlignment="1">
      <alignment horizontal="left" wrapText="1" indent="2"/>
      <protection/>
    </xf>
    <xf numFmtId="3" fontId="13" fillId="0" borderId="165" xfId="119" applyNumberFormat="1" applyFont="1" applyFill="1" applyBorder="1" applyAlignment="1">
      <alignment horizontal="center" vertical="center"/>
      <protection/>
    </xf>
    <xf numFmtId="3" fontId="10" fillId="0" borderId="166" xfId="119" applyNumberFormat="1" applyFont="1" applyFill="1" applyBorder="1" applyAlignment="1">
      <alignment horizontal="center" vertical="center" wrapText="1"/>
      <protection/>
    </xf>
    <xf numFmtId="3" fontId="10" fillId="0" borderId="167" xfId="119" applyNumberFormat="1" applyFont="1" applyFill="1" applyBorder="1" applyAlignment="1">
      <alignment horizontal="center"/>
      <protection/>
    </xf>
    <xf numFmtId="3" fontId="84" fillId="0" borderId="168" xfId="0" applyNumberFormat="1" applyFont="1" applyFill="1" applyBorder="1" applyAlignment="1">
      <alignment vertical="center"/>
    </xf>
    <xf numFmtId="3" fontId="13" fillId="0" borderId="41" xfId="119" applyNumberFormat="1" applyFont="1" applyFill="1" applyBorder="1" applyAlignment="1">
      <alignment horizontal="center" vertical="center"/>
      <protection/>
    </xf>
    <xf numFmtId="3" fontId="10" fillId="0" borderId="102" xfId="119" applyNumberFormat="1" applyFont="1" applyFill="1" applyBorder="1" applyAlignment="1">
      <alignment horizontal="center" vertical="center" wrapText="1"/>
      <protection/>
    </xf>
    <xf numFmtId="3" fontId="10" fillId="0" borderId="137" xfId="119" applyNumberFormat="1" applyFont="1" applyFill="1" applyBorder="1" applyAlignment="1">
      <alignment horizontal="center"/>
      <protection/>
    </xf>
    <xf numFmtId="3" fontId="10" fillId="0" borderId="20" xfId="119" applyNumberFormat="1" applyFont="1" applyFill="1" applyBorder="1" applyAlignment="1">
      <alignment horizontal="center" vertical="center" wrapText="1"/>
      <protection/>
    </xf>
    <xf numFmtId="3" fontId="13" fillId="0" borderId="169" xfId="119" applyNumberFormat="1" applyFont="1" applyFill="1" applyBorder="1" applyAlignment="1">
      <alignment horizontal="center" vertical="center"/>
      <protection/>
    </xf>
    <xf numFmtId="3" fontId="10" fillId="0" borderId="116" xfId="119" applyNumberFormat="1" applyFont="1" applyFill="1" applyBorder="1" applyAlignment="1">
      <alignment horizontal="center" vertical="center" wrapText="1"/>
      <protection/>
    </xf>
    <xf numFmtId="3" fontId="10" fillId="0" borderId="163" xfId="119" applyNumberFormat="1" applyFont="1" applyFill="1" applyBorder="1" applyAlignment="1">
      <alignment horizontal="center"/>
      <protection/>
    </xf>
    <xf numFmtId="3" fontId="13" fillId="0" borderId="21" xfId="0" applyNumberFormat="1" applyFont="1" applyFill="1" applyBorder="1" applyAlignment="1">
      <alignment horizontal="right" vertical="center" wrapText="1"/>
    </xf>
    <xf numFmtId="3" fontId="16" fillId="0" borderId="21" xfId="0" applyNumberFormat="1" applyFont="1" applyFill="1" applyBorder="1" applyAlignment="1">
      <alignment horizontal="right" vertical="center" wrapText="1"/>
    </xf>
    <xf numFmtId="3" fontId="84" fillId="0" borderId="170" xfId="0" applyNumberFormat="1" applyFont="1" applyFill="1" applyBorder="1" applyAlignment="1">
      <alignment vertical="center"/>
    </xf>
    <xf numFmtId="3" fontId="13" fillId="0" borderId="118" xfId="124" applyNumberFormat="1" applyFont="1" applyFill="1" applyBorder="1" applyAlignment="1">
      <alignment/>
      <protection/>
    </xf>
    <xf numFmtId="3" fontId="84" fillId="0" borderId="168" xfId="0" applyNumberFormat="1" applyFont="1" applyFill="1" applyBorder="1" applyAlignment="1">
      <alignment horizontal="right"/>
    </xf>
    <xf numFmtId="3" fontId="13" fillId="0" borderId="118" xfId="0" applyNumberFormat="1" applyFont="1" applyFill="1" applyBorder="1" applyAlignment="1">
      <alignment horizontal="right" wrapText="1"/>
    </xf>
    <xf numFmtId="3" fontId="13" fillId="0" borderId="118" xfId="119" applyNumberFormat="1" applyFont="1" applyFill="1" applyBorder="1" applyAlignment="1">
      <alignment horizontal="right"/>
      <protection/>
    </xf>
    <xf numFmtId="3" fontId="13" fillId="0" borderId="171" xfId="0" applyNumberFormat="1" applyFont="1" applyFill="1" applyBorder="1" applyAlignment="1">
      <alignment vertical="center"/>
    </xf>
    <xf numFmtId="3" fontId="16" fillId="0" borderId="96" xfId="0" applyNumberFormat="1" applyFont="1" applyFill="1" applyBorder="1" applyAlignment="1">
      <alignment vertical="center"/>
    </xf>
    <xf numFmtId="3" fontId="13" fillId="0" borderId="112" xfId="121" applyNumberFormat="1" applyFont="1" applyFill="1" applyBorder="1" applyAlignment="1">
      <alignment horizontal="center" vertical="center" wrapText="1"/>
      <protection/>
    </xf>
    <xf numFmtId="3" fontId="13" fillId="0" borderId="172" xfId="121" applyNumberFormat="1" applyFont="1" applyFill="1" applyBorder="1" applyAlignment="1">
      <alignment horizontal="right" vertical="center" wrapText="1"/>
      <protection/>
    </xf>
    <xf numFmtId="3" fontId="13" fillId="0" borderId="173" xfId="121" applyNumberFormat="1" applyFont="1" applyFill="1" applyBorder="1" applyAlignment="1">
      <alignment horizontal="right" vertical="center" wrapText="1"/>
      <protection/>
    </xf>
    <xf numFmtId="3" fontId="13" fillId="0" borderId="94" xfId="121" applyNumberFormat="1" applyFont="1" applyFill="1" applyBorder="1" applyAlignment="1">
      <alignment horizontal="center" vertical="center" wrapText="1"/>
      <protection/>
    </xf>
    <xf numFmtId="3" fontId="13" fillId="0" borderId="108" xfId="121" applyNumberFormat="1" applyFont="1" applyFill="1" applyBorder="1" applyAlignment="1">
      <alignment horizontal="right" vertical="center" wrapText="1"/>
      <protection/>
    </xf>
    <xf numFmtId="3" fontId="13" fillId="0" borderId="158" xfId="121" applyNumberFormat="1" applyFont="1" applyFill="1" applyBorder="1" applyAlignment="1">
      <alignment horizontal="center" vertical="center" wrapText="1"/>
      <protection/>
    </xf>
    <xf numFmtId="3" fontId="13" fillId="0" borderId="174" xfId="121" applyNumberFormat="1" applyFont="1" applyFill="1" applyBorder="1" applyAlignment="1">
      <alignment horizontal="center" vertical="center" wrapText="1"/>
      <protection/>
    </xf>
    <xf numFmtId="3" fontId="13" fillId="0" borderId="175" xfId="121" applyNumberFormat="1" applyFont="1" applyFill="1" applyBorder="1" applyAlignment="1">
      <alignment horizontal="right" vertical="center" wrapText="1"/>
      <protection/>
    </xf>
    <xf numFmtId="3" fontId="13" fillId="0" borderId="176" xfId="121" applyNumberFormat="1" applyFont="1" applyFill="1" applyBorder="1" applyAlignment="1">
      <alignment horizontal="right" vertical="center" wrapText="1"/>
      <protection/>
    </xf>
    <xf numFmtId="3" fontId="10" fillId="0" borderId="90" xfId="87" applyNumberFormat="1" applyFont="1" applyFill="1" applyBorder="1" applyAlignment="1">
      <alignment horizontal="center" vertical="center"/>
      <protection/>
    </xf>
    <xf numFmtId="3" fontId="10" fillId="0" borderId="90" xfId="126" applyNumberFormat="1" applyFont="1" applyFill="1" applyBorder="1" applyAlignment="1">
      <alignment horizontal="right" vertical="center"/>
      <protection/>
    </xf>
    <xf numFmtId="3" fontId="10" fillId="0" borderId="118" xfId="126" applyNumberFormat="1" applyFont="1" applyFill="1" applyBorder="1" applyAlignment="1">
      <alignment horizontal="right" vertical="center"/>
      <protection/>
    </xf>
    <xf numFmtId="3" fontId="10" fillId="0" borderId="118" xfId="121" applyNumberFormat="1" applyFont="1" applyFill="1" applyBorder="1" applyAlignment="1">
      <alignment horizontal="right" vertical="center"/>
      <protection/>
    </xf>
    <xf numFmtId="3" fontId="12" fillId="0" borderId="110" xfId="119" applyNumberFormat="1" applyFont="1" applyFill="1" applyBorder="1" applyAlignment="1">
      <alignment horizontal="right"/>
      <protection/>
    </xf>
    <xf numFmtId="3" fontId="13" fillId="0" borderId="110" xfId="119" applyNumberFormat="1" applyFont="1" applyFill="1" applyBorder="1" applyAlignment="1">
      <alignment horizontal="right"/>
      <protection/>
    </xf>
    <xf numFmtId="3" fontId="10" fillId="0" borderId="91" xfId="121" applyNumberFormat="1" applyFont="1" applyFill="1" applyBorder="1" applyAlignment="1">
      <alignment horizontal="right" vertical="center" wrapText="1"/>
      <protection/>
    </xf>
    <xf numFmtId="3" fontId="10" fillId="0" borderId="23" xfId="121" applyNumberFormat="1" applyFont="1" applyFill="1" applyBorder="1" applyAlignment="1">
      <alignment horizontal="right" vertical="center" wrapText="1"/>
      <protection/>
    </xf>
    <xf numFmtId="3" fontId="10" fillId="0" borderId="128" xfId="121" applyNumberFormat="1" applyFont="1" applyFill="1" applyBorder="1" applyAlignment="1">
      <alignment horizontal="right" vertical="center" wrapText="1"/>
      <protection/>
    </xf>
    <xf numFmtId="3" fontId="13" fillId="0" borderId="112" xfId="119" applyNumberFormat="1" applyFont="1" applyFill="1" applyBorder="1" applyAlignment="1">
      <alignment horizontal="right"/>
      <protection/>
    </xf>
    <xf numFmtId="0" fontId="10" fillId="0" borderId="177" xfId="126" applyFont="1" applyFill="1" applyBorder="1">
      <alignment/>
      <protection/>
    </xf>
    <xf numFmtId="0" fontId="10" fillId="0" borderId="178" xfId="126" applyFont="1" applyFill="1" applyBorder="1">
      <alignment/>
      <protection/>
    </xf>
    <xf numFmtId="3" fontId="12" fillId="0" borderId="179" xfId="119" applyNumberFormat="1" applyFont="1" applyFill="1" applyBorder="1" applyAlignment="1">
      <alignment horizontal="right"/>
      <protection/>
    </xf>
    <xf numFmtId="0" fontId="10" fillId="0" borderId="20" xfId="126" applyFont="1" applyFill="1" applyBorder="1">
      <alignment/>
      <protection/>
    </xf>
    <xf numFmtId="3" fontId="12" fillId="0" borderId="20" xfId="121" applyNumberFormat="1" applyFont="1" applyFill="1" applyBorder="1" applyAlignment="1">
      <alignment horizontal="right" wrapText="1"/>
      <protection/>
    </xf>
    <xf numFmtId="3" fontId="13" fillId="0" borderId="180" xfId="119" applyNumberFormat="1" applyFont="1" applyFill="1" applyBorder="1" applyAlignment="1">
      <alignment horizontal="right"/>
      <protection/>
    </xf>
    <xf numFmtId="3" fontId="12" fillId="0" borderId="20" xfId="121" applyNumberFormat="1" applyFont="1" applyFill="1" applyBorder="1" applyAlignment="1">
      <alignment horizontal="right" vertical="center" wrapText="1"/>
      <protection/>
    </xf>
    <xf numFmtId="0" fontId="2" fillId="0" borderId="137" xfId="126" applyFont="1" applyFill="1" applyBorder="1" applyAlignment="1">
      <alignment horizontal="center" wrapText="1"/>
      <protection/>
    </xf>
    <xf numFmtId="3" fontId="88" fillId="0" borderId="133" xfId="126" applyNumberFormat="1" applyFont="1" applyFill="1" applyBorder="1" applyAlignment="1">
      <alignment horizontal="right"/>
      <protection/>
    </xf>
    <xf numFmtId="3" fontId="89" fillId="0" borderId="133" xfId="126" applyNumberFormat="1" applyFont="1" applyFill="1" applyBorder="1" applyAlignment="1">
      <alignment horizontal="right"/>
      <protection/>
    </xf>
    <xf numFmtId="3" fontId="2" fillId="0" borderId="173" xfId="126" applyNumberFormat="1" applyFont="1" applyFill="1" applyBorder="1" applyAlignment="1">
      <alignment horizontal="right"/>
      <protection/>
    </xf>
    <xf numFmtId="3" fontId="5" fillId="0" borderId="96" xfId="121" applyNumberFormat="1" applyFont="1" applyFill="1" applyBorder="1" applyAlignment="1">
      <alignment horizontal="right" wrapText="1"/>
      <protection/>
    </xf>
    <xf numFmtId="3" fontId="5" fillId="0" borderId="20" xfId="121" applyNumberFormat="1" applyFont="1" applyFill="1" applyBorder="1" applyAlignment="1">
      <alignment horizontal="right" wrapText="1"/>
      <protection/>
    </xf>
    <xf numFmtId="3" fontId="5" fillId="0" borderId="110" xfId="121" applyNumberFormat="1" applyFont="1" applyFill="1" applyBorder="1" applyAlignment="1">
      <alignment horizontal="right" wrapText="1"/>
      <protection/>
    </xf>
    <xf numFmtId="3" fontId="4" fillId="0" borderId="96" xfId="121" applyNumberFormat="1" applyFont="1" applyFill="1" applyBorder="1" applyAlignment="1">
      <alignment horizontal="right" wrapText="1"/>
      <protection/>
    </xf>
    <xf numFmtId="3" fontId="4" fillId="0" borderId="20" xfId="121" applyNumberFormat="1" applyFont="1" applyFill="1" applyBorder="1" applyAlignment="1">
      <alignment horizontal="right" wrapText="1"/>
      <protection/>
    </xf>
    <xf numFmtId="3" fontId="4" fillId="0" borderId="20" xfId="121" applyNumberFormat="1" applyFont="1" applyFill="1" applyBorder="1" applyAlignment="1">
      <alignment horizontal="center" vertical="center" wrapText="1"/>
      <protection/>
    </xf>
    <xf numFmtId="3" fontId="5" fillId="0" borderId="20" xfId="121" applyNumberFormat="1" applyFont="1" applyFill="1" applyBorder="1" applyAlignment="1">
      <alignment horizontal="right" vertical="center" wrapText="1"/>
      <protection/>
    </xf>
    <xf numFmtId="3" fontId="4" fillId="0" borderId="19" xfId="121" applyNumberFormat="1" applyFont="1" applyFill="1" applyBorder="1" applyAlignment="1">
      <alignment horizontal="center" vertical="center" wrapText="1"/>
      <protection/>
    </xf>
    <xf numFmtId="3" fontId="4" fillId="0" borderId="117" xfId="121" applyNumberFormat="1" applyFont="1" applyFill="1" applyBorder="1" applyAlignment="1">
      <alignment horizontal="center" vertical="center" wrapText="1"/>
      <protection/>
    </xf>
    <xf numFmtId="3" fontId="4" fillId="0" borderId="118" xfId="121" applyNumberFormat="1" applyFont="1" applyFill="1" applyBorder="1" applyAlignment="1">
      <alignment horizontal="center" vertical="center" wrapText="1"/>
      <protection/>
    </xf>
    <xf numFmtId="3" fontId="4" fillId="0" borderId="118" xfId="121" applyNumberFormat="1" applyFont="1" applyFill="1" applyBorder="1" applyAlignment="1">
      <alignment horizontal="right" vertical="center" wrapText="1"/>
      <protection/>
    </xf>
    <xf numFmtId="3" fontId="4" fillId="0" borderId="142" xfId="121" applyNumberFormat="1" applyFont="1" applyFill="1" applyBorder="1" applyAlignment="1">
      <alignment horizontal="right" vertical="center" wrapText="1"/>
      <protection/>
    </xf>
    <xf numFmtId="3" fontId="4" fillId="0" borderId="181" xfId="121" applyNumberFormat="1" applyFont="1" applyFill="1" applyBorder="1" applyAlignment="1">
      <alignment horizontal="right" vertical="center" wrapText="1"/>
      <protection/>
    </xf>
    <xf numFmtId="3" fontId="5" fillId="0" borderId="110" xfId="121" applyNumberFormat="1" applyFont="1" applyFill="1" applyBorder="1" applyAlignment="1">
      <alignment horizontal="right" vertical="center" wrapText="1"/>
      <protection/>
    </xf>
    <xf numFmtId="3" fontId="4" fillId="0" borderId="180" xfId="121" applyNumberFormat="1" applyFont="1" applyFill="1" applyBorder="1" applyAlignment="1">
      <alignment horizontal="right" vertical="center" wrapText="1"/>
      <protection/>
    </xf>
    <xf numFmtId="3" fontId="2" fillId="0" borderId="44" xfId="121" applyNumberFormat="1" applyFont="1" applyFill="1" applyBorder="1" applyAlignment="1">
      <alignment horizontal="right" vertical="center" wrapText="1"/>
      <protection/>
    </xf>
    <xf numFmtId="3" fontId="2" fillId="0" borderId="43" xfId="121" applyNumberFormat="1" applyFont="1" applyFill="1" applyBorder="1" applyAlignment="1">
      <alignment horizontal="right" vertical="center" wrapText="1"/>
      <protection/>
    </xf>
    <xf numFmtId="3" fontId="2" fillId="0" borderId="139" xfId="121" applyNumberFormat="1" applyFont="1" applyFill="1" applyBorder="1" applyAlignment="1">
      <alignment horizontal="right" vertical="center" wrapText="1"/>
      <protection/>
    </xf>
    <xf numFmtId="3" fontId="89" fillId="0" borderId="133" xfId="121" applyNumberFormat="1" applyFont="1" applyFill="1" applyBorder="1" applyAlignment="1">
      <alignment horizontal="right" wrapText="1"/>
      <protection/>
    </xf>
    <xf numFmtId="0" fontId="84" fillId="0" borderId="112" xfId="121" applyFont="1" applyFill="1" applyBorder="1" applyAlignment="1">
      <alignment/>
      <protection/>
    </xf>
    <xf numFmtId="3" fontId="17" fillId="0" borderId="96" xfId="121" applyNumberFormat="1" applyFont="1" applyFill="1" applyBorder="1" applyAlignment="1">
      <alignment horizontal="right" wrapText="1"/>
      <protection/>
    </xf>
    <xf numFmtId="3" fontId="17" fillId="0" borderId="20" xfId="121" applyNumberFormat="1" applyFont="1" applyFill="1" applyBorder="1" applyAlignment="1">
      <alignment horizontal="right" wrapText="1"/>
      <protection/>
    </xf>
    <xf numFmtId="3" fontId="17" fillId="0" borderId="110" xfId="121" applyNumberFormat="1" applyFont="1" applyFill="1" applyBorder="1" applyAlignment="1">
      <alignment horizontal="right" wrapText="1"/>
      <protection/>
    </xf>
    <xf numFmtId="0" fontId="4" fillId="0" borderId="94" xfId="126" applyFont="1" applyFill="1" applyBorder="1" applyAlignment="1">
      <alignment horizontal="center"/>
      <protection/>
    </xf>
    <xf numFmtId="3" fontId="2" fillId="0" borderId="112" xfId="126" applyNumberFormat="1" applyFont="1" applyFill="1" applyBorder="1" applyAlignment="1">
      <alignment horizontal="right"/>
      <protection/>
    </xf>
    <xf numFmtId="3" fontId="2" fillId="0" borderId="133" xfId="121" applyNumberFormat="1" applyFont="1" applyFill="1" applyBorder="1" applyAlignment="1">
      <alignment horizontal="right" wrapText="1"/>
      <protection/>
    </xf>
    <xf numFmtId="3" fontId="4" fillId="0" borderId="44" xfId="121" applyNumberFormat="1" applyFont="1" applyFill="1" applyBorder="1" applyAlignment="1">
      <alignment horizontal="right" vertical="center" wrapText="1"/>
      <protection/>
    </xf>
    <xf numFmtId="3" fontId="4" fillId="0" borderId="43" xfId="121" applyNumberFormat="1" applyFont="1" applyFill="1" applyBorder="1" applyAlignment="1">
      <alignment horizontal="right" vertical="center" wrapText="1"/>
      <protection/>
    </xf>
    <xf numFmtId="3" fontId="4" fillId="0" borderId="139" xfId="121" applyNumberFormat="1" applyFont="1" applyFill="1" applyBorder="1" applyAlignment="1">
      <alignment horizontal="right" vertical="center" wrapText="1"/>
      <protection/>
    </xf>
    <xf numFmtId="3" fontId="4" fillId="0" borderId="180" xfId="121" applyNumberFormat="1" applyFont="1" applyFill="1" applyBorder="1" applyAlignment="1">
      <alignment horizontal="right" wrapText="1"/>
      <protection/>
    </xf>
    <xf numFmtId="3" fontId="2" fillId="0" borderId="102" xfId="126" applyNumberFormat="1" applyFont="1" applyFill="1" applyBorder="1" applyAlignment="1">
      <alignment horizontal="right"/>
      <protection/>
    </xf>
    <xf numFmtId="3" fontId="89" fillId="0" borderId="102" xfId="121" applyNumberFormat="1" applyFont="1" applyFill="1" applyBorder="1" applyAlignment="1">
      <alignment horizontal="right"/>
      <protection/>
    </xf>
    <xf numFmtId="0" fontId="88" fillId="0" borderId="137" xfId="126" applyFont="1" applyFill="1" applyBorder="1" applyAlignment="1">
      <alignment horizontal="center" wrapText="1"/>
      <protection/>
    </xf>
    <xf numFmtId="3" fontId="88" fillId="0" borderId="133" xfId="121" applyNumberFormat="1" applyFont="1" applyFill="1" applyBorder="1" applyAlignment="1">
      <alignment horizontal="right" wrapText="1"/>
      <protection/>
    </xf>
    <xf numFmtId="3" fontId="88" fillId="0" borderId="173" xfId="126" applyNumberFormat="1" applyFont="1" applyFill="1" applyBorder="1" applyAlignment="1">
      <alignment horizontal="right"/>
      <protection/>
    </xf>
    <xf numFmtId="3" fontId="2" fillId="0" borderId="133" xfId="126" applyNumberFormat="1" applyFont="1" applyFill="1" applyBorder="1" applyAlignment="1">
      <alignment horizontal="right"/>
      <protection/>
    </xf>
    <xf numFmtId="3" fontId="2" fillId="0" borderId="102" xfId="121" applyNumberFormat="1" applyFont="1" applyFill="1" applyBorder="1" applyAlignment="1">
      <alignment horizontal="right"/>
      <protection/>
    </xf>
    <xf numFmtId="3" fontId="4" fillId="0" borderId="133" xfId="121" applyNumberFormat="1" applyFont="1" applyFill="1" applyBorder="1" applyAlignment="1">
      <alignment horizontal="right" wrapText="1"/>
      <protection/>
    </xf>
    <xf numFmtId="0" fontId="2" fillId="0" borderId="153" xfId="126" applyFont="1" applyFill="1" applyBorder="1" applyAlignment="1">
      <alignment horizontal="center"/>
      <protection/>
    </xf>
    <xf numFmtId="3" fontId="2" fillId="0" borderId="153" xfId="121" applyNumberFormat="1" applyFont="1" applyFill="1" applyBorder="1" applyAlignment="1">
      <alignment horizontal="right"/>
      <protection/>
    </xf>
    <xf numFmtId="0" fontId="4" fillId="0" borderId="182" xfId="126" applyFont="1" applyFill="1" applyBorder="1" applyAlignment="1">
      <alignment horizontal="center" wrapText="1"/>
      <protection/>
    </xf>
    <xf numFmtId="3" fontId="4" fillId="0" borderId="156" xfId="121" applyNumberFormat="1" applyFont="1" applyFill="1" applyBorder="1" applyAlignment="1">
      <alignment horizontal="right" wrapText="1"/>
      <protection/>
    </xf>
    <xf numFmtId="3" fontId="88" fillId="0" borderId="183" xfId="126" applyNumberFormat="1" applyFont="1" applyFill="1" applyBorder="1" applyAlignment="1">
      <alignment horizontal="right"/>
      <protection/>
    </xf>
    <xf numFmtId="0" fontId="2" fillId="0" borderId="166" xfId="126" applyFont="1" applyFill="1" applyBorder="1" applyAlignment="1">
      <alignment horizontal="center"/>
      <protection/>
    </xf>
    <xf numFmtId="0" fontId="4" fillId="0" borderId="167" xfId="126" applyFont="1" applyFill="1" applyBorder="1" applyAlignment="1">
      <alignment horizontal="center" wrapText="1"/>
      <protection/>
    </xf>
    <xf numFmtId="3" fontId="4" fillId="0" borderId="168" xfId="121" applyNumberFormat="1" applyFont="1" applyFill="1" applyBorder="1" applyAlignment="1">
      <alignment horizontal="right" wrapText="1"/>
      <protection/>
    </xf>
    <xf numFmtId="3" fontId="88" fillId="0" borderId="184" xfId="126" applyNumberFormat="1" applyFont="1" applyFill="1" applyBorder="1" applyAlignment="1">
      <alignment horizontal="right"/>
      <protection/>
    </xf>
    <xf numFmtId="0" fontId="4" fillId="0" borderId="43" xfId="126" applyFont="1" applyFill="1" applyBorder="1" applyAlignment="1">
      <alignment horizontal="center" wrapText="1"/>
      <protection/>
    </xf>
    <xf numFmtId="0" fontId="2" fillId="0" borderId="116" xfId="126" applyFont="1" applyFill="1" applyBorder="1" applyAlignment="1">
      <alignment horizontal="center"/>
      <protection/>
    </xf>
    <xf numFmtId="3" fontId="4" fillId="0" borderId="116" xfId="126" applyNumberFormat="1" applyFont="1" applyFill="1" applyBorder="1" applyAlignment="1">
      <alignment horizontal="right"/>
      <protection/>
    </xf>
    <xf numFmtId="0" fontId="88" fillId="0" borderId="163" xfId="126" applyFont="1" applyFill="1" applyBorder="1" applyAlignment="1">
      <alignment horizontal="center" wrapText="1"/>
      <protection/>
    </xf>
    <xf numFmtId="3" fontId="4" fillId="0" borderId="171" xfId="121" applyNumberFormat="1" applyFont="1" applyFill="1" applyBorder="1" applyAlignment="1">
      <alignment horizontal="right" wrapText="1"/>
      <protection/>
    </xf>
    <xf numFmtId="3" fontId="88" fillId="0" borderId="185" xfId="126" applyNumberFormat="1" applyFont="1" applyFill="1" applyBorder="1" applyAlignment="1">
      <alignment horizontal="right"/>
      <protection/>
    </xf>
    <xf numFmtId="3" fontId="4" fillId="0" borderId="166" xfId="126" applyNumberFormat="1" applyFont="1" applyFill="1" applyBorder="1" applyAlignment="1">
      <alignment horizontal="right"/>
      <protection/>
    </xf>
    <xf numFmtId="0" fontId="88" fillId="0" borderId="167" xfId="126" applyFont="1" applyFill="1" applyBorder="1" applyAlignment="1">
      <alignment horizontal="center" wrapText="1"/>
      <protection/>
    </xf>
    <xf numFmtId="3" fontId="2" fillId="0" borderId="96" xfId="126" applyNumberFormat="1" applyFont="1" applyFill="1" applyBorder="1" applyAlignment="1">
      <alignment horizontal="right"/>
      <protection/>
    </xf>
    <xf numFmtId="3" fontId="88" fillId="0" borderId="112" xfId="121" applyNumberFormat="1" applyFont="1" applyFill="1" applyBorder="1" applyAlignment="1">
      <alignment horizontal="right" wrapText="1"/>
      <protection/>
    </xf>
    <xf numFmtId="3" fontId="4" fillId="0" borderId="171" xfId="126" applyNumberFormat="1" applyFont="1" applyFill="1" applyBorder="1" applyAlignment="1">
      <alignment horizontal="right"/>
      <protection/>
    </xf>
    <xf numFmtId="3" fontId="2" fillId="0" borderId="186" xfId="126" applyNumberFormat="1" applyFont="1" applyFill="1" applyBorder="1" applyAlignment="1">
      <alignment horizontal="right"/>
      <protection/>
    </xf>
    <xf numFmtId="3" fontId="4" fillId="0" borderId="167" xfId="126" applyNumberFormat="1" applyFont="1" applyFill="1" applyBorder="1" applyAlignment="1">
      <alignment horizontal="right"/>
      <protection/>
    </xf>
    <xf numFmtId="3" fontId="2" fillId="0" borderId="184" xfId="126" applyNumberFormat="1" applyFont="1" applyFill="1" applyBorder="1" applyAlignment="1">
      <alignment horizontal="right"/>
      <protection/>
    </xf>
    <xf numFmtId="3" fontId="4" fillId="0" borderId="43" xfId="126" applyNumberFormat="1" applyFont="1" applyFill="1" applyBorder="1" applyAlignment="1">
      <alignment horizontal="right"/>
      <protection/>
    </xf>
    <xf numFmtId="3" fontId="4" fillId="0" borderId="163" xfId="126" applyNumberFormat="1" applyFont="1" applyFill="1" applyBorder="1" applyAlignment="1">
      <alignment horizontal="right"/>
      <protection/>
    </xf>
    <xf numFmtId="3" fontId="2" fillId="0" borderId="185" xfId="126" applyNumberFormat="1" applyFont="1" applyFill="1" applyBorder="1" applyAlignment="1">
      <alignment horizontal="right"/>
      <protection/>
    </xf>
    <xf numFmtId="3" fontId="4" fillId="0" borderId="187" xfId="126" applyNumberFormat="1" applyFont="1" applyFill="1" applyBorder="1" applyAlignment="1">
      <alignment horizontal="right"/>
      <protection/>
    </xf>
    <xf numFmtId="3" fontId="4" fillId="0" borderId="188" xfId="126" applyNumberFormat="1" applyFont="1" applyFill="1" applyBorder="1" applyAlignment="1">
      <alignment horizontal="right"/>
      <protection/>
    </xf>
    <xf numFmtId="3" fontId="4" fillId="0" borderId="168" xfId="126" applyNumberFormat="1" applyFont="1" applyFill="1" applyBorder="1" applyAlignment="1">
      <alignment horizontal="right"/>
      <protection/>
    </xf>
    <xf numFmtId="3" fontId="2" fillId="0" borderId="170" xfId="126" applyNumberFormat="1" applyFont="1" applyFill="1" applyBorder="1" applyAlignment="1">
      <alignment horizontal="right"/>
      <protection/>
    </xf>
    <xf numFmtId="3" fontId="4" fillId="0" borderId="153" xfId="126" applyNumberFormat="1" applyFont="1" applyFill="1" applyBorder="1" applyAlignment="1">
      <alignment horizontal="right"/>
      <protection/>
    </xf>
    <xf numFmtId="3" fontId="4" fillId="0" borderId="183" xfId="126" applyNumberFormat="1" applyFont="1" applyFill="1" applyBorder="1" applyAlignment="1">
      <alignment horizontal="right"/>
      <protection/>
    </xf>
    <xf numFmtId="3" fontId="4" fillId="0" borderId="108" xfId="126" applyNumberFormat="1" applyFont="1" applyFill="1" applyBorder="1" applyAlignment="1">
      <alignment horizontal="right"/>
      <protection/>
    </xf>
    <xf numFmtId="3" fontId="4" fillId="0" borderId="184" xfId="126" applyNumberFormat="1" applyFont="1" applyFill="1" applyBorder="1" applyAlignment="1">
      <alignment horizontal="right"/>
      <protection/>
    </xf>
    <xf numFmtId="0" fontId="2" fillId="0" borderId="94" xfId="126" applyFont="1" applyFill="1" applyBorder="1" applyAlignment="1">
      <alignment horizontal="center"/>
      <protection/>
    </xf>
    <xf numFmtId="3" fontId="88" fillId="0" borderId="102" xfId="121" applyNumberFormat="1" applyFont="1" applyFill="1" applyBorder="1" applyAlignment="1">
      <alignment horizontal="right"/>
      <protection/>
    </xf>
    <xf numFmtId="3" fontId="4" fillId="0" borderId="187" xfId="121" applyNumberFormat="1" applyFont="1" applyFill="1" applyBorder="1" applyAlignment="1">
      <alignment horizontal="right" wrapText="1"/>
      <protection/>
    </xf>
    <xf numFmtId="3" fontId="5" fillId="0" borderId="20" xfId="126" applyNumberFormat="1" applyFont="1" applyFill="1" applyBorder="1" applyAlignment="1">
      <alignment horizontal="right"/>
      <protection/>
    </xf>
    <xf numFmtId="0" fontId="2" fillId="0" borderId="118" xfId="126" applyFont="1" applyFill="1" applyBorder="1" applyAlignment="1">
      <alignment horizontal="center"/>
      <protection/>
    </xf>
    <xf numFmtId="3" fontId="2" fillId="0" borderId="118" xfId="126" applyNumberFormat="1" applyFont="1" applyFill="1" applyBorder="1" applyAlignment="1">
      <alignment horizontal="right"/>
      <protection/>
    </xf>
    <xf numFmtId="3" fontId="2" fillId="0" borderId="118" xfId="121" applyNumberFormat="1" applyFont="1" applyFill="1" applyBorder="1" applyAlignment="1">
      <alignment horizontal="right"/>
      <protection/>
    </xf>
    <xf numFmtId="3" fontId="89" fillId="0" borderId="91" xfId="121" applyNumberFormat="1" applyFont="1" applyFill="1" applyBorder="1" applyAlignment="1">
      <alignment horizontal="right" wrapText="1"/>
      <protection/>
    </xf>
    <xf numFmtId="3" fontId="88" fillId="0" borderId="97" xfId="121" applyNumberFormat="1" applyFont="1" applyFill="1" applyBorder="1" applyAlignment="1">
      <alignment horizontal="right" wrapText="1"/>
      <protection/>
    </xf>
    <xf numFmtId="3" fontId="2" fillId="0" borderId="116" xfId="126" applyNumberFormat="1" applyFont="1" applyFill="1" applyBorder="1" applyAlignment="1">
      <alignment horizontal="right"/>
      <protection/>
    </xf>
    <xf numFmtId="3" fontId="2" fillId="0" borderId="116" xfId="121" applyNumberFormat="1" applyFont="1" applyFill="1" applyBorder="1" applyAlignment="1">
      <alignment horizontal="right"/>
      <protection/>
    </xf>
    <xf numFmtId="0" fontId="2" fillId="0" borderId="163" xfId="126" applyFont="1" applyFill="1" applyBorder="1" applyAlignment="1">
      <alignment horizontal="center" wrapText="1"/>
      <protection/>
    </xf>
    <xf numFmtId="3" fontId="2" fillId="0" borderId="171" xfId="121" applyNumberFormat="1" applyFont="1" applyFill="1" applyBorder="1" applyAlignment="1">
      <alignment horizontal="right" wrapText="1"/>
      <protection/>
    </xf>
    <xf numFmtId="0" fontId="2" fillId="0" borderId="140" xfId="126" applyFont="1" applyFill="1" applyBorder="1" applyAlignment="1">
      <alignment horizontal="center"/>
      <protection/>
    </xf>
    <xf numFmtId="3" fontId="13" fillId="0" borderId="114" xfId="124" applyNumberFormat="1" applyFont="1" applyFill="1" applyBorder="1" applyAlignment="1">
      <alignment/>
      <protection/>
    </xf>
    <xf numFmtId="3" fontId="4" fillId="0" borderId="130" xfId="121" applyNumberFormat="1" applyFont="1" applyFill="1" applyBorder="1" applyAlignment="1">
      <alignment horizontal="right" wrapText="1"/>
      <protection/>
    </xf>
    <xf numFmtId="0" fontId="2" fillId="0" borderId="18" xfId="126" applyFont="1" applyFill="1" applyBorder="1" applyAlignment="1">
      <alignment horizontal="center"/>
      <protection/>
    </xf>
    <xf numFmtId="3" fontId="2" fillId="0" borderId="18" xfId="126" applyNumberFormat="1" applyFont="1" applyFill="1" applyBorder="1" applyAlignment="1">
      <alignment horizontal="right"/>
      <protection/>
    </xf>
    <xf numFmtId="0" fontId="2" fillId="0" borderId="93" xfId="126" applyFont="1" applyFill="1" applyBorder="1" applyAlignment="1">
      <alignment horizontal="center" wrapText="1"/>
      <protection/>
    </xf>
    <xf numFmtId="3" fontId="2" fillId="0" borderId="18" xfId="121" applyNumberFormat="1" applyFont="1" applyFill="1" applyBorder="1" applyAlignment="1">
      <alignment horizontal="right" wrapText="1"/>
      <protection/>
    </xf>
    <xf numFmtId="3" fontId="4" fillId="0" borderId="105" xfId="121" applyNumberFormat="1" applyFont="1" applyFill="1" applyBorder="1" applyAlignment="1">
      <alignment horizontal="right" wrapText="1"/>
      <protection/>
    </xf>
    <xf numFmtId="3" fontId="2" fillId="0" borderId="189" xfId="126" applyNumberFormat="1" applyFont="1" applyFill="1" applyBorder="1" applyAlignment="1">
      <alignment horizontal="right"/>
      <protection/>
    </xf>
    <xf numFmtId="0" fontId="28" fillId="0" borderId="23" xfId="121" applyFont="1" applyFill="1" applyBorder="1" applyAlignment="1">
      <alignment horizontal="left" wrapText="1"/>
      <protection/>
    </xf>
    <xf numFmtId="3" fontId="4" fillId="0" borderId="190" xfId="121" applyNumberFormat="1" applyFont="1" applyFill="1" applyBorder="1" applyAlignment="1">
      <alignment horizontal="right" vertical="center" wrapText="1"/>
      <protection/>
    </xf>
    <xf numFmtId="3" fontId="4" fillId="0" borderId="108" xfId="121" applyNumberFormat="1" applyFont="1" applyFill="1" applyBorder="1" applyAlignment="1">
      <alignment horizontal="right" vertical="center" wrapText="1"/>
      <protection/>
    </xf>
    <xf numFmtId="3" fontId="4" fillId="0" borderId="176" xfId="121" applyNumberFormat="1" applyFont="1" applyFill="1" applyBorder="1" applyAlignment="1">
      <alignment horizontal="right" vertical="center" wrapText="1"/>
      <protection/>
    </xf>
    <xf numFmtId="3" fontId="84" fillId="0" borderId="96" xfId="0" applyNumberFormat="1" applyFont="1" applyFill="1" applyBorder="1" applyAlignment="1">
      <alignment/>
    </xf>
    <xf numFmtId="3" fontId="4" fillId="0" borderId="191" xfId="0" applyNumberFormat="1" applyFont="1" applyFill="1" applyBorder="1" applyAlignment="1">
      <alignment horizontal="right" vertical="center"/>
    </xf>
    <xf numFmtId="3" fontId="4" fillId="0" borderId="192" xfId="0" applyNumberFormat="1" applyFont="1" applyFill="1" applyBorder="1" applyAlignment="1">
      <alignment horizontal="center" wrapText="1"/>
    </xf>
    <xf numFmtId="3" fontId="2" fillId="0" borderId="193" xfId="0" applyNumberFormat="1" applyFont="1" applyFill="1" applyBorder="1" applyAlignment="1">
      <alignment/>
    </xf>
    <xf numFmtId="3" fontId="4" fillId="0" borderId="194" xfId="0" applyNumberFormat="1" applyFont="1" applyFill="1" applyBorder="1" applyAlignment="1">
      <alignment vertical="center"/>
    </xf>
    <xf numFmtId="3" fontId="4" fillId="0" borderId="193" xfId="0" applyNumberFormat="1" applyFont="1" applyFill="1" applyBorder="1" applyAlignment="1">
      <alignment horizontal="right"/>
    </xf>
    <xf numFmtId="3" fontId="2" fillId="0" borderId="193" xfId="0" applyNumberFormat="1" applyFont="1" applyFill="1" applyBorder="1" applyAlignment="1">
      <alignment horizontal="right"/>
    </xf>
    <xf numFmtId="3" fontId="4" fillId="0" borderId="195" xfId="0" applyNumberFormat="1" applyFont="1" applyFill="1" applyBorder="1" applyAlignment="1">
      <alignment horizontal="right" vertical="center"/>
    </xf>
    <xf numFmtId="3" fontId="2" fillId="0" borderId="193" xfId="0" applyNumberFormat="1" applyFont="1" applyFill="1" applyBorder="1" applyAlignment="1">
      <alignment horizontal="right" vertical="center"/>
    </xf>
    <xf numFmtId="3" fontId="2" fillId="0" borderId="195" xfId="0" applyNumberFormat="1" applyFont="1" applyFill="1" applyBorder="1" applyAlignment="1">
      <alignment horizontal="right" vertical="center"/>
    </xf>
    <xf numFmtId="3" fontId="4" fillId="0" borderId="196" xfId="0" applyNumberFormat="1" applyFont="1" applyFill="1" applyBorder="1" applyAlignment="1">
      <alignment horizontal="right" vertical="center"/>
    </xf>
    <xf numFmtId="3" fontId="4" fillId="0" borderId="193" xfId="0" applyNumberFormat="1" applyFont="1" applyFill="1" applyBorder="1" applyAlignment="1">
      <alignment horizontal="right" vertical="center"/>
    </xf>
    <xf numFmtId="3" fontId="4" fillId="0" borderId="197" xfId="0" applyNumberFormat="1" applyFont="1" applyFill="1" applyBorder="1" applyAlignment="1">
      <alignment horizontal="right" vertical="center"/>
    </xf>
    <xf numFmtId="164" fontId="2" fillId="0" borderId="193" xfId="135" applyNumberFormat="1" applyFont="1" applyFill="1" applyBorder="1" applyAlignment="1">
      <alignment horizontal="right"/>
    </xf>
    <xf numFmtId="164" fontId="2" fillId="0" borderId="198" xfId="135" applyNumberFormat="1" applyFont="1" applyFill="1" applyBorder="1" applyAlignment="1">
      <alignment horizontal="right"/>
    </xf>
    <xf numFmtId="3" fontId="4" fillId="0" borderId="66" xfId="0" applyNumberFormat="1" applyFont="1" applyFill="1" applyBorder="1" applyAlignment="1">
      <alignment horizontal="right" vertical="center"/>
    </xf>
    <xf numFmtId="3" fontId="2" fillId="0" borderId="64" xfId="0" applyNumberFormat="1" applyFont="1" applyFill="1" applyBorder="1" applyAlignment="1">
      <alignment horizontal="right" vertical="center" textRotation="180"/>
    </xf>
    <xf numFmtId="3" fontId="4" fillId="0" borderId="199" xfId="0" applyNumberFormat="1" applyFont="1" applyFill="1" applyBorder="1" applyAlignment="1">
      <alignment horizontal="right" vertical="center"/>
    </xf>
    <xf numFmtId="3" fontId="2" fillId="0" borderId="85" xfId="0" applyNumberFormat="1" applyFont="1" applyFill="1" applyBorder="1" applyAlignment="1">
      <alignment horizontal="right" vertical="center"/>
    </xf>
    <xf numFmtId="3" fontId="92" fillId="0" borderId="20" xfId="126" applyNumberFormat="1" applyFont="1" applyFill="1" applyBorder="1" applyAlignment="1">
      <alignment horizontal="right" vertical="center"/>
      <protection/>
    </xf>
    <xf numFmtId="3" fontId="92" fillId="0" borderId="110" xfId="126" applyNumberFormat="1" applyFont="1" applyFill="1" applyBorder="1" applyAlignment="1">
      <alignment horizontal="right" vertical="center"/>
      <protection/>
    </xf>
    <xf numFmtId="0" fontId="92" fillId="0" borderId="19" xfId="126" applyFont="1" applyFill="1" applyBorder="1" applyAlignment="1">
      <alignment horizontal="center" vertical="center"/>
      <protection/>
    </xf>
    <xf numFmtId="0" fontId="92" fillId="0" borderId="20" xfId="126" applyFont="1" applyFill="1" applyBorder="1" applyAlignment="1">
      <alignment horizontal="center" vertical="top"/>
      <protection/>
    </xf>
    <xf numFmtId="3" fontId="92" fillId="0" borderId="20" xfId="121" applyNumberFormat="1" applyFont="1" applyFill="1" applyBorder="1" applyAlignment="1">
      <alignment horizontal="right" vertical="center"/>
      <protection/>
    </xf>
    <xf numFmtId="0" fontId="92" fillId="0" borderId="43" xfId="126" applyFont="1" applyFill="1" applyBorder="1" applyAlignment="1">
      <alignment horizontal="center" vertical="center" wrapText="1"/>
      <protection/>
    </xf>
    <xf numFmtId="3" fontId="92" fillId="0" borderId="96" xfId="126" applyNumberFormat="1" applyFont="1" applyFill="1" applyBorder="1" applyAlignment="1">
      <alignment horizontal="right" vertical="center"/>
      <protection/>
    </xf>
    <xf numFmtId="3" fontId="92" fillId="0" borderId="108" xfId="126" applyNumberFormat="1" applyFont="1" applyFill="1" applyBorder="1" applyAlignment="1">
      <alignment horizontal="right" vertical="center"/>
      <protection/>
    </xf>
    <xf numFmtId="0" fontId="92" fillId="0" borderId="0" xfId="126" applyFont="1" applyFill="1" applyBorder="1" applyAlignment="1">
      <alignment vertical="center"/>
      <protection/>
    </xf>
    <xf numFmtId="0" fontId="92" fillId="0" borderId="0" xfId="126" applyFont="1" applyFill="1" applyBorder="1">
      <alignment/>
      <protection/>
    </xf>
    <xf numFmtId="3" fontId="92" fillId="0" borderId="96" xfId="121" applyNumberFormat="1" applyFont="1" applyFill="1" applyBorder="1" applyAlignment="1">
      <alignment horizontal="right" vertical="center" wrapText="1"/>
      <protection/>
    </xf>
    <xf numFmtId="3" fontId="92" fillId="0" borderId="20" xfId="121" applyNumberFormat="1" applyFont="1" applyFill="1" applyBorder="1" applyAlignment="1">
      <alignment horizontal="right" vertical="center" wrapText="1"/>
      <protection/>
    </xf>
    <xf numFmtId="3" fontId="92" fillId="0" borderId="110" xfId="121" applyNumberFormat="1" applyFont="1" applyFill="1" applyBorder="1" applyAlignment="1">
      <alignment horizontal="right" vertical="center" wrapText="1"/>
      <protection/>
    </xf>
    <xf numFmtId="0" fontId="92" fillId="0" borderId="20" xfId="126" applyFont="1" applyFill="1" applyBorder="1" applyAlignment="1">
      <alignment horizontal="center"/>
      <protection/>
    </xf>
    <xf numFmtId="3" fontId="93" fillId="0" borderId="20" xfId="0" applyNumberFormat="1" applyFont="1" applyFill="1" applyBorder="1" applyAlignment="1">
      <alignment vertical="center"/>
    </xf>
    <xf numFmtId="3" fontId="12" fillId="0" borderId="38" xfId="0" applyNumberFormat="1" applyFont="1" applyFill="1" applyBorder="1" applyAlignment="1">
      <alignment horizontal="right"/>
    </xf>
    <xf numFmtId="3" fontId="12" fillId="0" borderId="102" xfId="0" applyNumberFormat="1" applyFont="1" applyFill="1" applyBorder="1" applyAlignment="1">
      <alignment vertical="center"/>
    </xf>
    <xf numFmtId="3" fontId="12" fillId="0" borderId="20" xfId="126" applyNumberFormat="1" applyFont="1" applyBorder="1" applyProtection="1">
      <alignment/>
      <protection locked="0"/>
    </xf>
    <xf numFmtId="3" fontId="12" fillId="0" borderId="102" xfId="126" applyNumberFormat="1" applyFont="1" applyBorder="1" applyProtection="1">
      <alignment/>
      <protection locked="0"/>
    </xf>
    <xf numFmtId="0" fontId="10" fillId="0" borderId="58" xfId="127" applyFont="1" applyBorder="1" applyAlignment="1" applyProtection="1">
      <alignment horizontal="center"/>
      <protection locked="0"/>
    </xf>
    <xf numFmtId="3" fontId="10" fillId="0" borderId="38" xfId="124" applyNumberFormat="1" applyFont="1" applyBorder="1" applyAlignment="1" applyProtection="1">
      <alignment horizontal="center"/>
      <protection locked="0"/>
    </xf>
    <xf numFmtId="0" fontId="10" fillId="0" borderId="38" xfId="126" applyFont="1" applyBorder="1" applyAlignment="1" applyProtection="1">
      <alignment horizontal="left" wrapText="1"/>
      <protection locked="0"/>
    </xf>
    <xf numFmtId="0" fontId="10" fillId="0" borderId="38" xfId="127" applyFont="1" applyBorder="1" applyAlignment="1" applyProtection="1">
      <alignment horizontal="center"/>
      <protection locked="0"/>
    </xf>
    <xf numFmtId="3" fontId="10" fillId="0" borderId="38" xfId="127" applyNumberFormat="1" applyFont="1" applyBorder="1" applyAlignment="1" applyProtection="1">
      <alignment vertical="center"/>
      <protection locked="0"/>
    </xf>
    <xf numFmtId="3" fontId="10" fillId="0" borderId="38" xfId="126" applyNumberFormat="1" applyFont="1" applyBorder="1" applyAlignment="1" applyProtection="1">
      <alignment vertical="center"/>
      <protection locked="0"/>
    </xf>
    <xf numFmtId="3" fontId="10" fillId="0" borderId="119" xfId="126" applyNumberFormat="1" applyFont="1" applyBorder="1" applyAlignment="1" applyProtection="1">
      <alignment horizontal="right" vertical="center"/>
      <protection locked="0"/>
    </xf>
    <xf numFmtId="3" fontId="10" fillId="0" borderId="122" xfId="126" applyNumberFormat="1" applyFont="1" applyBorder="1" applyAlignment="1" applyProtection="1">
      <alignment horizontal="right"/>
      <protection locked="0"/>
    </xf>
    <xf numFmtId="0" fontId="10" fillId="0" borderId="41" xfId="127" applyFont="1" applyBorder="1" applyAlignment="1" applyProtection="1">
      <alignment horizontal="center"/>
      <protection locked="0"/>
    </xf>
    <xf numFmtId="0" fontId="10" fillId="0" borderId="102" xfId="126" applyFont="1" applyBorder="1" applyAlignment="1" applyProtection="1">
      <alignment horizontal="left" wrapText="1"/>
      <protection locked="0"/>
    </xf>
    <xf numFmtId="0" fontId="10" fillId="0" borderId="102" xfId="127" applyFont="1" applyBorder="1" applyAlignment="1" applyProtection="1">
      <alignment horizontal="center"/>
      <protection locked="0"/>
    </xf>
    <xf numFmtId="3" fontId="10" fillId="0" borderId="102" xfId="127" applyNumberFormat="1" applyFont="1" applyBorder="1" applyAlignment="1" applyProtection="1">
      <alignment vertical="center"/>
      <protection locked="0"/>
    </xf>
    <xf numFmtId="3" fontId="10" fillId="0" borderId="102" xfId="126" applyNumberFormat="1" applyFont="1" applyBorder="1" applyAlignment="1" applyProtection="1">
      <alignment vertical="center"/>
      <protection locked="0"/>
    </xf>
    <xf numFmtId="3" fontId="10" fillId="0" borderId="152" xfId="126" applyNumberFormat="1" applyFont="1" applyBorder="1" applyAlignment="1" applyProtection="1">
      <alignment horizontal="right" vertical="center"/>
      <protection locked="0"/>
    </xf>
    <xf numFmtId="3" fontId="10" fillId="0" borderId="137" xfId="126" applyNumberFormat="1" applyFont="1" applyBorder="1" applyAlignment="1" applyProtection="1">
      <alignment horizontal="right"/>
      <protection locked="0"/>
    </xf>
    <xf numFmtId="3" fontId="10" fillId="0" borderId="102" xfId="124" applyNumberFormat="1" applyFont="1" applyBorder="1" applyAlignment="1" applyProtection="1">
      <alignment horizontal="center" vertical="top"/>
      <protection locked="0"/>
    </xf>
    <xf numFmtId="0" fontId="10" fillId="0" borderId="0" xfId="126" applyFont="1" applyBorder="1" applyAlignment="1" applyProtection="1">
      <alignment horizontal="left" wrapText="1"/>
      <protection locked="0"/>
    </xf>
    <xf numFmtId="3" fontId="12" fillId="0" borderId="20" xfId="126" applyNumberFormat="1" applyFont="1" applyFill="1" applyBorder="1" applyAlignment="1">
      <alignment horizontal="right" vertical="center"/>
      <protection/>
    </xf>
    <xf numFmtId="3" fontId="10" fillId="0" borderId="24" xfId="126" applyNumberFormat="1" applyFont="1" applyFill="1" applyBorder="1" applyAlignment="1">
      <alignment horizontal="right" vertical="center"/>
      <protection/>
    </xf>
    <xf numFmtId="3" fontId="10" fillId="0" borderId="22" xfId="126" applyNumberFormat="1" applyFont="1" applyFill="1" applyBorder="1" applyAlignment="1">
      <alignment horizontal="right" vertical="center"/>
      <protection/>
    </xf>
    <xf numFmtId="3" fontId="92" fillId="0" borderId="22" xfId="126" applyNumberFormat="1" applyFont="1" applyFill="1" applyBorder="1" applyAlignment="1">
      <alignment horizontal="right" vertical="center"/>
      <protection/>
    </xf>
    <xf numFmtId="3" fontId="4" fillId="0" borderId="112" xfId="121" applyNumberFormat="1" applyFont="1" applyFill="1" applyBorder="1" applyAlignment="1">
      <alignment horizontal="right" wrapText="1"/>
      <protection/>
    </xf>
    <xf numFmtId="0" fontId="4" fillId="0" borderId="200" xfId="126" applyFont="1" applyFill="1" applyBorder="1" applyAlignment="1">
      <alignment horizontal="center"/>
      <protection/>
    </xf>
    <xf numFmtId="0" fontId="2" fillId="0" borderId="99" xfId="126" applyFont="1" applyFill="1" applyBorder="1" applyAlignment="1">
      <alignment horizontal="center" vertical="top"/>
      <protection/>
    </xf>
    <xf numFmtId="3" fontId="2" fillId="0" borderId="99" xfId="126" applyNumberFormat="1" applyFont="1" applyFill="1" applyBorder="1" applyAlignment="1">
      <alignment horizontal="right"/>
      <protection/>
    </xf>
    <xf numFmtId="3" fontId="5" fillId="0" borderId="96" xfId="126" applyNumberFormat="1" applyFont="1" applyFill="1" applyBorder="1" applyAlignment="1">
      <alignment horizontal="right"/>
      <protection/>
    </xf>
    <xf numFmtId="3" fontId="2" fillId="0" borderId="41" xfId="119" applyNumberFormat="1" applyFont="1" applyFill="1" applyBorder="1" applyAlignment="1">
      <alignment vertical="center" wrapText="1"/>
      <protection/>
    </xf>
    <xf numFmtId="3" fontId="2" fillId="0" borderId="40" xfId="0" applyNumberFormat="1" applyFont="1" applyFill="1" applyBorder="1" applyAlignment="1">
      <alignment horizontal="right" vertical="center" wrapText="1"/>
    </xf>
    <xf numFmtId="3" fontId="5" fillId="0" borderId="110" xfId="126" applyNumberFormat="1" applyFont="1" applyFill="1" applyBorder="1" applyAlignment="1">
      <alignment horizontal="right"/>
      <protection/>
    </xf>
    <xf numFmtId="3" fontId="84" fillId="0" borderId="174" xfId="0" applyNumberFormat="1" applyFont="1" applyFill="1" applyBorder="1" applyAlignment="1">
      <alignment horizontal="center"/>
    </xf>
    <xf numFmtId="3" fontId="12" fillId="0" borderId="28" xfId="0" applyNumberFormat="1" applyFont="1" applyFill="1" applyBorder="1" applyAlignment="1">
      <alignment horizontal="right" wrapText="1"/>
    </xf>
    <xf numFmtId="3" fontId="2" fillId="0" borderId="0" xfId="126" applyNumberFormat="1" applyFont="1" applyFill="1" applyBorder="1" applyAlignment="1">
      <alignment horizontal="right"/>
      <protection/>
    </xf>
    <xf numFmtId="0" fontId="2" fillId="0" borderId="0" xfId="127" applyFont="1" applyFill="1" applyBorder="1" applyAlignment="1">
      <alignment horizontal="left"/>
      <protection/>
    </xf>
    <xf numFmtId="3" fontId="12" fillId="0" borderId="23" xfId="0" applyNumberFormat="1" applyFont="1" applyFill="1" applyBorder="1" applyAlignment="1">
      <alignment horizontal="right" wrapText="1"/>
    </xf>
    <xf numFmtId="3" fontId="12" fillId="0" borderId="20" xfId="0" applyNumberFormat="1" applyFont="1" applyFill="1" applyBorder="1" applyAlignment="1">
      <alignment horizontal="right" vertical="center" wrapText="1"/>
    </xf>
    <xf numFmtId="3" fontId="13" fillId="0" borderId="20" xfId="0" applyNumberFormat="1" applyFont="1" applyFill="1" applyBorder="1" applyAlignment="1">
      <alignment wrapText="1"/>
    </xf>
    <xf numFmtId="0" fontId="2" fillId="0" borderId="112" xfId="121" applyFont="1" applyFill="1" applyBorder="1" applyAlignment="1">
      <alignment wrapText="1"/>
      <protection/>
    </xf>
    <xf numFmtId="3" fontId="2" fillId="0" borderId="20" xfId="126" applyNumberFormat="1" applyFont="1" applyFill="1" applyBorder="1" applyAlignment="1">
      <alignment horizontal="right" vertical="top"/>
      <protection/>
    </xf>
    <xf numFmtId="3" fontId="5" fillId="0" borderId="0" xfId="0" applyNumberFormat="1" applyFont="1" applyFill="1" applyBorder="1" applyAlignment="1">
      <alignment/>
    </xf>
    <xf numFmtId="0" fontId="5" fillId="0" borderId="0" xfId="0" applyFont="1" applyFill="1" applyBorder="1" applyAlignment="1">
      <alignment horizontal="right"/>
    </xf>
    <xf numFmtId="3" fontId="17" fillId="0" borderId="0" xfId="0" applyNumberFormat="1" applyFont="1" applyFill="1" applyBorder="1" applyAlignment="1">
      <alignment/>
    </xf>
    <xf numFmtId="3" fontId="5" fillId="0" borderId="0" xfId="0" applyNumberFormat="1" applyFont="1" applyFill="1" applyBorder="1" applyAlignment="1">
      <alignment/>
    </xf>
    <xf numFmtId="0" fontId="4" fillId="0" borderId="0" xfId="0" applyFont="1" applyAlignment="1">
      <alignment horizontal="left" wrapText="1"/>
    </xf>
    <xf numFmtId="3" fontId="2" fillId="0" borderId="16" xfId="118" applyNumberFormat="1" applyFont="1" applyFill="1" applyBorder="1" applyAlignment="1">
      <alignment horizontal="center" vertical="center" wrapText="1"/>
      <protection/>
    </xf>
    <xf numFmtId="3" fontId="84" fillId="0" borderId="22" xfId="0" applyNumberFormat="1" applyFont="1" applyFill="1" applyBorder="1" applyAlignment="1">
      <alignment horizontal="center"/>
    </xf>
    <xf numFmtId="3" fontId="84" fillId="0" borderId="162" xfId="0" applyNumberFormat="1" applyFont="1" applyFill="1" applyBorder="1" applyAlignment="1">
      <alignment horizontal="center"/>
    </xf>
    <xf numFmtId="3" fontId="10" fillId="0" borderId="24" xfId="126" applyNumberFormat="1" applyFont="1" applyFill="1" applyBorder="1" applyAlignment="1" applyProtection="1">
      <alignment horizontal="right" vertical="center"/>
      <protection locked="0"/>
    </xf>
    <xf numFmtId="0" fontId="4" fillId="0" borderId="0" xfId="0" applyFont="1" applyFill="1" applyBorder="1" applyAlignment="1">
      <alignment horizontal="center" vertical="center"/>
    </xf>
    <xf numFmtId="3" fontId="2" fillId="0" borderId="0" xfId="126" applyNumberFormat="1" applyFont="1" applyFill="1" applyBorder="1" applyAlignment="1">
      <alignment horizontal="right"/>
      <protection/>
    </xf>
    <xf numFmtId="3" fontId="84" fillId="0" borderId="142" xfId="0" applyNumberFormat="1" applyFont="1" applyFill="1" applyBorder="1" applyAlignment="1">
      <alignment/>
    </xf>
    <xf numFmtId="3" fontId="2" fillId="0" borderId="110" xfId="119" applyNumberFormat="1" applyFont="1" applyFill="1" applyBorder="1" applyAlignment="1">
      <alignment horizontal="center" vertical="center"/>
      <protection/>
    </xf>
    <xf numFmtId="3" fontId="90" fillId="0" borderId="23" xfId="119" applyNumberFormat="1" applyFont="1" applyFill="1" applyBorder="1" applyAlignment="1">
      <alignment horizontal="center" vertical="center"/>
      <protection/>
    </xf>
    <xf numFmtId="3" fontId="90" fillId="0" borderId="22" xfId="119" applyNumberFormat="1" applyFont="1" applyFill="1" applyBorder="1" applyAlignment="1">
      <alignment horizontal="center" vertical="center"/>
      <protection/>
    </xf>
    <xf numFmtId="3" fontId="90" fillId="0" borderId="179" xfId="119" applyNumberFormat="1" applyFont="1" applyFill="1" applyBorder="1" applyAlignment="1">
      <alignment horizontal="center" vertical="center"/>
      <protection/>
    </xf>
    <xf numFmtId="3" fontId="13" fillId="12" borderId="20" xfId="119" applyNumberFormat="1" applyFont="1" applyFill="1" applyBorder="1" applyAlignment="1">
      <alignment wrapText="1"/>
      <protection/>
    </xf>
    <xf numFmtId="3" fontId="84" fillId="12" borderId="23" xfId="119" applyNumberFormat="1" applyFont="1" applyFill="1" applyBorder="1" applyAlignment="1">
      <alignment wrapText="1"/>
      <protection/>
    </xf>
    <xf numFmtId="3" fontId="12" fillId="0" borderId="38" xfId="0" applyNumberFormat="1" applyFont="1" applyFill="1" applyBorder="1" applyAlignment="1">
      <alignment vertical="center"/>
    </xf>
    <xf numFmtId="3" fontId="2" fillId="0" borderId="119" xfId="126" applyNumberFormat="1" applyFont="1" applyFill="1" applyBorder="1" applyAlignment="1">
      <alignment horizontal="right"/>
      <protection/>
    </xf>
    <xf numFmtId="3" fontId="2" fillId="0" borderId="152" xfId="126" applyNumberFormat="1" applyFont="1" applyFill="1" applyBorder="1" applyAlignment="1">
      <alignment horizontal="right"/>
      <protection/>
    </xf>
    <xf numFmtId="3" fontId="2" fillId="0" borderId="22" xfId="121" applyNumberFormat="1" applyFont="1" applyFill="1" applyBorder="1" applyAlignment="1">
      <alignment horizontal="right"/>
      <protection/>
    </xf>
    <xf numFmtId="3" fontId="2" fillId="0" borderId="162" xfId="121" applyNumberFormat="1" applyFont="1" applyFill="1" applyBorder="1" applyAlignment="1">
      <alignment horizontal="right"/>
      <protection/>
    </xf>
    <xf numFmtId="3" fontId="89" fillId="0" borderId="24" xfId="126" applyNumberFormat="1" applyFont="1" applyFill="1" applyBorder="1" applyAlignment="1">
      <alignment horizontal="right"/>
      <protection/>
    </xf>
    <xf numFmtId="3" fontId="88" fillId="0" borderId="22" xfId="126" applyNumberFormat="1" applyFont="1" applyFill="1" applyBorder="1" applyAlignment="1">
      <alignment horizontal="right"/>
      <protection/>
    </xf>
    <xf numFmtId="3" fontId="88" fillId="0" borderId="119" xfId="126" applyNumberFormat="1" applyFont="1" applyFill="1" applyBorder="1" applyAlignment="1">
      <alignment horizontal="right"/>
      <protection/>
    </xf>
    <xf numFmtId="3" fontId="88" fillId="0" borderId="152" xfId="126" applyNumberFormat="1" applyFont="1" applyFill="1" applyBorder="1" applyAlignment="1">
      <alignment horizontal="right"/>
      <protection/>
    </xf>
    <xf numFmtId="3" fontId="4" fillId="0" borderId="22" xfId="126" applyNumberFormat="1" applyFont="1" applyFill="1" applyBorder="1" applyAlignment="1">
      <alignment horizontal="right"/>
      <protection/>
    </xf>
    <xf numFmtId="3" fontId="4" fillId="0" borderId="201" xfId="126" applyNumberFormat="1" applyFont="1" applyFill="1" applyBorder="1" applyAlignment="1">
      <alignment horizontal="right"/>
      <protection/>
    </xf>
    <xf numFmtId="3" fontId="4" fillId="0" borderId="202" xfId="126" applyNumberFormat="1" applyFont="1" applyFill="1" applyBorder="1" applyAlignment="1">
      <alignment horizontal="right"/>
      <protection/>
    </xf>
    <xf numFmtId="3" fontId="2" fillId="0" borderId="128" xfId="126" applyNumberFormat="1" applyFont="1" applyFill="1" applyBorder="1" applyAlignment="1">
      <alignment horizontal="right"/>
      <protection/>
    </xf>
    <xf numFmtId="3" fontId="4" fillId="0" borderId="162" xfId="126" applyNumberFormat="1" applyFont="1" applyFill="1" applyBorder="1" applyAlignment="1">
      <alignment horizontal="right"/>
      <protection/>
    </xf>
    <xf numFmtId="3" fontId="4" fillId="0" borderId="130" xfId="126" applyNumberFormat="1" applyFont="1" applyFill="1" applyBorder="1" applyAlignment="1">
      <alignment horizontal="right"/>
      <protection/>
    </xf>
    <xf numFmtId="3" fontId="4" fillId="0" borderId="136" xfId="126" applyNumberFormat="1" applyFont="1" applyFill="1" applyBorder="1" applyAlignment="1">
      <alignment horizontal="right"/>
      <protection/>
    </xf>
    <xf numFmtId="3" fontId="4" fillId="0" borderId="123" xfId="126" applyNumberFormat="1" applyFont="1" applyFill="1" applyBorder="1" applyAlignment="1">
      <alignment horizontal="right"/>
      <protection/>
    </xf>
    <xf numFmtId="3" fontId="2" fillId="0" borderId="203" xfId="126" applyNumberFormat="1" applyFont="1" applyFill="1" applyBorder="1" applyAlignment="1">
      <alignment horizontal="right"/>
      <protection/>
    </xf>
    <xf numFmtId="3" fontId="2" fillId="0" borderId="97" xfId="126" applyNumberFormat="1" applyFont="1" applyFill="1" applyBorder="1" applyAlignment="1">
      <alignment horizontal="right"/>
      <protection/>
    </xf>
    <xf numFmtId="3" fontId="2" fillId="0" borderId="115" xfId="126" applyNumberFormat="1" applyFont="1" applyFill="1" applyBorder="1" applyAlignment="1">
      <alignment horizontal="right"/>
      <protection/>
    </xf>
    <xf numFmtId="3" fontId="4" fillId="0" borderId="18" xfId="126" applyNumberFormat="1" applyFont="1" applyFill="1" applyBorder="1" applyAlignment="1">
      <alignment horizontal="right"/>
      <protection/>
    </xf>
    <xf numFmtId="3" fontId="4" fillId="0" borderId="166" xfId="121" applyNumberFormat="1" applyFont="1" applyFill="1" applyBorder="1" applyAlignment="1">
      <alignment horizontal="right"/>
      <protection/>
    </xf>
    <xf numFmtId="3" fontId="4" fillId="0" borderId="131" xfId="118" applyNumberFormat="1" applyFont="1" applyFill="1" applyBorder="1" applyAlignment="1">
      <alignment vertical="center"/>
      <protection/>
    </xf>
    <xf numFmtId="3" fontId="2" fillId="0" borderId="131" xfId="118" applyNumberFormat="1" applyFont="1" applyFill="1" applyBorder="1" applyAlignment="1">
      <alignment/>
      <protection/>
    </xf>
    <xf numFmtId="3" fontId="2" fillId="0" borderId="131" xfId="118" applyNumberFormat="1" applyFont="1" applyFill="1" applyBorder="1" applyAlignment="1">
      <alignment vertical="top"/>
      <protection/>
    </xf>
    <xf numFmtId="0" fontId="4" fillId="0" borderId="140" xfId="126" applyFont="1" applyFill="1" applyBorder="1" applyAlignment="1">
      <alignment horizontal="center"/>
      <protection/>
    </xf>
    <xf numFmtId="0" fontId="2" fillId="0" borderId="38" xfId="126" applyFont="1" applyFill="1" applyBorder="1" applyAlignment="1">
      <alignment horizontal="center" vertical="top"/>
      <protection/>
    </xf>
    <xf numFmtId="3" fontId="89" fillId="0" borderId="114" xfId="121" applyNumberFormat="1" applyFont="1" applyFill="1" applyBorder="1" applyAlignment="1">
      <alignment horizontal="right" wrapText="1"/>
      <protection/>
    </xf>
    <xf numFmtId="3" fontId="4" fillId="0" borderId="25" xfId="121" applyNumberFormat="1" applyFont="1" applyFill="1" applyBorder="1" applyAlignment="1">
      <alignment horizontal="center" vertical="center" wrapText="1"/>
      <protection/>
    </xf>
    <xf numFmtId="3" fontId="4" fillId="0" borderId="23" xfId="121" applyNumberFormat="1" applyFont="1" applyFill="1" applyBorder="1" applyAlignment="1">
      <alignment horizontal="center" vertical="center" wrapText="1"/>
      <protection/>
    </xf>
    <xf numFmtId="3" fontId="4" fillId="0" borderId="57" xfId="121" applyNumberFormat="1" applyFont="1" applyFill="1" applyBorder="1" applyAlignment="1">
      <alignment horizontal="right" vertical="center" wrapText="1"/>
      <protection/>
    </xf>
    <xf numFmtId="3" fontId="88" fillId="0" borderId="102" xfId="121" applyNumberFormat="1" applyFont="1" applyFill="1" applyBorder="1" applyAlignment="1">
      <alignment horizontal="right" vertical="center" wrapText="1"/>
      <protection/>
    </xf>
    <xf numFmtId="3" fontId="88" fillId="0" borderId="23" xfId="121" applyNumberFormat="1" applyFont="1" applyFill="1" applyBorder="1" applyAlignment="1">
      <alignment horizontal="right" vertical="center" wrapText="1"/>
      <protection/>
    </xf>
    <xf numFmtId="3" fontId="4" fillId="0" borderId="98" xfId="121" applyNumberFormat="1" applyFont="1" applyFill="1" applyBorder="1" applyAlignment="1">
      <alignment horizontal="right" vertical="center" wrapText="1"/>
      <protection/>
    </xf>
    <xf numFmtId="3" fontId="2" fillId="0" borderId="57" xfId="121" applyNumberFormat="1" applyFont="1" applyFill="1" applyBorder="1" applyAlignment="1">
      <alignment horizontal="right" vertical="center" wrapText="1"/>
      <protection/>
    </xf>
    <xf numFmtId="3" fontId="88" fillId="0" borderId="128" xfId="121" applyNumberFormat="1" applyFont="1" applyFill="1" applyBorder="1" applyAlignment="1">
      <alignment horizontal="right" vertical="center" wrapText="1"/>
      <protection/>
    </xf>
    <xf numFmtId="3" fontId="88" fillId="0" borderId="144" xfId="121" applyNumberFormat="1" applyFont="1" applyFill="1" applyBorder="1" applyAlignment="1">
      <alignment horizontal="right" vertical="center" wrapText="1"/>
      <protection/>
    </xf>
    <xf numFmtId="3" fontId="4" fillId="0" borderId="107" xfId="121" applyNumberFormat="1" applyFont="1" applyFill="1" applyBorder="1" applyAlignment="1">
      <alignment horizontal="right" vertical="center" wrapText="1"/>
      <protection/>
    </xf>
    <xf numFmtId="0" fontId="4" fillId="0" borderId="166" xfId="121" applyFont="1" applyFill="1" applyBorder="1" applyAlignment="1">
      <alignment horizontal="center"/>
      <protection/>
    </xf>
    <xf numFmtId="0" fontId="4" fillId="0" borderId="102" xfId="121" applyFont="1" applyFill="1" applyBorder="1" applyAlignment="1">
      <alignment horizontal="center"/>
      <protection/>
    </xf>
    <xf numFmtId="3" fontId="4" fillId="0" borderId="149" xfId="118" applyNumberFormat="1" applyFont="1" applyFill="1" applyBorder="1" applyAlignment="1">
      <alignment horizontal="right" wrapText="1"/>
      <protection/>
    </xf>
    <xf numFmtId="3" fontId="4" fillId="0" borderId="131" xfId="118" applyNumberFormat="1" applyFont="1" applyFill="1" applyBorder="1" applyAlignment="1">
      <alignment horizontal="right" wrapText="1"/>
      <protection/>
    </xf>
    <xf numFmtId="3" fontId="4" fillId="0" borderId="131" xfId="0" applyNumberFormat="1" applyFont="1" applyFill="1" applyBorder="1" applyAlignment="1">
      <alignment horizontal="right"/>
    </xf>
    <xf numFmtId="3" fontId="2" fillId="0" borderId="131" xfId="0" applyNumberFormat="1" applyFont="1" applyFill="1" applyBorder="1" applyAlignment="1">
      <alignment/>
    </xf>
    <xf numFmtId="3" fontId="4" fillId="0" borderId="131" xfId="0" applyNumberFormat="1" applyFont="1" applyFill="1" applyBorder="1" applyAlignment="1">
      <alignment/>
    </xf>
    <xf numFmtId="3" fontId="4" fillId="0" borderId="150" xfId="118" applyNumberFormat="1" applyFont="1" applyFill="1" applyBorder="1" applyAlignment="1">
      <alignment horizontal="right" wrapText="1"/>
      <protection/>
    </xf>
    <xf numFmtId="0" fontId="2" fillId="0" borderId="131" xfId="0" applyFont="1" applyFill="1" applyBorder="1" applyAlignment="1">
      <alignment/>
    </xf>
    <xf numFmtId="3" fontId="4" fillId="0" borderId="150" xfId="0" applyNumberFormat="1" applyFont="1" applyFill="1" applyBorder="1" applyAlignment="1">
      <alignment horizontal="right" vertical="center"/>
    </xf>
    <xf numFmtId="3" fontId="4" fillId="0" borderId="204" xfId="0" applyNumberFormat="1" applyFont="1" applyFill="1" applyBorder="1" applyAlignment="1">
      <alignment horizontal="right" vertical="center"/>
    </xf>
    <xf numFmtId="3" fontId="4" fillId="0" borderId="160" xfId="0" applyNumberFormat="1" applyFont="1" applyFill="1" applyBorder="1" applyAlignment="1">
      <alignment horizontal="right" vertical="center"/>
    </xf>
    <xf numFmtId="3" fontId="4" fillId="0" borderId="131" xfId="0" applyNumberFormat="1" applyFont="1" applyFill="1" applyBorder="1" applyAlignment="1">
      <alignment horizontal="right" vertical="center"/>
    </xf>
    <xf numFmtId="3" fontId="2" fillId="0" borderId="131" xfId="0" applyNumberFormat="1" applyFont="1" applyFill="1" applyBorder="1" applyAlignment="1">
      <alignment vertical="center"/>
    </xf>
    <xf numFmtId="0" fontId="4" fillId="0" borderId="131" xfId="0" applyFont="1" applyFill="1" applyBorder="1" applyAlignment="1">
      <alignment/>
    </xf>
    <xf numFmtId="3" fontId="4" fillId="0" borderId="205" xfId="0" applyNumberFormat="1" applyFont="1" applyFill="1" applyBorder="1" applyAlignment="1">
      <alignment horizontal="right" vertical="center"/>
    </xf>
    <xf numFmtId="0" fontId="10" fillId="0" borderId="20" xfId="126" applyFont="1" applyBorder="1" applyAlignment="1" applyProtection="1">
      <alignment horizontal="left" shrinkToFit="1"/>
      <protection locked="0"/>
    </xf>
    <xf numFmtId="3" fontId="10" fillId="0" borderId="57" xfId="126" applyNumberFormat="1" applyFont="1" applyBorder="1" applyAlignment="1" applyProtection="1">
      <alignment horizontal="right" vertical="top"/>
      <protection locked="0"/>
    </xf>
    <xf numFmtId="3" fontId="10" fillId="0" borderId="142" xfId="126" applyNumberFormat="1" applyFont="1" applyBorder="1" applyAlignment="1" applyProtection="1">
      <alignment vertical="top"/>
      <protection locked="0"/>
    </xf>
    <xf numFmtId="3" fontId="84" fillId="0" borderId="20" xfId="121" applyNumberFormat="1" applyFont="1" applyFill="1" applyBorder="1" applyAlignment="1">
      <alignment horizontal="right" wrapText="1"/>
      <protection/>
    </xf>
    <xf numFmtId="3" fontId="13" fillId="0" borderId="118" xfId="121" applyNumberFormat="1" applyFont="1" applyFill="1" applyBorder="1" applyAlignment="1">
      <alignment horizontal="right" wrapText="1"/>
      <protection/>
    </xf>
    <xf numFmtId="3" fontId="41" fillId="0" borderId="41" xfId="119" applyNumberFormat="1" applyFont="1" applyFill="1" applyBorder="1" applyAlignment="1">
      <alignment horizontal="left" wrapText="1"/>
      <protection/>
    </xf>
    <xf numFmtId="3" fontId="2" fillId="0" borderId="94" xfId="119" applyNumberFormat="1" applyFont="1" applyFill="1" applyBorder="1" applyAlignment="1">
      <alignment vertical="center" wrapText="1"/>
      <protection/>
    </xf>
    <xf numFmtId="3" fontId="42" fillId="0" borderId="19" xfId="119" applyNumberFormat="1" applyFont="1" applyFill="1" applyBorder="1" applyAlignment="1">
      <alignment wrapText="1"/>
      <protection/>
    </xf>
    <xf numFmtId="3" fontId="2" fillId="0" borderId="21" xfId="119" applyNumberFormat="1" applyFont="1" applyFill="1" applyBorder="1" applyAlignment="1">
      <alignment vertical="center" wrapText="1"/>
      <protection/>
    </xf>
    <xf numFmtId="3" fontId="13" fillId="0" borderId="20" xfId="121" applyNumberFormat="1" applyFont="1" applyFill="1" applyBorder="1" applyAlignment="1">
      <alignment horizontal="right" vertical="center" wrapText="1"/>
      <protection/>
    </xf>
    <xf numFmtId="3" fontId="13" fillId="0" borderId="20" xfId="126" applyNumberFormat="1" applyFont="1" applyFill="1" applyBorder="1" applyAlignment="1">
      <alignment horizontal="right" vertical="center"/>
      <protection/>
    </xf>
    <xf numFmtId="3" fontId="13" fillId="0" borderId="96" xfId="121" applyNumberFormat="1" applyFont="1" applyFill="1" applyBorder="1" applyAlignment="1">
      <alignment horizontal="right" vertical="center" wrapText="1"/>
      <protection/>
    </xf>
    <xf numFmtId="3" fontId="13" fillId="0" borderId="20" xfId="121" applyNumberFormat="1" applyFont="1" applyFill="1" applyBorder="1" applyAlignment="1">
      <alignment wrapText="1"/>
      <protection/>
    </xf>
    <xf numFmtId="3" fontId="12" fillId="0" borderId="102" xfId="126" applyNumberFormat="1" applyFont="1" applyBorder="1" applyAlignment="1" applyProtection="1">
      <alignment horizontal="left"/>
      <protection locked="0"/>
    </xf>
    <xf numFmtId="3" fontId="12" fillId="0" borderId="20" xfId="126" applyNumberFormat="1" applyFont="1" applyBorder="1" applyAlignment="1" applyProtection="1">
      <alignment horizontal="left"/>
      <protection locked="0"/>
    </xf>
    <xf numFmtId="3" fontId="12" fillId="0" borderId="20" xfId="126" applyNumberFormat="1" applyFont="1" applyBorder="1" applyAlignment="1" applyProtection="1">
      <alignment vertical="top"/>
      <protection locked="0"/>
    </xf>
    <xf numFmtId="3" fontId="10" fillId="0" borderId="23" xfId="124" applyNumberFormat="1" applyFont="1" applyBorder="1" applyAlignment="1" applyProtection="1">
      <alignment horizontal="center" vertical="top"/>
      <protection locked="0"/>
    </xf>
    <xf numFmtId="3" fontId="2" fillId="0" borderId="38" xfId="119" applyNumberFormat="1" applyFont="1" applyFill="1" applyBorder="1" applyAlignment="1">
      <alignment horizontal="center" vertical="center"/>
      <protection/>
    </xf>
    <xf numFmtId="3" fontId="2" fillId="0" borderId="23" xfId="119" applyNumberFormat="1" applyFont="1" applyFill="1" applyBorder="1" applyAlignment="1">
      <alignment horizontal="center" vertical="center"/>
      <protection/>
    </xf>
    <xf numFmtId="3" fontId="2" fillId="0" borderId="22" xfId="119" applyNumberFormat="1" applyFont="1" applyFill="1" applyBorder="1" applyAlignment="1">
      <alignment horizontal="center" vertical="center"/>
      <protection/>
    </xf>
    <xf numFmtId="3" fontId="2" fillId="0" borderId="179" xfId="119" applyNumberFormat="1" applyFont="1" applyFill="1" applyBorder="1" applyAlignment="1">
      <alignment horizontal="center" vertical="center"/>
      <protection/>
    </xf>
    <xf numFmtId="3" fontId="84" fillId="0" borderId="201" xfId="0" applyNumberFormat="1" applyFont="1" applyFill="1" applyBorder="1" applyAlignment="1">
      <alignment horizontal="center"/>
    </xf>
    <xf numFmtId="3" fontId="84" fillId="0" borderId="119" xfId="0" applyNumberFormat="1" applyFont="1" applyFill="1" applyBorder="1" applyAlignment="1">
      <alignment horizontal="center"/>
    </xf>
    <xf numFmtId="3" fontId="13" fillId="0" borderId="206" xfId="124" applyNumberFormat="1" applyFont="1" applyFill="1" applyBorder="1" applyAlignment="1">
      <alignment horizontal="left"/>
      <protection/>
    </xf>
    <xf numFmtId="3" fontId="13" fillId="0" borderId="206" xfId="124" applyNumberFormat="1" applyFont="1" applyFill="1" applyBorder="1" applyAlignment="1">
      <alignment horizontal="left" wrapText="1"/>
      <protection/>
    </xf>
    <xf numFmtId="3" fontId="84" fillId="0" borderId="207" xfId="0" applyNumberFormat="1" applyFont="1" applyFill="1" applyBorder="1" applyAlignment="1">
      <alignment horizontal="center"/>
    </xf>
    <xf numFmtId="3" fontId="13" fillId="0" borderId="153" xfId="124" applyNumberFormat="1" applyFont="1" applyFill="1" applyBorder="1" applyAlignment="1">
      <alignment/>
      <protection/>
    </xf>
    <xf numFmtId="3" fontId="12" fillId="0" borderId="20" xfId="124" applyNumberFormat="1" applyFont="1" applyFill="1" applyBorder="1" applyAlignment="1">
      <alignment wrapText="1"/>
      <protection/>
    </xf>
    <xf numFmtId="3" fontId="4"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4" fillId="0" borderId="12"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3" fontId="4" fillId="0" borderId="12" xfId="118" applyNumberFormat="1" applyFont="1" applyFill="1" applyBorder="1" applyAlignment="1">
      <alignment horizontal="right" wrapText="1"/>
      <protection/>
    </xf>
    <xf numFmtId="3" fontId="2" fillId="0" borderId="13" xfId="0" applyNumberFormat="1" applyFont="1" applyFill="1" applyBorder="1" applyAlignment="1">
      <alignment horizontal="right"/>
    </xf>
    <xf numFmtId="3" fontId="4" fillId="0" borderId="90" xfId="118" applyNumberFormat="1" applyFont="1" applyFill="1" applyBorder="1">
      <alignment/>
      <protection/>
    </xf>
    <xf numFmtId="3" fontId="16" fillId="0" borderId="20" xfId="0" applyNumberFormat="1" applyFont="1" applyFill="1" applyBorder="1" applyAlignment="1">
      <alignment/>
    </xf>
    <xf numFmtId="3" fontId="16" fillId="0" borderId="23" xfId="0" applyNumberFormat="1" applyFont="1" applyFill="1" applyBorder="1" applyAlignment="1">
      <alignment/>
    </xf>
    <xf numFmtId="3" fontId="12" fillId="0" borderId="21" xfId="0" applyNumberFormat="1" applyFont="1" applyFill="1" applyBorder="1" applyAlignment="1">
      <alignment vertical="top"/>
    </xf>
    <xf numFmtId="3" fontId="13" fillId="0" borderId="157" xfId="0" applyNumberFormat="1" applyFont="1" applyFill="1" applyBorder="1" applyAlignment="1">
      <alignment vertical="top"/>
    </xf>
    <xf numFmtId="3" fontId="16" fillId="0" borderId="20" xfId="0" applyNumberFormat="1" applyFont="1" applyFill="1" applyBorder="1" applyAlignment="1">
      <alignment vertical="center"/>
    </xf>
    <xf numFmtId="3" fontId="16" fillId="0" borderId="38" xfId="0" applyNumberFormat="1" applyFont="1" applyFill="1" applyBorder="1" applyAlignment="1">
      <alignment vertical="center"/>
    </xf>
    <xf numFmtId="3" fontId="16" fillId="0" borderId="20" xfId="0" applyNumberFormat="1" applyFont="1" applyFill="1" applyBorder="1" applyAlignment="1">
      <alignment vertical="top"/>
    </xf>
    <xf numFmtId="3" fontId="13" fillId="0" borderId="38" xfId="0" applyNumberFormat="1" applyFont="1" applyFill="1" applyBorder="1" applyAlignment="1">
      <alignment/>
    </xf>
    <xf numFmtId="3" fontId="84" fillId="0" borderId="38" xfId="0" applyNumberFormat="1" applyFont="1" applyFill="1" applyBorder="1" applyAlignment="1">
      <alignment/>
    </xf>
    <xf numFmtId="3" fontId="16" fillId="0" borderId="38" xfId="0" applyNumberFormat="1" applyFont="1" applyFill="1" applyBorder="1" applyAlignment="1">
      <alignment vertical="top"/>
    </xf>
    <xf numFmtId="3" fontId="13" fillId="0" borderId="39" xfId="0" applyNumberFormat="1" applyFont="1" applyFill="1" applyBorder="1" applyAlignment="1">
      <alignment vertical="top"/>
    </xf>
    <xf numFmtId="3" fontId="13" fillId="0" borderId="39" xfId="0" applyNumberFormat="1" applyFont="1" applyFill="1" applyBorder="1" applyAlignment="1">
      <alignment vertical="center"/>
    </xf>
    <xf numFmtId="0" fontId="6" fillId="0" borderId="0" xfId="120" applyFont="1" applyAlignment="1">
      <alignment horizontal="center" vertical="center"/>
      <protection/>
    </xf>
    <xf numFmtId="3" fontId="2" fillId="0" borderId="0" xfId="120" applyNumberFormat="1" applyFont="1" applyAlignment="1">
      <alignment horizontal="right" vertical="center"/>
      <protection/>
    </xf>
    <xf numFmtId="0" fontId="2" fillId="0" borderId="0" xfId="120" applyFont="1" applyAlignment="1">
      <alignment vertical="center"/>
      <protection/>
    </xf>
    <xf numFmtId="3" fontId="4" fillId="0" borderId="0" xfId="120" applyNumberFormat="1" applyFont="1" applyAlignment="1">
      <alignment horizontal="center"/>
      <protection/>
    </xf>
    <xf numFmtId="0" fontId="2" fillId="0" borderId="0" xfId="120" applyFont="1">
      <alignment/>
      <protection/>
    </xf>
    <xf numFmtId="3" fontId="4" fillId="0" borderId="0" xfId="120" applyNumberFormat="1" applyFont="1" applyAlignment="1">
      <alignment horizontal="center" vertical="center"/>
      <protection/>
    </xf>
    <xf numFmtId="0" fontId="6" fillId="0" borderId="0" xfId="0" applyFont="1" applyAlignment="1">
      <alignment horizontal="center" vertical="center"/>
    </xf>
    <xf numFmtId="0" fontId="10" fillId="0" borderId="0" xfId="0" applyFont="1" applyAlignment="1">
      <alignment wrapText="1"/>
    </xf>
    <xf numFmtId="3" fontId="10" fillId="0" borderId="0" xfId="0" applyNumberFormat="1" applyFont="1" applyAlignment="1">
      <alignment/>
    </xf>
    <xf numFmtId="3" fontId="12" fillId="0" borderId="0" xfId="0" applyNumberFormat="1" applyFont="1" applyAlignment="1">
      <alignment horizontal="right"/>
    </xf>
    <xf numFmtId="3" fontId="10" fillId="0" borderId="0" xfId="0" applyNumberFormat="1" applyFont="1" applyAlignment="1">
      <alignment horizontal="right"/>
    </xf>
    <xf numFmtId="0" fontId="10" fillId="0" borderId="0" xfId="0" applyFont="1" applyAlignment="1">
      <alignment/>
    </xf>
    <xf numFmtId="0" fontId="6" fillId="0" borderId="0" xfId="0" applyFont="1" applyAlignment="1">
      <alignment horizontal="center" wrapText="1"/>
    </xf>
    <xf numFmtId="3" fontId="6" fillId="0" borderId="0" xfId="0" applyNumberFormat="1" applyFont="1" applyAlignment="1">
      <alignment horizontal="center"/>
    </xf>
    <xf numFmtId="0" fontId="6" fillId="0" borderId="0" xfId="0" applyFont="1" applyAlignment="1">
      <alignment horizontal="center"/>
    </xf>
    <xf numFmtId="3" fontId="4" fillId="0" borderId="208" xfId="0" applyNumberFormat="1" applyFont="1" applyBorder="1" applyAlignment="1">
      <alignment horizontal="center"/>
    </xf>
    <xf numFmtId="3" fontId="4" fillId="0" borderId="0" xfId="0" applyNumberFormat="1" applyFont="1" applyAlignment="1">
      <alignment horizontal="center"/>
    </xf>
    <xf numFmtId="0" fontId="2" fillId="0" borderId="0" xfId="0" applyFont="1" applyAlignment="1">
      <alignment/>
    </xf>
    <xf numFmtId="3" fontId="4" fillId="0" borderId="89" xfId="0" applyNumberFormat="1" applyFont="1" applyBorder="1" applyAlignment="1">
      <alignment horizontal="center"/>
    </xf>
    <xf numFmtId="0" fontId="43" fillId="0" borderId="10" xfId="0" applyFont="1" applyBorder="1" applyAlignment="1">
      <alignment horizontal="left" wrapText="1"/>
    </xf>
    <xf numFmtId="3" fontId="43" fillId="0" borderId="0" xfId="0" applyNumberFormat="1" applyFont="1" applyAlignment="1">
      <alignment horizontal="right"/>
    </xf>
    <xf numFmtId="10" fontId="43" fillId="0" borderId="131" xfId="137" applyNumberFormat="1" applyFont="1" applyBorder="1" applyAlignment="1">
      <alignment/>
    </xf>
    <xf numFmtId="3" fontId="4" fillId="0" borderId="0" xfId="137" applyNumberFormat="1" applyFont="1" applyBorder="1" applyAlignment="1">
      <alignment/>
    </xf>
    <xf numFmtId="3" fontId="4" fillId="0" borderId="0" xfId="0" applyNumberFormat="1" applyFont="1" applyAlignment="1">
      <alignment/>
    </xf>
    <xf numFmtId="0" fontId="4" fillId="0" borderId="0" xfId="0" applyFont="1" applyAlignment="1">
      <alignment/>
    </xf>
    <xf numFmtId="0" fontId="44" fillId="0" borderId="10" xfId="120" applyFont="1" applyBorder="1" applyAlignment="1">
      <alignment horizontal="left" vertical="center" wrapText="1" indent="2"/>
      <protection/>
    </xf>
    <xf numFmtId="3" fontId="44" fillId="0" borderId="0" xfId="120" applyNumberFormat="1" applyFont="1" applyAlignment="1">
      <alignment vertical="center"/>
      <protection/>
    </xf>
    <xf numFmtId="10" fontId="44" fillId="0" borderId="131" xfId="137" applyNumberFormat="1" applyFont="1" applyBorder="1" applyAlignment="1">
      <alignment vertical="center"/>
    </xf>
    <xf numFmtId="3" fontId="2" fillId="0" borderId="0" xfId="137" applyNumberFormat="1" applyFont="1" applyBorder="1" applyAlignment="1">
      <alignment vertical="center"/>
    </xf>
    <xf numFmtId="0" fontId="43" fillId="0" borderId="10" xfId="120" applyFont="1" applyBorder="1" applyAlignment="1">
      <alignment wrapText="1"/>
      <protection/>
    </xf>
    <xf numFmtId="3" fontId="43" fillId="0" borderId="0" xfId="120" applyNumberFormat="1" applyFont="1">
      <alignment/>
      <protection/>
    </xf>
    <xf numFmtId="10" fontId="43" fillId="0" borderId="131" xfId="137" applyNumberFormat="1" applyFont="1" applyFill="1" applyBorder="1" applyAlignment="1">
      <alignment/>
    </xf>
    <xf numFmtId="3" fontId="4" fillId="0" borderId="0" xfId="137" applyNumberFormat="1" applyFont="1" applyFill="1" applyBorder="1" applyAlignment="1">
      <alignment/>
    </xf>
    <xf numFmtId="0" fontId="4" fillId="0" borderId="0" xfId="120" applyFont="1">
      <alignment/>
      <protection/>
    </xf>
    <xf numFmtId="10" fontId="44" fillId="0" borderId="131" xfId="137" applyNumberFormat="1" applyFont="1" applyFill="1" applyBorder="1" applyAlignment="1">
      <alignment vertical="center"/>
    </xf>
    <xf numFmtId="3" fontId="2" fillId="0" borderId="0" xfId="137" applyNumberFormat="1" applyFont="1" applyFill="1" applyBorder="1" applyAlignment="1">
      <alignment vertical="center"/>
    </xf>
    <xf numFmtId="0" fontId="4" fillId="0" borderId="15" xfId="120" applyFont="1" applyBorder="1" applyAlignment="1">
      <alignment horizontal="center" vertical="center" wrapText="1"/>
      <protection/>
    </xf>
    <xf numFmtId="3" fontId="4" fillId="0" borderId="16" xfId="120" applyNumberFormat="1" applyFont="1" applyBorder="1" applyAlignment="1">
      <alignment vertical="center"/>
      <protection/>
    </xf>
    <xf numFmtId="10" fontId="4" fillId="0" borderId="151" xfId="137" applyNumberFormat="1" applyFont="1" applyBorder="1" applyAlignment="1">
      <alignment vertical="center"/>
    </xf>
    <xf numFmtId="3" fontId="4" fillId="0" borderId="0" xfId="137" applyNumberFormat="1" applyFont="1" applyBorder="1" applyAlignment="1">
      <alignment vertical="center"/>
    </xf>
    <xf numFmtId="0" fontId="4" fillId="0" borderId="0" xfId="120" applyFont="1" applyAlignment="1">
      <alignment vertical="center"/>
      <protection/>
    </xf>
    <xf numFmtId="0" fontId="2" fillId="0" borderId="0" xfId="120" applyFont="1" applyAlignment="1">
      <alignment wrapText="1"/>
      <protection/>
    </xf>
    <xf numFmtId="3" fontId="2" fillId="0" borderId="0" xfId="120" applyNumberFormat="1" applyFont="1">
      <alignment/>
      <protection/>
    </xf>
    <xf numFmtId="3" fontId="13" fillId="0" borderId="122" xfId="0" applyNumberFormat="1" applyFont="1" applyFill="1" applyBorder="1" applyAlignment="1">
      <alignment/>
    </xf>
    <xf numFmtId="3" fontId="13" fillId="0" borderId="140" xfId="0" applyNumberFormat="1" applyFont="1" applyFill="1" applyBorder="1" applyAlignment="1">
      <alignment horizontal="center" vertical="center"/>
    </xf>
    <xf numFmtId="3" fontId="13" fillId="0" borderId="115" xfId="0" applyNumberFormat="1" applyFont="1" applyFill="1" applyBorder="1" applyAlignment="1">
      <alignment horizontal="center" vertical="center"/>
    </xf>
    <xf numFmtId="3" fontId="84" fillId="0" borderId="140" xfId="0" applyNumberFormat="1" applyFont="1" applyFill="1" applyBorder="1" applyAlignment="1">
      <alignment horizontal="center" vertical="center"/>
    </xf>
    <xf numFmtId="3" fontId="84" fillId="0" borderId="115" xfId="0" applyNumberFormat="1" applyFont="1" applyFill="1" applyBorder="1" applyAlignment="1">
      <alignment horizontal="center" vertical="center"/>
    </xf>
    <xf numFmtId="3" fontId="13" fillId="0" borderId="38" xfId="0" applyNumberFormat="1" applyFont="1" applyFill="1" applyBorder="1" applyAlignment="1">
      <alignment horizontal="right" vertical="center"/>
    </xf>
    <xf numFmtId="3" fontId="84" fillId="0" borderId="114" xfId="0" applyNumberFormat="1" applyFont="1" applyFill="1" applyBorder="1" applyAlignment="1">
      <alignment horizontal="center"/>
    </xf>
    <xf numFmtId="3" fontId="13" fillId="0" borderId="122" xfId="0" applyNumberFormat="1" applyFont="1" applyFill="1" applyBorder="1" applyAlignment="1">
      <alignment horizontal="right" vertical="center"/>
    </xf>
    <xf numFmtId="3" fontId="13" fillId="0" borderId="54" xfId="0" applyNumberFormat="1" applyFont="1" applyFill="1" applyBorder="1" applyAlignment="1">
      <alignment horizontal="right" vertical="center"/>
    </xf>
    <xf numFmtId="3" fontId="13" fillId="0" borderId="39" xfId="0" applyNumberFormat="1" applyFont="1" applyFill="1" applyBorder="1" applyAlignment="1">
      <alignment horizontal="right"/>
    </xf>
    <xf numFmtId="3" fontId="13" fillId="0" borderId="39" xfId="0" applyNumberFormat="1" applyFont="1" applyFill="1" applyBorder="1" applyAlignment="1">
      <alignment horizontal="right" vertical="center"/>
    </xf>
    <xf numFmtId="3" fontId="13" fillId="0" borderId="126" xfId="0" applyNumberFormat="1" applyFont="1" applyFill="1" applyBorder="1" applyAlignment="1">
      <alignment horizontal="right" vertical="center"/>
    </xf>
    <xf numFmtId="3" fontId="4" fillId="0" borderId="0" xfId="119" applyNumberFormat="1" applyFont="1" applyFill="1" applyAlignment="1">
      <alignment horizontal="center"/>
      <protection/>
    </xf>
    <xf numFmtId="3" fontId="4" fillId="0" borderId="0" xfId="119" applyNumberFormat="1" applyFont="1" applyFill="1" applyAlignment="1">
      <alignment horizontal="center" vertical="center"/>
      <protection/>
    </xf>
    <xf numFmtId="3" fontId="10" fillId="0" borderId="133" xfId="126" applyNumberFormat="1" applyFont="1" applyBorder="1" applyAlignment="1" applyProtection="1">
      <alignment horizontal="left"/>
      <protection locked="0"/>
    </xf>
    <xf numFmtId="3" fontId="10" fillId="0" borderId="91" xfId="126" applyNumberFormat="1" applyFont="1" applyBorder="1" applyAlignment="1" applyProtection="1">
      <alignment horizontal="right"/>
      <protection locked="0"/>
    </xf>
    <xf numFmtId="3" fontId="10" fillId="0" borderId="91" xfId="126" applyNumberFormat="1" applyFont="1" applyBorder="1" applyAlignment="1" applyProtection="1">
      <alignment horizontal="left"/>
      <protection locked="0"/>
    </xf>
    <xf numFmtId="3" fontId="10" fillId="0" borderId="91" xfId="126" applyNumberFormat="1" applyFont="1" applyBorder="1" applyAlignment="1" applyProtection="1">
      <alignment horizontal="right" vertical="top"/>
      <protection locked="0"/>
    </xf>
    <xf numFmtId="3" fontId="10" fillId="0" borderId="96" xfId="126" applyNumberFormat="1" applyFont="1" applyBorder="1" applyAlignment="1" applyProtection="1">
      <alignment horizontal="right"/>
      <protection locked="0"/>
    </xf>
    <xf numFmtId="3" fontId="10" fillId="0" borderId="133" xfId="126" applyNumberFormat="1" applyFont="1" applyBorder="1" applyAlignment="1" applyProtection="1">
      <alignment horizontal="right"/>
      <protection locked="0"/>
    </xf>
    <xf numFmtId="3" fontId="10" fillId="0" borderId="20" xfId="126" applyNumberFormat="1" applyFont="1" applyBorder="1" applyAlignment="1" applyProtection="1">
      <alignment horizontal="right"/>
      <protection locked="0"/>
    </xf>
    <xf numFmtId="3" fontId="10" fillId="0" borderId="20" xfId="126" applyNumberFormat="1" applyFont="1" applyBorder="1" applyAlignment="1" applyProtection="1">
      <alignment horizontal="left"/>
      <protection locked="0"/>
    </xf>
    <xf numFmtId="3" fontId="13" fillId="0" borderId="103" xfId="126" applyNumberFormat="1" applyFont="1" applyFill="1" applyBorder="1" applyAlignment="1" applyProtection="1">
      <alignment horizontal="right" vertical="center"/>
      <protection locked="0"/>
    </xf>
    <xf numFmtId="3" fontId="13" fillId="0" borderId="56" xfId="126" applyNumberFormat="1" applyFont="1" applyFill="1" applyBorder="1" applyAlignment="1" applyProtection="1">
      <alignment horizontal="right" vertical="center"/>
      <protection locked="0"/>
    </xf>
    <xf numFmtId="3" fontId="13" fillId="0" borderId="110" xfId="121" applyNumberFormat="1" applyFont="1" applyFill="1" applyBorder="1" applyAlignment="1">
      <alignment horizontal="right" vertical="center" wrapText="1"/>
      <protection/>
    </xf>
    <xf numFmtId="3" fontId="13" fillId="0" borderId="110" xfId="126" applyNumberFormat="1" applyFont="1" applyFill="1" applyBorder="1" applyAlignment="1">
      <alignment horizontal="right" vertical="center"/>
      <protection/>
    </xf>
    <xf numFmtId="3" fontId="13" fillId="0" borderId="20" xfId="121" applyNumberFormat="1" applyFont="1" applyFill="1" applyBorder="1" applyAlignment="1">
      <alignment horizontal="right" wrapText="1"/>
      <protection/>
    </xf>
    <xf numFmtId="3" fontId="4" fillId="0" borderId="23" xfId="121" applyNumberFormat="1" applyFont="1" applyFill="1" applyBorder="1" applyAlignment="1">
      <alignment horizontal="right" vertical="center" wrapText="1"/>
      <protection/>
    </xf>
    <xf numFmtId="3" fontId="4" fillId="0" borderId="128" xfId="121" applyNumberFormat="1" applyFont="1" applyFill="1" applyBorder="1" applyAlignment="1">
      <alignment horizontal="right" vertical="center" wrapText="1"/>
      <protection/>
    </xf>
    <xf numFmtId="3" fontId="13" fillId="0" borderId="112" xfId="124" applyNumberFormat="1" applyFont="1" applyFill="1" applyBorder="1" applyAlignment="1">
      <alignment/>
      <protection/>
    </xf>
    <xf numFmtId="3" fontId="4" fillId="0" borderId="20" xfId="121" applyNumberFormat="1" applyFont="1" applyFill="1" applyBorder="1" applyAlignment="1">
      <alignment horizontal="right" vertical="center" wrapText="1"/>
      <protection/>
    </xf>
    <xf numFmtId="3" fontId="10" fillId="0" borderId="20" xfId="0" applyNumberFormat="1" applyFont="1" applyFill="1" applyBorder="1" applyAlignment="1">
      <alignment horizontal="right" wrapText="1"/>
    </xf>
    <xf numFmtId="3" fontId="13" fillId="0" borderId="20" xfId="119" applyNumberFormat="1" applyFont="1" applyFill="1" applyBorder="1" applyAlignment="1">
      <alignment horizontal="right"/>
      <protection/>
    </xf>
    <xf numFmtId="3" fontId="13" fillId="0" borderId="22" xfId="119" applyNumberFormat="1" applyFont="1" applyFill="1" applyBorder="1" applyAlignment="1">
      <alignment horizontal="right"/>
      <protection/>
    </xf>
    <xf numFmtId="3" fontId="13" fillId="0" borderId="43" xfId="119" applyNumberFormat="1" applyFont="1" applyFill="1" applyBorder="1" applyAlignment="1">
      <alignment horizontal="center"/>
      <protection/>
    </xf>
    <xf numFmtId="3" fontId="13" fillId="0" borderId="91" xfId="119" applyNumberFormat="1" applyFont="1" applyFill="1" applyBorder="1" applyAlignment="1">
      <alignment wrapText="1"/>
      <protection/>
    </xf>
    <xf numFmtId="3" fontId="13" fillId="0" borderId="96" xfId="0" applyNumberFormat="1" applyFont="1" applyFill="1" applyBorder="1" applyAlignment="1">
      <alignment/>
    </xf>
    <xf numFmtId="3" fontId="13" fillId="0" borderId="91" xfId="0" applyNumberFormat="1" applyFont="1" applyFill="1" applyBorder="1" applyAlignment="1">
      <alignment horizontal="right"/>
    </xf>
    <xf numFmtId="0" fontId="84" fillId="0" borderId="112" xfId="121" applyFont="1" applyFill="1" applyBorder="1" applyAlignment="1">
      <alignment horizontal="left"/>
      <protection/>
    </xf>
    <xf numFmtId="3" fontId="4" fillId="0" borderId="114" xfId="121" applyNumberFormat="1" applyFont="1" applyFill="1" applyBorder="1" applyAlignment="1">
      <alignment horizontal="right" wrapText="1"/>
      <protection/>
    </xf>
    <xf numFmtId="3" fontId="13" fillId="0" borderId="38" xfId="124" applyNumberFormat="1" applyFont="1" applyFill="1" applyBorder="1" applyAlignment="1">
      <alignment/>
      <protection/>
    </xf>
    <xf numFmtId="3" fontId="13" fillId="0" borderId="20" xfId="0" applyNumberFormat="1" applyFont="1" applyFill="1" applyBorder="1" applyAlignment="1">
      <alignment horizontal="left" vertical="center"/>
    </xf>
    <xf numFmtId="3" fontId="10" fillId="0" borderId="114" xfId="0" applyNumberFormat="1" applyFont="1" applyFill="1" applyBorder="1" applyAlignment="1">
      <alignment horizontal="center" vertical="center"/>
    </xf>
    <xf numFmtId="3" fontId="2" fillId="0" borderId="80" xfId="122" applyNumberFormat="1" applyFont="1" applyBorder="1" applyAlignment="1">
      <alignment horizontal="center" vertical="center" wrapText="1"/>
      <protection/>
    </xf>
    <xf numFmtId="3" fontId="2" fillId="0" borderId="99" xfId="122" applyNumberFormat="1" applyFont="1" applyBorder="1" applyAlignment="1">
      <alignment horizontal="right" vertical="center" wrapText="1"/>
      <protection/>
    </xf>
    <xf numFmtId="3" fontId="2" fillId="0" borderId="209" xfId="122" applyNumberFormat="1" applyFont="1" applyBorder="1" applyAlignment="1">
      <alignment horizontal="right" vertical="center" wrapText="1"/>
      <protection/>
    </xf>
    <xf numFmtId="3" fontId="2" fillId="0" borderId="38" xfId="122" applyNumberFormat="1" applyFont="1" applyBorder="1" applyAlignment="1">
      <alignment horizontal="center" vertical="center" wrapText="1"/>
      <protection/>
    </xf>
    <xf numFmtId="14" fontId="2" fillId="0" borderId="112" xfId="122" applyNumberFormat="1" applyFont="1" applyBorder="1" applyAlignment="1">
      <alignment horizontal="center" vertical="center" wrapText="1"/>
      <protection/>
    </xf>
    <xf numFmtId="3" fontId="2" fillId="0" borderId="22" xfId="122" applyNumberFormat="1" applyFont="1" applyBorder="1" applyAlignment="1">
      <alignment horizontal="right" vertical="center" wrapText="1"/>
      <protection/>
    </xf>
    <xf numFmtId="3" fontId="2" fillId="0" borderId="21" xfId="122" applyNumberFormat="1" applyFont="1" applyBorder="1" applyAlignment="1">
      <alignment horizontal="right" vertical="center" wrapText="1"/>
      <protection/>
    </xf>
    <xf numFmtId="3" fontId="2" fillId="0" borderId="99" xfId="122" applyNumberFormat="1" applyFont="1" applyBorder="1" applyAlignment="1">
      <alignment horizontal="center" vertical="center" wrapText="1"/>
      <protection/>
    </xf>
    <xf numFmtId="3" fontId="24" fillId="0" borderId="20" xfId="122" applyNumberFormat="1" applyFont="1" applyBorder="1" applyAlignment="1">
      <alignment horizontal="left"/>
      <protection/>
    </xf>
    <xf numFmtId="3" fontId="4" fillId="0" borderId="145" xfId="122" applyNumberFormat="1" applyFont="1" applyBorder="1" applyAlignment="1">
      <alignment horizontal="right" vertical="center"/>
      <protection/>
    </xf>
    <xf numFmtId="3" fontId="4" fillId="0" borderId="120" xfId="122" applyNumberFormat="1" applyFont="1" applyBorder="1" applyAlignment="1">
      <alignment horizontal="right" vertical="center"/>
      <protection/>
    </xf>
    <xf numFmtId="3" fontId="4" fillId="0" borderId="125" xfId="122" applyNumberFormat="1" applyFont="1" applyBorder="1" applyAlignment="1">
      <alignment horizontal="right" vertical="center"/>
      <protection/>
    </xf>
    <xf numFmtId="3" fontId="13" fillId="0" borderId="110" xfId="0" applyNumberFormat="1" applyFont="1" applyFill="1" applyBorder="1" applyAlignment="1">
      <alignment vertical="center"/>
    </xf>
    <xf numFmtId="3" fontId="10" fillId="0" borderId="20" xfId="124" applyNumberFormat="1" applyFont="1" applyFill="1" applyBorder="1" applyAlignment="1">
      <alignment horizontal="left"/>
      <protection/>
    </xf>
    <xf numFmtId="3" fontId="92" fillId="0" borderId="20" xfId="119" applyNumberFormat="1" applyFont="1" applyFill="1" applyBorder="1">
      <alignment/>
      <protection/>
    </xf>
    <xf numFmtId="3" fontId="13" fillId="0" borderId="20" xfId="119" applyNumberFormat="1" applyFont="1" applyFill="1" applyBorder="1">
      <alignment/>
      <protection/>
    </xf>
    <xf numFmtId="3" fontId="10" fillId="0" borderId="142" xfId="126" applyNumberFormat="1" applyFont="1" applyBorder="1" applyAlignment="1" applyProtection="1">
      <alignment/>
      <protection locked="0"/>
    </xf>
    <xf numFmtId="3" fontId="12" fillId="0" borderId="38" xfId="0" applyNumberFormat="1" applyFont="1" applyFill="1" applyBorder="1" applyAlignment="1">
      <alignment vertical="top"/>
    </xf>
    <xf numFmtId="3" fontId="10" fillId="0" borderId="38" xfId="0" applyNumberFormat="1" applyFont="1" applyFill="1" applyBorder="1" applyAlignment="1">
      <alignment horizontal="center"/>
    </xf>
    <xf numFmtId="3" fontId="10" fillId="0" borderId="96" xfId="0" applyNumberFormat="1" applyFont="1" applyFill="1" applyBorder="1" applyAlignment="1">
      <alignment horizontal="center" vertical="center"/>
    </xf>
    <xf numFmtId="3" fontId="10" fillId="0" borderId="91" xfId="124" applyNumberFormat="1" applyFont="1" applyFill="1" applyBorder="1" applyAlignment="1">
      <alignment horizontal="left"/>
      <protection/>
    </xf>
    <xf numFmtId="3" fontId="13" fillId="0" borderId="22" xfId="124" applyNumberFormat="1" applyFont="1" applyFill="1" applyBorder="1" applyAlignment="1">
      <alignment wrapText="1"/>
      <protection/>
    </xf>
    <xf numFmtId="3" fontId="2" fillId="0" borderId="119" xfId="122" applyNumberFormat="1" applyFont="1" applyBorder="1" applyAlignment="1">
      <alignment horizontal="right" vertical="center" wrapText="1"/>
      <protection/>
    </xf>
    <xf numFmtId="3" fontId="24" fillId="0" borderId="96" xfId="122" applyNumberFormat="1" applyFont="1" applyBorder="1" applyAlignment="1">
      <alignment horizontal="left"/>
      <protection/>
    </xf>
    <xf numFmtId="3" fontId="2" fillId="0" borderId="179" xfId="122" applyNumberFormat="1" applyFont="1" applyBorder="1">
      <alignment/>
      <protection/>
    </xf>
    <xf numFmtId="3" fontId="12" fillId="0" borderId="20" xfId="119" applyNumberFormat="1" applyFont="1" applyFill="1" applyBorder="1" applyAlignment="1">
      <alignment horizontal="left" vertical="top" wrapText="1" indent="4"/>
      <protection/>
    </xf>
    <xf numFmtId="3" fontId="12" fillId="0" borderId="96" xfId="121" applyNumberFormat="1" applyFont="1" applyFill="1" applyBorder="1" applyAlignment="1">
      <alignment horizontal="right" vertical="center" wrapText="1"/>
      <protection/>
    </xf>
    <xf numFmtId="3" fontId="2" fillId="0" borderId="179" xfId="126" applyNumberFormat="1" applyFont="1" applyFill="1" applyBorder="1" applyAlignment="1">
      <alignment horizontal="right"/>
      <protection/>
    </xf>
    <xf numFmtId="3" fontId="2" fillId="0" borderId="210" xfId="126" applyNumberFormat="1" applyFont="1" applyFill="1" applyBorder="1" applyAlignment="1">
      <alignment horizontal="right"/>
      <protection/>
    </xf>
    <xf numFmtId="3" fontId="4" fillId="0" borderId="210" xfId="121" applyNumberFormat="1" applyFont="1" applyFill="1" applyBorder="1" applyAlignment="1">
      <alignment horizontal="right" wrapText="1"/>
      <protection/>
    </xf>
    <xf numFmtId="3" fontId="4" fillId="0" borderId="91" xfId="121" applyNumberFormat="1" applyFont="1" applyFill="1" applyBorder="1" applyAlignment="1">
      <alignment horizontal="right" wrapText="1"/>
      <protection/>
    </xf>
    <xf numFmtId="3" fontId="13" fillId="0" borderId="171" xfId="124" applyNumberFormat="1" applyFont="1" applyFill="1" applyBorder="1" applyAlignment="1">
      <alignment/>
      <protection/>
    </xf>
    <xf numFmtId="0" fontId="28" fillId="0" borderId="133" xfId="121" applyFont="1" applyFill="1" applyBorder="1" applyAlignment="1">
      <alignment horizontal="left"/>
      <protection/>
    </xf>
    <xf numFmtId="0" fontId="25" fillId="0" borderId="96" xfId="121" applyFont="1" applyFill="1" applyBorder="1" applyAlignment="1">
      <alignment horizontal="left"/>
      <protection/>
    </xf>
    <xf numFmtId="0" fontId="2" fillId="0" borderId="96" xfId="121" applyFont="1" applyFill="1" applyBorder="1" applyAlignment="1">
      <alignment wrapText="1"/>
      <protection/>
    </xf>
    <xf numFmtId="0" fontId="2" fillId="0" borderId="58" xfId="126" applyFont="1" applyFill="1" applyBorder="1" applyAlignment="1">
      <alignment horizontal="center"/>
      <protection/>
    </xf>
    <xf numFmtId="3" fontId="2" fillId="0" borderId="18" xfId="121" applyNumberFormat="1" applyFont="1" applyFill="1" applyBorder="1" applyAlignment="1">
      <alignment horizontal="right"/>
      <protection/>
    </xf>
    <xf numFmtId="3" fontId="2" fillId="0" borderId="123" xfId="126" applyNumberFormat="1" applyFont="1" applyFill="1" applyBorder="1" applyAlignment="1">
      <alignment horizontal="right"/>
      <protection/>
    </xf>
    <xf numFmtId="3" fontId="2" fillId="0" borderId="110" xfId="126" applyNumberFormat="1" applyFont="1" applyFill="1" applyBorder="1" applyAlignment="1">
      <alignment horizontal="right"/>
      <protection/>
    </xf>
    <xf numFmtId="3" fontId="2" fillId="0" borderId="187" xfId="126" applyNumberFormat="1" applyFont="1" applyFill="1" applyBorder="1" applyAlignment="1">
      <alignment horizontal="right"/>
      <protection/>
    </xf>
    <xf numFmtId="3" fontId="13" fillId="0" borderId="23" xfId="124" applyNumberFormat="1" applyFont="1" applyFill="1" applyBorder="1" applyAlignment="1">
      <alignment horizontal="center" vertical="center"/>
      <protection/>
    </xf>
    <xf numFmtId="0" fontId="2" fillId="0" borderId="117" xfId="126" applyFont="1" applyFill="1" applyBorder="1" applyAlignment="1">
      <alignment horizontal="center"/>
      <protection/>
    </xf>
    <xf numFmtId="3" fontId="5" fillId="0" borderId="38" xfId="126" applyNumberFormat="1" applyFont="1" applyFill="1" applyBorder="1" applyAlignment="1">
      <alignment horizontal="right"/>
      <protection/>
    </xf>
    <xf numFmtId="3" fontId="12" fillId="0" borderId="21" xfId="0" applyNumberFormat="1" applyFont="1" applyFill="1" applyBorder="1" applyAlignment="1">
      <alignment horizontal="right" vertical="center" wrapText="1"/>
    </xf>
    <xf numFmtId="3" fontId="10" fillId="0" borderId="43" xfId="119" applyNumberFormat="1" applyFont="1" applyFill="1" applyBorder="1" applyAlignment="1">
      <alignment horizontal="center" vertical="top"/>
      <protection/>
    </xf>
    <xf numFmtId="3" fontId="13" fillId="0" borderId="137" xfId="121" applyNumberFormat="1" applyFont="1" applyFill="1" applyBorder="1" applyAlignment="1">
      <alignment horizontal="right" vertical="center" wrapText="1"/>
      <protection/>
    </xf>
    <xf numFmtId="3" fontId="13" fillId="0" borderId="102" xfId="121" applyNumberFormat="1" applyFont="1" applyFill="1" applyBorder="1" applyAlignment="1">
      <alignment horizontal="right" vertical="center" wrapText="1"/>
      <protection/>
    </xf>
    <xf numFmtId="0" fontId="10" fillId="0" borderId="118" xfId="126" applyFont="1" applyFill="1" applyBorder="1" applyAlignment="1">
      <alignment horizontal="center" vertical="top"/>
      <protection/>
    </xf>
    <xf numFmtId="3" fontId="13" fillId="0" borderId="118" xfId="126" applyNumberFormat="1" applyFont="1" applyFill="1" applyBorder="1" applyAlignment="1">
      <alignment horizontal="right" vertical="center"/>
      <protection/>
    </xf>
    <xf numFmtId="0" fontId="10" fillId="0" borderId="139" xfId="126" applyFont="1" applyFill="1" applyBorder="1" applyAlignment="1">
      <alignment horizontal="center" vertical="center" wrapText="1"/>
      <protection/>
    </xf>
    <xf numFmtId="0" fontId="2" fillId="0" borderId="112" xfId="121" applyFont="1" applyBorder="1" applyAlignment="1">
      <alignment vertical="center" wrapText="1"/>
      <protection/>
    </xf>
    <xf numFmtId="3" fontId="2" fillId="0" borderId="97" xfId="122" applyNumberFormat="1" applyFont="1" applyBorder="1" applyAlignment="1">
      <alignment horizontal="center" vertical="center" wrapText="1"/>
      <protection/>
    </xf>
    <xf numFmtId="3" fontId="13" fillId="0" borderId="96" xfId="126" applyNumberFormat="1" applyFont="1" applyFill="1" applyBorder="1" applyAlignment="1">
      <alignment horizontal="right" vertical="center"/>
      <protection/>
    </xf>
    <xf numFmtId="3" fontId="12" fillId="0" borderId="96" xfId="126" applyNumberFormat="1" applyFont="1" applyFill="1" applyBorder="1" applyAlignment="1">
      <alignment horizontal="right" vertical="center"/>
      <protection/>
    </xf>
    <xf numFmtId="3" fontId="13" fillId="0" borderId="142" xfId="0" applyNumberFormat="1" applyFont="1" applyFill="1" applyBorder="1" applyAlignment="1">
      <alignment/>
    </xf>
    <xf numFmtId="3" fontId="13" fillId="0" borderId="186" xfId="0" applyNumberFormat="1" applyFont="1" applyFill="1" applyBorder="1" applyAlignment="1">
      <alignment vertical="center"/>
    </xf>
    <xf numFmtId="3" fontId="13" fillId="0" borderId="159" xfId="0" applyNumberFormat="1" applyFont="1" applyFill="1" applyBorder="1" applyAlignment="1">
      <alignment horizontal="right" wrapText="1"/>
    </xf>
    <xf numFmtId="0" fontId="10" fillId="0" borderId="22" xfId="126" applyFont="1" applyFill="1" applyBorder="1" applyAlignment="1">
      <alignment horizontal="center" vertical="top"/>
      <protection/>
    </xf>
    <xf numFmtId="3" fontId="2" fillId="0" borderId="20" xfId="119" applyNumberFormat="1" applyFont="1" applyFill="1" applyBorder="1" applyAlignment="1">
      <alignment vertical="center" wrapText="1"/>
      <protection/>
    </xf>
    <xf numFmtId="3" fontId="2" fillId="0" borderId="21" xfId="122" applyNumberFormat="1" applyFont="1" applyFill="1" applyBorder="1" applyAlignment="1">
      <alignment horizontal="right" vertical="center" wrapText="1"/>
      <protection/>
    </xf>
    <xf numFmtId="3" fontId="2" fillId="0" borderId="20" xfId="122" applyNumberFormat="1" applyFont="1" applyFill="1" applyBorder="1" applyAlignment="1">
      <alignment horizontal="left" vertical="center" wrapText="1"/>
      <protection/>
    </xf>
    <xf numFmtId="3" fontId="2" fillId="0" borderId="43" xfId="122" applyNumberFormat="1" applyFont="1" applyFill="1" applyBorder="1" applyAlignment="1">
      <alignment horizontal="right" vertical="center" wrapText="1"/>
      <protection/>
    </xf>
    <xf numFmtId="3" fontId="2" fillId="0" borderId="20" xfId="122" applyNumberFormat="1" applyFont="1" applyFill="1" applyBorder="1" applyAlignment="1">
      <alignment horizontal="right" vertical="center" wrapText="1"/>
      <protection/>
    </xf>
    <xf numFmtId="3" fontId="2" fillId="0" borderId="57" xfId="122" applyNumberFormat="1" applyFont="1" applyFill="1" applyBorder="1" applyAlignment="1">
      <alignment horizontal="right" vertical="center" wrapText="1"/>
      <protection/>
    </xf>
    <xf numFmtId="3" fontId="2" fillId="0" borderId="91" xfId="122" applyNumberFormat="1" applyFont="1" applyFill="1" applyBorder="1" applyAlignment="1">
      <alignment horizontal="right" vertical="center" wrapText="1"/>
      <protection/>
    </xf>
    <xf numFmtId="14" fontId="2" fillId="0" borderId="110" xfId="122" applyNumberFormat="1" applyFont="1" applyFill="1" applyBorder="1" applyAlignment="1">
      <alignment horizontal="center" vertical="center" wrapText="1"/>
      <protection/>
    </xf>
    <xf numFmtId="3" fontId="10" fillId="0" borderId="176" xfId="126" applyNumberFormat="1" applyFont="1" applyFill="1" applyBorder="1" applyAlignment="1">
      <alignment horizontal="right" vertical="center"/>
      <protection/>
    </xf>
    <xf numFmtId="3" fontId="4" fillId="0" borderId="151" xfId="122" applyNumberFormat="1" applyFont="1" applyBorder="1" applyAlignment="1">
      <alignment horizontal="right" vertical="center"/>
      <protection/>
    </xf>
    <xf numFmtId="3" fontId="12" fillId="0" borderId="96" xfId="124" applyNumberFormat="1" applyFont="1" applyFill="1" applyBorder="1" applyAlignment="1">
      <alignment wrapText="1"/>
      <protection/>
    </xf>
    <xf numFmtId="3" fontId="17" fillId="0" borderId="0" xfId="0" applyNumberFormat="1" applyFont="1" applyFill="1" applyBorder="1" applyAlignment="1">
      <alignment/>
    </xf>
    <xf numFmtId="3" fontId="13" fillId="0" borderId="23" xfId="124" applyNumberFormat="1" applyFont="1" applyFill="1" applyBorder="1" applyAlignment="1">
      <alignment/>
      <protection/>
    </xf>
    <xf numFmtId="14" fontId="2" fillId="0" borderId="128" xfId="122" applyNumberFormat="1" applyFont="1" applyFill="1" applyBorder="1" applyAlignment="1">
      <alignment horizontal="center" vertical="center" wrapText="1"/>
      <protection/>
    </xf>
    <xf numFmtId="3" fontId="2" fillId="0" borderId="0" xfId="122" applyNumberFormat="1" applyFont="1" applyFill="1" applyBorder="1" applyAlignment="1">
      <alignment horizontal="right" vertical="center" wrapText="1"/>
      <protection/>
    </xf>
    <xf numFmtId="3" fontId="2" fillId="0" borderId="23" xfId="122" applyNumberFormat="1" applyFont="1" applyFill="1" applyBorder="1" applyAlignment="1">
      <alignment horizontal="right" vertical="center" wrapText="1"/>
      <protection/>
    </xf>
    <xf numFmtId="3" fontId="4" fillId="0" borderId="38" xfId="121" applyNumberFormat="1" applyFont="1" applyFill="1" applyBorder="1" applyAlignment="1">
      <alignment horizontal="right" wrapText="1"/>
      <protection/>
    </xf>
    <xf numFmtId="3" fontId="4" fillId="0" borderId="102" xfId="121" applyNumberFormat="1" applyFont="1" applyFill="1" applyBorder="1" applyAlignment="1">
      <alignment horizontal="right" wrapText="1"/>
      <protection/>
    </xf>
    <xf numFmtId="0" fontId="2" fillId="0" borderId="23" xfId="126" applyFont="1" applyFill="1" applyBorder="1" applyAlignment="1">
      <alignment wrapText="1"/>
      <protection/>
    </xf>
    <xf numFmtId="0" fontId="2" fillId="0" borderId="20" xfId="126" applyFont="1" applyFill="1" applyBorder="1" applyAlignment="1">
      <alignment wrapText="1"/>
      <protection/>
    </xf>
    <xf numFmtId="0" fontId="2" fillId="0" borderId="20" xfId="121" applyFont="1" applyFill="1" applyBorder="1" applyAlignment="1">
      <alignment shrinkToFit="1"/>
      <protection/>
    </xf>
    <xf numFmtId="0" fontId="10" fillId="0" borderId="22" xfId="126" applyFont="1" applyFill="1" applyBorder="1" applyAlignment="1">
      <alignment horizontal="center"/>
      <protection/>
    </xf>
    <xf numFmtId="3" fontId="2" fillId="0" borderId="140" xfId="122" applyNumberFormat="1" applyFont="1" applyBorder="1" applyAlignment="1">
      <alignment horizontal="center" wrapText="1"/>
      <protection/>
    </xf>
    <xf numFmtId="3" fontId="2" fillId="0" borderId="58" xfId="122" applyNumberFormat="1" applyFont="1" applyBorder="1" applyAlignment="1">
      <alignment horizontal="center" wrapText="1"/>
      <protection/>
    </xf>
    <xf numFmtId="3" fontId="2" fillId="0" borderId="94" xfId="122" applyNumberFormat="1" applyFont="1" applyBorder="1" applyAlignment="1">
      <alignment horizontal="center" wrapText="1"/>
      <protection/>
    </xf>
    <xf numFmtId="3" fontId="12" fillId="0" borderId="0" xfId="0" applyNumberFormat="1" applyFont="1" applyFill="1" applyAlignment="1">
      <alignment horizontal="right"/>
    </xf>
    <xf numFmtId="3" fontId="13" fillId="0" borderId="96" xfId="119" applyNumberFormat="1" applyFont="1" applyFill="1" applyBorder="1" applyAlignment="1">
      <alignment wrapText="1"/>
      <protection/>
    </xf>
    <xf numFmtId="0" fontId="5" fillId="0" borderId="20" xfId="0" applyFont="1" applyFill="1" applyBorder="1" applyAlignment="1">
      <alignment horizontal="left" wrapText="1" indent="2"/>
    </xf>
    <xf numFmtId="3" fontId="13" fillId="0" borderId="20" xfId="126" applyNumberFormat="1" applyFont="1" applyFill="1" applyBorder="1" applyAlignment="1">
      <alignment horizontal="right"/>
      <protection/>
    </xf>
    <xf numFmtId="3" fontId="10" fillId="0" borderId="108" xfId="126" applyNumberFormat="1" applyFont="1" applyFill="1" applyBorder="1" applyAlignment="1">
      <alignment horizontal="right"/>
      <protection/>
    </xf>
    <xf numFmtId="3" fontId="10" fillId="0" borderId="97" xfId="122" applyNumberFormat="1" applyFont="1" applyFill="1" applyBorder="1" applyAlignment="1">
      <alignment horizontal="left" vertical="center" wrapText="1"/>
      <protection/>
    </xf>
    <xf numFmtId="0" fontId="67" fillId="0" borderId="0" xfId="68" applyFont="1" applyFill="1">
      <alignment/>
      <protection/>
    </xf>
    <xf numFmtId="0" fontId="6" fillId="0" borderId="0" xfId="126" applyFont="1" applyFill="1" applyAlignment="1">
      <alignment horizontal="center" vertical="center"/>
      <protection/>
    </xf>
    <xf numFmtId="0" fontId="10" fillId="0" borderId="0" xfId="126" applyFont="1" applyFill="1">
      <alignment/>
      <protection/>
    </xf>
    <xf numFmtId="0" fontId="6" fillId="0" borderId="0" xfId="99" applyFont="1" applyFill="1" applyAlignment="1">
      <alignment horizontal="center" vertical="center"/>
      <protection/>
    </xf>
    <xf numFmtId="0" fontId="2" fillId="0" borderId="0" xfId="99" applyFont="1" applyFill="1">
      <alignment/>
      <protection/>
    </xf>
    <xf numFmtId="0" fontId="2" fillId="0" borderId="0" xfId="126" applyFont="1" applyFill="1">
      <alignment/>
      <protection/>
    </xf>
    <xf numFmtId="0" fontId="10" fillId="0" borderId="0" xfId="126" applyFont="1" applyFill="1" applyAlignment="1">
      <alignment horizontal="center" vertical="center"/>
      <protection/>
    </xf>
    <xf numFmtId="0" fontId="10" fillId="0" borderId="0" xfId="126" applyFont="1" applyFill="1" applyAlignment="1">
      <alignment horizontal="center" vertical="top"/>
      <protection/>
    </xf>
    <xf numFmtId="0" fontId="10" fillId="0" borderId="0" xfId="126" applyFont="1" applyFill="1" applyAlignment="1">
      <alignment wrapText="1"/>
      <protection/>
    </xf>
    <xf numFmtId="3" fontId="10" fillId="0" borderId="0" xfId="126" applyNumberFormat="1" applyFont="1" applyFill="1" applyAlignment="1">
      <alignment horizontal="right"/>
      <protection/>
    </xf>
    <xf numFmtId="3" fontId="10" fillId="0" borderId="0" xfId="126" applyNumberFormat="1" applyFont="1" applyFill="1" applyAlignment="1">
      <alignment horizontal="center" vertical="center" wrapText="1"/>
      <protection/>
    </xf>
    <xf numFmtId="3" fontId="12" fillId="0" borderId="0" xfId="126" applyNumberFormat="1" applyFont="1" applyFill="1" applyAlignment="1">
      <alignment horizontal="right"/>
      <protection/>
    </xf>
    <xf numFmtId="0" fontId="6" fillId="0" borderId="0" xfId="127" applyFont="1" applyFill="1" applyAlignment="1">
      <alignment horizontal="center" vertical="center" wrapText="1"/>
      <protection/>
    </xf>
    <xf numFmtId="3" fontId="6" fillId="0" borderId="0" xfId="127" applyNumberFormat="1" applyFont="1" applyFill="1" applyAlignment="1">
      <alignment horizontal="center" vertical="center"/>
      <protection/>
    </xf>
    <xf numFmtId="3" fontId="6" fillId="0" borderId="0" xfId="126" applyNumberFormat="1" applyFont="1" applyFill="1" applyAlignment="1">
      <alignment horizontal="center" vertical="center"/>
      <protection/>
    </xf>
    <xf numFmtId="3" fontId="12" fillId="0" borderId="110" xfId="121" applyNumberFormat="1" applyFont="1" applyFill="1" applyBorder="1" applyAlignment="1">
      <alignment horizontal="right" vertical="center" wrapText="1"/>
      <protection/>
    </xf>
    <xf numFmtId="0" fontId="10" fillId="0" borderId="94" xfId="126" applyFont="1" applyFill="1" applyBorder="1" applyAlignment="1">
      <alignment horizontal="center" vertical="center"/>
      <protection/>
    </xf>
    <xf numFmtId="3" fontId="10" fillId="0" borderId="112" xfId="126" applyNumberFormat="1" applyFont="1" applyFill="1" applyBorder="1" applyAlignment="1">
      <alignment horizontal="right" vertical="center"/>
      <protection/>
    </xf>
    <xf numFmtId="3" fontId="13" fillId="0" borderId="130" xfId="121" applyNumberFormat="1" applyFont="1" applyFill="1" applyBorder="1" applyAlignment="1">
      <alignment horizontal="right" vertical="center" wrapText="1"/>
      <protection/>
    </xf>
    <xf numFmtId="0" fontId="10" fillId="0" borderId="10" xfId="126" applyFont="1" applyFill="1" applyBorder="1" applyAlignment="1">
      <alignment horizontal="center" vertical="center"/>
      <protection/>
    </xf>
    <xf numFmtId="0" fontId="10" fillId="0" borderId="38" xfId="126" applyFont="1" applyFill="1" applyBorder="1" applyAlignment="1">
      <alignment horizontal="center" vertical="top"/>
      <protection/>
    </xf>
    <xf numFmtId="3" fontId="10" fillId="0" borderId="38" xfId="126" applyNumberFormat="1" applyFont="1" applyFill="1" applyBorder="1" applyAlignment="1">
      <alignment horizontal="right" vertical="center"/>
      <protection/>
    </xf>
    <xf numFmtId="3" fontId="10" fillId="0" borderId="38" xfId="121" applyNumberFormat="1" applyFont="1" applyFill="1" applyBorder="1" applyAlignment="1">
      <alignment horizontal="right" vertical="center"/>
      <protection/>
    </xf>
    <xf numFmtId="0" fontId="10" fillId="0" borderId="137" xfId="126" applyFont="1" applyFill="1" applyBorder="1" applyAlignment="1">
      <alignment horizontal="center" vertical="center" wrapText="1"/>
      <protection/>
    </xf>
    <xf numFmtId="3" fontId="10" fillId="0" borderId="133" xfId="121" applyNumberFormat="1" applyFont="1" applyFill="1" applyBorder="1" applyAlignment="1">
      <alignment horizontal="right" vertical="center" wrapText="1"/>
      <protection/>
    </xf>
    <xf numFmtId="3" fontId="10" fillId="0" borderId="173" xfId="126" applyNumberFormat="1" applyFont="1" applyFill="1" applyBorder="1" applyAlignment="1">
      <alignment horizontal="right" vertical="center"/>
      <protection/>
    </xf>
    <xf numFmtId="3" fontId="10" fillId="0" borderId="179" xfId="126" applyNumberFormat="1" applyFont="1" applyFill="1" applyBorder="1" applyAlignment="1">
      <alignment horizontal="right" vertical="center"/>
      <protection/>
    </xf>
    <xf numFmtId="0" fontId="10" fillId="0" borderId="112" xfId="126" applyFont="1" applyFill="1" applyBorder="1" applyAlignment="1">
      <alignment horizontal="center" vertical="center" wrapText="1"/>
      <protection/>
    </xf>
    <xf numFmtId="3" fontId="13" fillId="0" borderId="179" xfId="121" applyNumberFormat="1" applyFont="1" applyFill="1" applyBorder="1" applyAlignment="1">
      <alignment horizontal="right" vertical="center" wrapText="1"/>
      <protection/>
    </xf>
    <xf numFmtId="0" fontId="10" fillId="0" borderId="23" xfId="126" applyFont="1" applyFill="1" applyBorder="1" applyAlignment="1">
      <alignment horizontal="center" vertical="top"/>
      <protection/>
    </xf>
    <xf numFmtId="3" fontId="24" fillId="0" borderId="23" xfId="124" applyNumberFormat="1" applyFont="1" applyFill="1" applyBorder="1" applyAlignment="1" applyProtection="1">
      <alignment horizontal="left"/>
      <protection locked="0"/>
    </xf>
    <xf numFmtId="0" fontId="10" fillId="0" borderId="23" xfId="126" applyFont="1" applyFill="1" applyBorder="1" applyAlignment="1">
      <alignment horizontal="center"/>
      <protection/>
    </xf>
    <xf numFmtId="0" fontId="41" fillId="0" borderId="23" xfId="126" applyFont="1" applyFill="1" applyBorder="1" applyAlignment="1">
      <alignment wrapText="1"/>
      <protection/>
    </xf>
    <xf numFmtId="0" fontId="23" fillId="0" borderId="23" xfId="126" applyFont="1" applyFill="1" applyBorder="1" applyAlignment="1" applyProtection="1">
      <alignment horizontal="left" wrapText="1"/>
      <protection locked="0"/>
    </xf>
    <xf numFmtId="3" fontId="13" fillId="0" borderId="44" xfId="121" applyNumberFormat="1" applyFont="1" applyFill="1" applyBorder="1" applyAlignment="1">
      <alignment horizontal="right" vertical="center" wrapText="1"/>
      <protection/>
    </xf>
    <xf numFmtId="3" fontId="13" fillId="0" borderId="36" xfId="121" applyNumberFormat="1" applyFont="1" applyFill="1" applyBorder="1" applyAlignment="1">
      <alignment horizontal="right" vertical="center" wrapText="1"/>
      <protection/>
    </xf>
    <xf numFmtId="3" fontId="13" fillId="0" borderId="109" xfId="121" applyNumberFormat="1" applyFont="1" applyFill="1" applyBorder="1" applyAlignment="1">
      <alignment horizontal="right" vertical="center" wrapText="1"/>
      <protection/>
    </xf>
    <xf numFmtId="3" fontId="13" fillId="0" borderId="211" xfId="121" applyNumberFormat="1" applyFont="1" applyFill="1" applyBorder="1" applyAlignment="1">
      <alignment horizontal="right" vertical="center" wrapText="1"/>
      <protection/>
    </xf>
    <xf numFmtId="3" fontId="13" fillId="0" borderId="19" xfId="121" applyNumberFormat="1" applyFont="1" applyFill="1" applyBorder="1" applyAlignment="1">
      <alignment horizontal="center" vertical="center" wrapText="1"/>
      <protection/>
    </xf>
    <xf numFmtId="3" fontId="13" fillId="0" borderId="20" xfId="121" applyNumberFormat="1" applyFont="1" applyFill="1" applyBorder="1" applyAlignment="1">
      <alignment horizontal="center" vertical="center" wrapText="1"/>
      <protection/>
    </xf>
    <xf numFmtId="3" fontId="13" fillId="0" borderId="43" xfId="121" applyNumberFormat="1" applyFont="1" applyFill="1" applyBorder="1" applyAlignment="1">
      <alignment horizontal="right" vertical="center" wrapText="1"/>
      <protection/>
    </xf>
    <xf numFmtId="3" fontId="84" fillId="0" borderId="20" xfId="121" applyNumberFormat="1" applyFont="1" applyFill="1" applyBorder="1" applyAlignment="1">
      <alignment horizontal="right" vertical="center" wrapText="1"/>
      <protection/>
    </xf>
    <xf numFmtId="3" fontId="84" fillId="0" borderId="110" xfId="121" applyNumberFormat="1" applyFont="1" applyFill="1" applyBorder="1" applyAlignment="1">
      <alignment horizontal="right" vertical="center" wrapText="1"/>
      <protection/>
    </xf>
    <xf numFmtId="3" fontId="13" fillId="0" borderId="142" xfId="121" applyNumberFormat="1" applyFont="1" applyFill="1" applyBorder="1" applyAlignment="1">
      <alignment horizontal="right" vertical="center" wrapText="1"/>
      <protection/>
    </xf>
    <xf numFmtId="3" fontId="13" fillId="0" borderId="117" xfId="121" applyNumberFormat="1" applyFont="1" applyFill="1" applyBorder="1" applyAlignment="1">
      <alignment horizontal="center" vertical="center" wrapText="1"/>
      <protection/>
    </xf>
    <xf numFmtId="3" fontId="13" fillId="0" borderId="118" xfId="121" applyNumberFormat="1" applyFont="1" applyFill="1" applyBorder="1" applyAlignment="1">
      <alignment horizontal="center" vertical="center" wrapText="1"/>
      <protection/>
    </xf>
    <xf numFmtId="3" fontId="13" fillId="0" borderId="139" xfId="121" applyNumberFormat="1" applyFont="1" applyFill="1" applyBorder="1" applyAlignment="1">
      <alignment horizontal="right" vertical="center" wrapText="1"/>
      <protection/>
    </xf>
    <xf numFmtId="3" fontId="13" fillId="0" borderId="118" xfId="121" applyNumberFormat="1" applyFont="1" applyFill="1" applyBorder="1" applyAlignment="1">
      <alignment horizontal="right" vertical="center" wrapText="1"/>
      <protection/>
    </xf>
    <xf numFmtId="3" fontId="13" fillId="0" borderId="180" xfId="121" applyNumberFormat="1" applyFont="1" applyFill="1" applyBorder="1" applyAlignment="1">
      <alignment horizontal="right" vertical="center" wrapText="1"/>
      <protection/>
    </xf>
    <xf numFmtId="3" fontId="13" fillId="0" borderId="181" xfId="121" applyNumberFormat="1" applyFont="1" applyFill="1" applyBorder="1" applyAlignment="1">
      <alignment horizontal="right" vertical="center" wrapText="1"/>
      <protection/>
    </xf>
    <xf numFmtId="3" fontId="10" fillId="0" borderId="0" xfId="99" applyNumberFormat="1" applyFont="1" applyFill="1" applyAlignment="1">
      <alignment horizontal="left" vertical="top"/>
      <protection/>
    </xf>
    <xf numFmtId="3" fontId="10" fillId="0" borderId="0" xfId="127" applyNumberFormat="1" applyFont="1" applyFill="1" applyAlignment="1">
      <alignment horizontal="right"/>
      <protection/>
    </xf>
    <xf numFmtId="3" fontId="10" fillId="0" borderId="0" xfId="127" applyNumberFormat="1" applyFont="1" applyFill="1" applyAlignment="1">
      <alignment horizontal="right" wrapText="1"/>
      <protection/>
    </xf>
    <xf numFmtId="3" fontId="10" fillId="0" borderId="0" xfId="99" applyNumberFormat="1" applyFont="1" applyFill="1" applyAlignment="1">
      <alignment horizontal="center" vertical="center"/>
      <protection/>
    </xf>
    <xf numFmtId="3" fontId="10" fillId="0" borderId="0" xfId="126" applyNumberFormat="1" applyFont="1" applyFill="1" applyAlignment="1">
      <alignment horizontal="right" vertical="center"/>
      <protection/>
    </xf>
    <xf numFmtId="3" fontId="10" fillId="0" borderId="0" xfId="99" applyNumberFormat="1" applyFont="1" applyFill="1" applyAlignment="1">
      <alignment horizontal="right"/>
      <protection/>
    </xf>
    <xf numFmtId="3" fontId="4" fillId="0" borderId="97" xfId="126" applyNumberFormat="1" applyFont="1" applyFill="1" applyBorder="1" applyAlignment="1">
      <alignment horizontal="right"/>
      <protection/>
    </xf>
    <xf numFmtId="0" fontId="2" fillId="0" borderId="201" xfId="126" applyFont="1" applyFill="1" applyBorder="1" applyAlignment="1">
      <alignment horizontal="center"/>
      <protection/>
    </xf>
    <xf numFmtId="3" fontId="13" fillId="0" borderId="115" xfId="124" applyNumberFormat="1" applyFont="1" applyFill="1" applyBorder="1" applyAlignment="1">
      <alignment horizontal="left" wrapText="1"/>
      <protection/>
    </xf>
    <xf numFmtId="3" fontId="13" fillId="0" borderId="112" xfId="124" applyNumberFormat="1" applyFont="1" applyFill="1" applyBorder="1" applyAlignment="1">
      <alignment horizontal="left" wrapText="1"/>
      <protection/>
    </xf>
    <xf numFmtId="3" fontId="10" fillId="0" borderId="20" xfId="126" applyNumberFormat="1" applyFont="1" applyBorder="1" applyProtection="1">
      <alignment/>
      <protection locked="0"/>
    </xf>
    <xf numFmtId="3" fontId="2" fillId="0" borderId="0" xfId="0" applyNumberFormat="1" applyFont="1" applyAlignment="1">
      <alignment/>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xf>
    <xf numFmtId="0" fontId="4"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3" fontId="12" fillId="0" borderId="28" xfId="0" applyNumberFormat="1" applyFont="1" applyFill="1" applyBorder="1" applyAlignment="1">
      <alignment horizontal="right" vertical="top" wrapText="1"/>
    </xf>
    <xf numFmtId="3" fontId="12" fillId="0" borderId="96" xfId="119" applyNumberFormat="1" applyFont="1" applyFill="1" applyBorder="1" applyAlignment="1">
      <alignment horizontal="right" vertical="top"/>
      <protection/>
    </xf>
    <xf numFmtId="3" fontId="12" fillId="0" borderId="20" xfId="126" applyNumberFormat="1" applyFont="1" applyBorder="1" applyAlignment="1" applyProtection="1">
      <alignment/>
      <protection locked="0"/>
    </xf>
    <xf numFmtId="0" fontId="2" fillId="0" borderId="0" xfId="0" applyFont="1" applyAlignment="1">
      <alignment horizontal="center" vertical="center"/>
    </xf>
    <xf numFmtId="0" fontId="4" fillId="0" borderId="0" xfId="0" applyFont="1" applyAlignment="1">
      <alignment horizontal="center" vertical="center"/>
    </xf>
    <xf numFmtId="3" fontId="12" fillId="0" borderId="38" xfId="0" applyNumberFormat="1" applyFont="1" applyFill="1" applyBorder="1" applyAlignment="1">
      <alignment/>
    </xf>
    <xf numFmtId="14" fontId="2" fillId="0" borderId="177" xfId="122" applyNumberFormat="1" applyFont="1" applyBorder="1" applyAlignment="1">
      <alignment horizontal="center" vertical="center" wrapText="1"/>
      <protection/>
    </xf>
    <xf numFmtId="4" fontId="2" fillId="0" borderId="0" xfId="0" applyNumberFormat="1" applyFont="1" applyAlignment="1">
      <alignment horizontal="left" vertical="center"/>
    </xf>
    <xf numFmtId="4" fontId="2" fillId="0" borderId="0" xfId="0" applyNumberFormat="1" applyFont="1" applyAlignment="1">
      <alignment vertical="center"/>
    </xf>
    <xf numFmtId="4" fontId="2" fillId="0" borderId="0" xfId="0" applyNumberFormat="1" applyFont="1" applyAlignment="1">
      <alignment horizontal="center" vertical="center"/>
    </xf>
    <xf numFmtId="0" fontId="6" fillId="0" borderId="0" xfId="0" applyFont="1" applyAlignment="1">
      <alignment horizontal="center" vertical="center" wrapText="1"/>
    </xf>
    <xf numFmtId="4" fontId="6" fillId="0" borderId="0" xfId="0" applyNumberFormat="1" applyFont="1" applyAlignment="1">
      <alignment horizontal="center" vertical="center"/>
    </xf>
    <xf numFmtId="0" fontId="6" fillId="0" borderId="0" xfId="0" applyFont="1" applyAlignment="1">
      <alignment vertical="center"/>
    </xf>
    <xf numFmtId="0" fontId="10" fillId="0" borderId="212" xfId="0" applyFont="1" applyBorder="1" applyAlignment="1">
      <alignment horizontal="center" vertical="center" textRotation="90"/>
    </xf>
    <xf numFmtId="0" fontId="2" fillId="0" borderId="213" xfId="0" applyFont="1" applyBorder="1" applyAlignment="1">
      <alignment horizontal="center" vertical="center" wrapText="1"/>
    </xf>
    <xf numFmtId="4" fontId="2" fillId="0" borderId="213" xfId="0" applyNumberFormat="1" applyFont="1" applyBorder="1" applyAlignment="1">
      <alignment horizontal="center" vertical="center" wrapText="1"/>
    </xf>
    <xf numFmtId="4" fontId="2" fillId="0" borderId="214" xfId="0" applyNumberFormat="1" applyFont="1" applyBorder="1" applyAlignment="1">
      <alignment horizontal="center" vertical="center"/>
    </xf>
    <xf numFmtId="0" fontId="2" fillId="0" borderId="10" xfId="0" applyFont="1" applyBorder="1" applyAlignment="1">
      <alignment horizontal="center" vertical="top"/>
    </xf>
    <xf numFmtId="165" fontId="2" fillId="0" borderId="0" xfId="0" applyNumberFormat="1" applyFont="1" applyAlignment="1">
      <alignment horizontal="left" vertical="top" wrapText="1"/>
    </xf>
    <xf numFmtId="4" fontId="2" fillId="0" borderId="0" xfId="0" applyNumberFormat="1" applyFont="1" applyAlignment="1">
      <alignment/>
    </xf>
    <xf numFmtId="4" fontId="6" fillId="0" borderId="131" xfId="0" applyNumberFormat="1" applyFont="1" applyBorder="1" applyAlignment="1">
      <alignment horizontal="center"/>
    </xf>
    <xf numFmtId="0" fontId="83" fillId="0" borderId="10" xfId="0" applyFont="1" applyBorder="1" applyAlignment="1">
      <alignment horizontal="center" vertical="top"/>
    </xf>
    <xf numFmtId="165" fontId="5" fillId="0" borderId="0" xfId="0" applyNumberFormat="1" applyFont="1" applyAlignment="1">
      <alignment horizontal="left" vertical="top" wrapText="1" indent="2"/>
    </xf>
    <xf numFmtId="4" fontId="2" fillId="0" borderId="0" xfId="0" applyNumberFormat="1" applyFont="1" applyAlignment="1">
      <alignment vertical="top"/>
    </xf>
    <xf numFmtId="4" fontId="6" fillId="0" borderId="131" xfId="0" applyNumberFormat="1" applyFont="1" applyBorder="1" applyAlignment="1">
      <alignment horizontal="center" vertical="top"/>
    </xf>
    <xf numFmtId="0" fontId="2" fillId="0" borderId="0" xfId="0" applyFont="1" applyAlignment="1">
      <alignment vertical="top" wrapText="1"/>
    </xf>
    <xf numFmtId="49" fontId="6" fillId="0" borderId="131" xfId="0" applyNumberFormat="1" applyFont="1" applyBorder="1" applyAlignment="1">
      <alignment horizontal="center" wrapText="1"/>
    </xf>
    <xf numFmtId="165" fontId="2" fillId="0" borderId="0" xfId="124" applyNumberFormat="1" applyFont="1" applyAlignment="1">
      <alignment vertical="top" wrapText="1"/>
      <protection/>
    </xf>
    <xf numFmtId="4" fontId="6" fillId="0" borderId="131" xfId="0" applyNumberFormat="1" applyFont="1" applyBorder="1" applyAlignment="1">
      <alignment horizontal="center" vertical="center"/>
    </xf>
    <xf numFmtId="0" fontId="2" fillId="0" borderId="10" xfId="0" applyFont="1" applyBorder="1" applyAlignment="1">
      <alignment horizontal="center"/>
    </xf>
    <xf numFmtId="165" fontId="2" fillId="0" borderId="0" xfId="124" applyNumberFormat="1" applyFont="1" applyAlignment="1">
      <alignment wrapText="1"/>
      <protection/>
    </xf>
    <xf numFmtId="4" fontId="6" fillId="0" borderId="131" xfId="0" applyNumberFormat="1" applyFont="1" applyBorder="1" applyAlignment="1">
      <alignment horizontal="center" vertical="center" wrapText="1"/>
    </xf>
    <xf numFmtId="165" fontId="2" fillId="0" borderId="0" xfId="0" applyNumberFormat="1" applyFont="1" applyAlignment="1">
      <alignment horizontal="left" wrapText="1"/>
    </xf>
    <xf numFmtId="4" fontId="6" fillId="0" borderId="131" xfId="0" applyNumberFormat="1" applyFont="1" applyBorder="1" applyAlignment="1">
      <alignment horizontal="center" vertical="top" wrapText="1"/>
    </xf>
    <xf numFmtId="4" fontId="6" fillId="0" borderId="131" xfId="0" applyNumberFormat="1" applyFont="1" applyBorder="1" applyAlignment="1">
      <alignment horizontal="center" wrapText="1"/>
    </xf>
    <xf numFmtId="0" fontId="2" fillId="0" borderId="215" xfId="0" applyFont="1" applyBorder="1" applyAlignment="1">
      <alignment horizontal="center"/>
    </xf>
    <xf numFmtId="165" fontId="2" fillId="0" borderId="154" xfId="124" applyNumberFormat="1" applyFont="1" applyBorder="1" applyAlignment="1">
      <alignment wrapText="1"/>
      <protection/>
    </xf>
    <xf numFmtId="4" fontId="2" fillId="0" borderId="154" xfId="0" applyNumberFormat="1" applyFont="1" applyBorder="1" applyAlignment="1">
      <alignment vertical="center"/>
    </xf>
    <xf numFmtId="4" fontId="6" fillId="0" borderId="216" xfId="0" applyNumberFormat="1" applyFont="1" applyBorder="1" applyAlignment="1">
      <alignment horizontal="center" vertical="center"/>
    </xf>
    <xf numFmtId="0" fontId="2" fillId="0" borderId="80" xfId="0" applyFont="1" applyBorder="1" applyAlignment="1">
      <alignment horizontal="center" vertical="center"/>
    </xf>
    <xf numFmtId="165" fontId="4" fillId="0" borderId="54" xfId="0" applyNumberFormat="1" applyFont="1" applyBorder="1" applyAlignment="1">
      <alignment vertical="center" wrapText="1"/>
    </xf>
    <xf numFmtId="4" fontId="4" fillId="0" borderId="54" xfId="0" applyNumberFormat="1" applyFont="1" applyBorder="1" applyAlignment="1">
      <alignment vertical="center"/>
    </xf>
    <xf numFmtId="4" fontId="11" fillId="0" borderId="126" xfId="0" applyNumberFormat="1" applyFont="1" applyBorder="1" applyAlignment="1">
      <alignment horizontal="center" vertical="center"/>
    </xf>
    <xf numFmtId="0" fontId="2" fillId="0" borderId="10" xfId="0" applyFont="1" applyBorder="1" applyAlignment="1">
      <alignment horizontal="center" vertical="center"/>
    </xf>
    <xf numFmtId="165" fontId="5" fillId="0" borderId="0" xfId="0" applyNumberFormat="1" applyFont="1" applyAlignment="1">
      <alignment horizontal="left" vertical="center" wrapText="1" indent="2"/>
    </xf>
    <xf numFmtId="0" fontId="2" fillId="0" borderId="217" xfId="0" applyFont="1" applyBorder="1" applyAlignment="1">
      <alignment horizontal="center" vertical="center"/>
    </xf>
    <xf numFmtId="165" fontId="4" fillId="0" borderId="90" xfId="0" applyNumberFormat="1" applyFont="1" applyBorder="1" applyAlignment="1">
      <alignment vertical="center" wrapText="1"/>
    </xf>
    <xf numFmtId="4" fontId="4" fillId="0" borderId="90" xfId="0" applyNumberFormat="1" applyFont="1" applyBorder="1" applyAlignment="1">
      <alignment vertical="center"/>
    </xf>
    <xf numFmtId="4" fontId="11" fillId="0" borderId="218" xfId="0" applyNumberFormat="1" applyFont="1" applyBorder="1" applyAlignment="1">
      <alignment horizontal="center" vertical="center"/>
    </xf>
    <xf numFmtId="165" fontId="5" fillId="0" borderId="0" xfId="0" applyNumberFormat="1" applyFont="1" applyAlignment="1">
      <alignment horizontal="left" vertical="center" wrapText="1" indent="3"/>
    </xf>
    <xf numFmtId="165" fontId="5" fillId="0" borderId="54" xfId="0" applyNumberFormat="1" applyFont="1" applyBorder="1" applyAlignment="1">
      <alignment horizontal="left" vertical="center" wrapText="1" indent="3"/>
    </xf>
    <xf numFmtId="4" fontId="2" fillId="0" borderId="54" xfId="0" applyNumberFormat="1" applyFont="1" applyBorder="1" applyAlignment="1">
      <alignment vertical="center"/>
    </xf>
    <xf numFmtId="4" fontId="6" fillId="0" borderId="126" xfId="0" applyNumberFormat="1" applyFont="1" applyBorder="1" applyAlignment="1">
      <alignment horizontal="center" vertical="center"/>
    </xf>
    <xf numFmtId="0" fontId="2" fillId="0" borderId="0" xfId="0" applyFont="1" applyAlignment="1">
      <alignment horizontal="center" vertical="center" wrapText="1"/>
    </xf>
    <xf numFmtId="0" fontId="11" fillId="0" borderId="0" xfId="0" applyFont="1" applyAlignment="1">
      <alignment horizontal="center"/>
    </xf>
    <xf numFmtId="4" fontId="4" fillId="0" borderId="0" xfId="0" applyNumberFormat="1" applyFont="1" applyAlignment="1">
      <alignment vertical="center"/>
    </xf>
    <xf numFmtId="4" fontId="11" fillId="0" borderId="0" xfId="0" applyNumberFormat="1" applyFont="1" applyAlignment="1">
      <alignment horizontal="center" vertical="center"/>
    </xf>
    <xf numFmtId="4" fontId="2" fillId="0" borderId="0" xfId="0" applyNumberFormat="1" applyFont="1" applyAlignment="1">
      <alignment horizontal="right" vertical="center"/>
    </xf>
    <xf numFmtId="3" fontId="4" fillId="0" borderId="203" xfId="121" applyNumberFormat="1" applyFont="1" applyFill="1" applyBorder="1" applyAlignment="1">
      <alignment horizontal="right" wrapText="1"/>
      <protection/>
    </xf>
    <xf numFmtId="49" fontId="10" fillId="0" borderId="35" xfId="127" applyNumberFormat="1" applyFont="1" applyFill="1" applyBorder="1" applyAlignment="1" applyProtection="1">
      <alignment horizontal="center" vertical="center"/>
      <protection locked="0"/>
    </xf>
    <xf numFmtId="0" fontId="13" fillId="0" borderId="36" xfId="127" applyFont="1" applyFill="1" applyBorder="1" applyAlignment="1" applyProtection="1">
      <alignment horizontal="center" vertical="center"/>
      <protection locked="0"/>
    </xf>
    <xf numFmtId="0" fontId="45" fillId="0" borderId="36" xfId="127" applyFont="1" applyFill="1" applyBorder="1" applyAlignment="1" applyProtection="1">
      <alignment horizontal="left" vertical="center"/>
      <protection locked="0"/>
    </xf>
    <xf numFmtId="3" fontId="13" fillId="0" borderId="36" xfId="127" applyNumberFormat="1" applyFont="1" applyFill="1" applyBorder="1" applyAlignment="1" applyProtection="1">
      <alignment vertical="center"/>
      <protection locked="0"/>
    </xf>
    <xf numFmtId="3" fontId="13" fillId="0" borderId="36" xfId="126" applyNumberFormat="1" applyFont="1" applyFill="1" applyBorder="1" applyAlignment="1" applyProtection="1">
      <alignment vertical="center"/>
      <protection locked="0"/>
    </xf>
    <xf numFmtId="3" fontId="13" fillId="0" borderId="36" xfId="126" applyNumberFormat="1" applyFont="1" applyFill="1" applyBorder="1" applyAlignment="1" applyProtection="1">
      <alignment horizontal="right" vertical="center"/>
      <protection locked="0"/>
    </xf>
    <xf numFmtId="3" fontId="16" fillId="0" borderId="36" xfId="126" applyNumberFormat="1" applyFont="1" applyFill="1" applyBorder="1" applyAlignment="1" applyProtection="1">
      <alignment horizontal="right" vertical="center"/>
      <protection locked="0"/>
    </xf>
    <xf numFmtId="3" fontId="13" fillId="0" borderId="37" xfId="126" applyNumberFormat="1" applyFont="1" applyFill="1" applyBorder="1" applyAlignment="1" applyProtection="1">
      <alignment horizontal="right" vertical="center"/>
      <protection locked="0"/>
    </xf>
    <xf numFmtId="0" fontId="13" fillId="0" borderId="19" xfId="127" applyFont="1" applyFill="1" applyBorder="1" applyAlignment="1" applyProtection="1">
      <alignment horizontal="center" vertical="center"/>
      <protection locked="0"/>
    </xf>
    <xf numFmtId="0" fontId="13" fillId="0" borderId="20" xfId="127" applyFont="1" applyFill="1" applyBorder="1" applyAlignment="1" applyProtection="1">
      <alignment horizontal="center"/>
      <protection locked="0"/>
    </xf>
    <xf numFmtId="3" fontId="23" fillId="0" borderId="20" xfId="0" applyNumberFormat="1" applyFont="1" applyBorder="1" applyAlignment="1" applyProtection="1">
      <alignment horizontal="left"/>
      <protection locked="0"/>
    </xf>
    <xf numFmtId="0" fontId="13" fillId="0" borderId="20" xfId="127" applyFont="1" applyFill="1" applyBorder="1" applyAlignment="1" applyProtection="1">
      <alignment horizontal="center" vertical="center"/>
      <protection locked="0"/>
    </xf>
    <xf numFmtId="3" fontId="13" fillId="0" borderId="20" xfId="127" applyNumberFormat="1" applyFont="1" applyFill="1" applyBorder="1" applyAlignment="1" applyProtection="1">
      <alignment vertical="center"/>
      <protection locked="0"/>
    </xf>
    <xf numFmtId="3" fontId="13" fillId="0" borderId="20" xfId="126" applyNumberFormat="1" applyFont="1" applyFill="1" applyBorder="1" applyAlignment="1" applyProtection="1">
      <alignment vertical="center"/>
      <protection locked="0"/>
    </xf>
    <xf numFmtId="3" fontId="13" fillId="0" borderId="20" xfId="126" applyNumberFormat="1" applyFont="1" applyFill="1" applyBorder="1" applyAlignment="1" applyProtection="1">
      <alignment horizontal="right" vertical="center"/>
      <protection locked="0"/>
    </xf>
    <xf numFmtId="3" fontId="16" fillId="0" borderId="20" xfId="126" applyNumberFormat="1" applyFont="1" applyFill="1" applyBorder="1" applyAlignment="1" applyProtection="1">
      <alignment horizontal="right" vertical="center"/>
      <protection locked="0"/>
    </xf>
    <xf numFmtId="3" fontId="13" fillId="0" borderId="21" xfId="126" applyNumberFormat="1" applyFont="1" applyFill="1" applyBorder="1" applyAlignment="1" applyProtection="1">
      <alignment horizontal="right" vertical="center"/>
      <protection locked="0"/>
    </xf>
    <xf numFmtId="0" fontId="13" fillId="0" borderId="118" xfId="127" applyFont="1" applyFill="1" applyBorder="1" applyAlignment="1" applyProtection="1">
      <alignment horizontal="center" vertical="center"/>
      <protection locked="0"/>
    </xf>
    <xf numFmtId="3" fontId="13" fillId="0" borderId="118" xfId="127" applyNumberFormat="1" applyFont="1" applyFill="1" applyBorder="1" applyAlignment="1" applyProtection="1">
      <alignment vertical="center"/>
      <protection locked="0"/>
    </xf>
    <xf numFmtId="3" fontId="13" fillId="0" borderId="118" xfId="126" applyNumberFormat="1" applyFont="1" applyFill="1" applyBorder="1" applyAlignment="1" applyProtection="1">
      <alignment vertical="center"/>
      <protection locked="0"/>
    </xf>
    <xf numFmtId="3" fontId="13" fillId="0" borderId="118" xfId="126" applyNumberFormat="1" applyFont="1" applyFill="1" applyBorder="1" applyAlignment="1" applyProtection="1">
      <alignment horizontal="right" vertical="center"/>
      <protection locked="0"/>
    </xf>
    <xf numFmtId="3" fontId="13" fillId="0" borderId="98" xfId="126" applyNumberFormat="1" applyFont="1" applyFill="1" applyBorder="1" applyAlignment="1" applyProtection="1">
      <alignment horizontal="right" vertical="center"/>
      <protection locked="0"/>
    </xf>
    <xf numFmtId="3" fontId="13" fillId="0" borderId="96" xfId="126" applyNumberFormat="1" applyFont="1" applyFill="1" applyBorder="1" applyAlignment="1" applyProtection="1">
      <alignment horizontal="right" vertical="center"/>
      <protection locked="0"/>
    </xf>
    <xf numFmtId="3" fontId="13" fillId="0" borderId="155" xfId="126" applyNumberFormat="1" applyFont="1" applyFill="1" applyBorder="1" applyAlignment="1" applyProtection="1">
      <alignment horizontal="right" vertical="center"/>
      <protection locked="0"/>
    </xf>
    <xf numFmtId="3" fontId="13" fillId="0" borderId="109" xfId="126" applyNumberFormat="1" applyFont="1" applyFill="1" applyBorder="1" applyAlignment="1" applyProtection="1">
      <alignment horizontal="right" vertical="center"/>
      <protection locked="0"/>
    </xf>
    <xf numFmtId="3" fontId="13" fillId="0" borderId="110" xfId="126" applyNumberFormat="1" applyFont="1" applyFill="1" applyBorder="1" applyAlignment="1" applyProtection="1">
      <alignment horizontal="right" vertical="center"/>
      <protection locked="0"/>
    </xf>
    <xf numFmtId="3" fontId="13" fillId="0" borderId="180" xfId="126" applyNumberFormat="1" applyFont="1" applyFill="1" applyBorder="1" applyAlignment="1" applyProtection="1">
      <alignment horizontal="right" vertical="center"/>
      <protection locked="0"/>
    </xf>
    <xf numFmtId="0" fontId="13" fillId="0" borderId="99" xfId="127" applyFont="1" applyFill="1" applyBorder="1" applyAlignment="1" applyProtection="1">
      <alignment horizontal="center" vertical="center"/>
      <protection locked="0"/>
    </xf>
    <xf numFmtId="3" fontId="13" fillId="0" borderId="99" xfId="127" applyNumberFormat="1" applyFont="1" applyFill="1" applyBorder="1" applyAlignment="1" applyProtection="1">
      <alignment vertical="center"/>
      <protection locked="0"/>
    </xf>
    <xf numFmtId="3" fontId="13" fillId="0" borderId="99" xfId="126" applyNumberFormat="1" applyFont="1" applyFill="1" applyBorder="1" applyAlignment="1" applyProtection="1">
      <alignment vertical="center"/>
      <protection locked="0"/>
    </xf>
    <xf numFmtId="3" fontId="13" fillId="0" borderId="219" xfId="126" applyNumberFormat="1" applyFont="1" applyFill="1" applyBorder="1" applyAlignment="1" applyProtection="1">
      <alignment horizontal="right" vertical="center"/>
      <protection locked="0"/>
    </xf>
    <xf numFmtId="3" fontId="13" fillId="0" borderId="220" xfId="126" applyNumberFormat="1" applyFont="1" applyFill="1" applyBorder="1" applyAlignment="1" applyProtection="1">
      <alignment horizontal="right" vertical="center"/>
      <protection locked="0"/>
    </xf>
    <xf numFmtId="3" fontId="13" fillId="0" borderId="99" xfId="126" applyNumberFormat="1" applyFont="1" applyFill="1" applyBorder="1" applyAlignment="1" applyProtection="1">
      <alignment horizontal="right" vertical="center"/>
      <protection locked="0"/>
    </xf>
    <xf numFmtId="0" fontId="13" fillId="0" borderId="117" xfId="127" applyFont="1" applyFill="1" applyBorder="1" applyAlignment="1" applyProtection="1">
      <alignment horizontal="center" vertical="center"/>
      <protection locked="0"/>
    </xf>
    <xf numFmtId="0" fontId="10" fillId="0" borderId="118" xfId="126" applyFont="1" applyBorder="1" applyAlignment="1" applyProtection="1">
      <alignment horizontal="left" vertical="top" wrapText="1"/>
      <protection locked="0"/>
    </xf>
    <xf numFmtId="3" fontId="12" fillId="0" borderId="118" xfId="126" applyNumberFormat="1" applyFont="1" applyFill="1" applyBorder="1" applyAlignment="1" applyProtection="1">
      <alignment horizontal="right" vertical="center"/>
      <protection locked="0"/>
    </xf>
    <xf numFmtId="3" fontId="13" fillId="0" borderId="181" xfId="126" applyNumberFormat="1" applyFont="1" applyBorder="1" applyAlignment="1" applyProtection="1">
      <alignment vertical="center"/>
      <protection locked="0"/>
    </xf>
    <xf numFmtId="0" fontId="4" fillId="0" borderId="20" xfId="121" applyFont="1" applyFill="1" applyBorder="1" applyAlignment="1">
      <alignment vertical="center" wrapText="1"/>
      <protection/>
    </xf>
    <xf numFmtId="3" fontId="10" fillId="0" borderId="119" xfId="126" applyNumberFormat="1" applyFont="1" applyFill="1" applyBorder="1" applyAlignment="1">
      <alignment horizontal="right" vertical="center"/>
      <protection/>
    </xf>
    <xf numFmtId="0" fontId="10" fillId="0" borderId="122" xfId="126" applyFont="1" applyFill="1" applyBorder="1" applyAlignment="1">
      <alignment horizontal="center" vertical="center" wrapText="1"/>
      <protection/>
    </xf>
    <xf numFmtId="3" fontId="13" fillId="0" borderId="38" xfId="126" applyNumberFormat="1" applyFont="1" applyFill="1" applyBorder="1" applyAlignment="1">
      <alignment horizontal="right" vertical="center"/>
      <protection/>
    </xf>
    <xf numFmtId="3" fontId="13" fillId="0" borderId="114" xfId="119" applyNumberFormat="1" applyFont="1" applyFill="1" applyBorder="1" applyAlignment="1">
      <alignment horizontal="right"/>
      <protection/>
    </xf>
    <xf numFmtId="3" fontId="10" fillId="0" borderId="129" xfId="126" applyNumberFormat="1" applyFont="1" applyFill="1" applyBorder="1" applyAlignment="1">
      <alignment horizontal="right" vertical="center"/>
      <protection/>
    </xf>
    <xf numFmtId="0" fontId="10" fillId="0" borderId="158" xfId="126" applyFont="1" applyFill="1" applyBorder="1" applyAlignment="1">
      <alignment horizontal="center" vertical="center"/>
      <protection/>
    </xf>
    <xf numFmtId="3" fontId="10" fillId="0" borderId="174" xfId="126" applyNumberFormat="1" applyFont="1" applyFill="1" applyBorder="1" applyAlignment="1">
      <alignment horizontal="right" vertical="center"/>
      <protection/>
    </xf>
    <xf numFmtId="0" fontId="10" fillId="0" borderId="140" xfId="126" applyFont="1" applyFill="1" applyBorder="1" applyAlignment="1">
      <alignment horizontal="center" vertical="center"/>
      <protection/>
    </xf>
    <xf numFmtId="3" fontId="94" fillId="0" borderId="20" xfId="121" applyNumberFormat="1" applyFont="1" applyFill="1" applyBorder="1" applyAlignment="1">
      <alignment horizontal="right" wrapText="1"/>
      <protection/>
    </xf>
    <xf numFmtId="0" fontId="2" fillId="0" borderId="112" xfId="121" applyFont="1" applyFill="1" applyBorder="1" applyAlignment="1">
      <alignment wrapText="1" shrinkToFit="1"/>
      <protection/>
    </xf>
    <xf numFmtId="3" fontId="2" fillId="0" borderId="221" xfId="126" applyNumberFormat="1" applyFont="1" applyFill="1" applyBorder="1" applyAlignment="1">
      <alignment horizontal="right"/>
      <protection/>
    </xf>
    <xf numFmtId="3" fontId="4" fillId="0" borderId="97" xfId="121" applyNumberFormat="1" applyFont="1" applyFill="1" applyBorder="1" applyAlignment="1">
      <alignment horizontal="right" wrapText="1"/>
      <protection/>
    </xf>
    <xf numFmtId="3" fontId="5" fillId="0" borderId="91" xfId="121" applyNumberFormat="1" applyFont="1" applyFill="1" applyBorder="1" applyAlignment="1">
      <alignment horizontal="right" wrapText="1"/>
      <protection/>
    </xf>
    <xf numFmtId="3" fontId="2" fillId="0" borderId="222" xfId="126" applyNumberFormat="1" applyFont="1" applyFill="1" applyBorder="1" applyAlignment="1">
      <alignment horizontal="right"/>
      <protection/>
    </xf>
    <xf numFmtId="0" fontId="2" fillId="0" borderId="182" xfId="126" applyFont="1" applyFill="1" applyBorder="1" applyAlignment="1">
      <alignment horizontal="center" wrapText="1"/>
      <protection/>
    </xf>
    <xf numFmtId="0" fontId="28" fillId="0" borderId="18" xfId="121" applyFont="1" applyFill="1" applyBorder="1" applyAlignment="1">
      <alignment horizontal="left"/>
      <protection/>
    </xf>
    <xf numFmtId="3" fontId="2" fillId="0" borderId="178" xfId="126" applyNumberFormat="1" applyFont="1" applyFill="1" applyBorder="1" applyAlignment="1">
      <alignment horizontal="right"/>
      <protection/>
    </xf>
    <xf numFmtId="3" fontId="4" fillId="0" borderId="106" xfId="121" applyNumberFormat="1" applyFont="1" applyFill="1" applyBorder="1" applyAlignment="1">
      <alignment horizontal="right" wrapText="1"/>
      <protection/>
    </xf>
    <xf numFmtId="3" fontId="4" fillId="0" borderId="223" xfId="121" applyNumberFormat="1" applyFont="1" applyFill="1" applyBorder="1" applyAlignment="1">
      <alignment horizontal="right" wrapText="1"/>
      <protection/>
    </xf>
    <xf numFmtId="3" fontId="4" fillId="0" borderId="91" xfId="121" applyNumberFormat="1" applyFont="1" applyFill="1" applyBorder="1" applyAlignment="1">
      <alignment horizontal="right" vertical="center" wrapText="1"/>
      <protection/>
    </xf>
    <xf numFmtId="3" fontId="2" fillId="0" borderId="224" xfId="126" applyNumberFormat="1" applyFont="1" applyFill="1" applyBorder="1" applyAlignment="1">
      <alignment horizontal="right"/>
      <protection/>
    </xf>
    <xf numFmtId="0" fontId="2" fillId="0" borderId="139" xfId="126" applyFont="1" applyFill="1" applyBorder="1" applyAlignment="1">
      <alignment horizontal="center" wrapText="1"/>
      <protection/>
    </xf>
    <xf numFmtId="3" fontId="4" fillId="0" borderId="155" xfId="121" applyNumberFormat="1" applyFont="1" applyFill="1" applyBorder="1" applyAlignment="1">
      <alignment horizontal="right" wrapText="1"/>
      <protection/>
    </xf>
    <xf numFmtId="3" fontId="2" fillId="0" borderId="176" xfId="126" applyNumberFormat="1" applyFont="1" applyFill="1" applyBorder="1" applyAlignment="1">
      <alignment horizontal="right"/>
      <protection/>
    </xf>
    <xf numFmtId="3" fontId="10" fillId="0" borderId="91" xfId="126" applyNumberFormat="1" applyFont="1" applyBorder="1" applyProtection="1">
      <alignment/>
      <protection locked="0"/>
    </xf>
    <xf numFmtId="3" fontId="10" fillId="0" borderId="11" xfId="0" applyNumberFormat="1" applyFont="1" applyFill="1" applyBorder="1" applyAlignment="1">
      <alignment horizontal="center" vertical="center" wrapText="1"/>
    </xf>
    <xf numFmtId="3" fontId="10" fillId="0" borderId="96" xfId="124" applyNumberFormat="1" applyFont="1" applyFill="1" applyBorder="1" applyAlignment="1">
      <alignment horizontal="left"/>
      <protection/>
    </xf>
    <xf numFmtId="3" fontId="13" fillId="0" borderId="22" xfId="124" applyNumberFormat="1" applyFont="1" applyFill="1" applyBorder="1" applyAlignment="1">
      <alignment horizontal="left"/>
      <protection/>
    </xf>
    <xf numFmtId="3" fontId="13" fillId="0" borderId="22" xfId="124" applyNumberFormat="1" applyFont="1" applyFill="1" applyBorder="1" applyAlignment="1">
      <alignment horizontal="left" wrapText="1"/>
      <protection/>
    </xf>
    <xf numFmtId="3" fontId="10" fillId="0" borderId="112" xfId="124" applyNumberFormat="1" applyFont="1" applyFill="1" applyBorder="1" applyAlignment="1">
      <alignment horizontal="left" wrapText="1"/>
      <protection/>
    </xf>
    <xf numFmtId="3" fontId="10" fillId="0" borderId="112" xfId="124" applyNumberFormat="1" applyFont="1" applyFill="1" applyBorder="1" applyAlignment="1">
      <alignment horizontal="left"/>
      <protection/>
    </xf>
    <xf numFmtId="3" fontId="2" fillId="0" borderId="0" xfId="126" applyNumberFormat="1" applyFont="1" applyFill="1" applyBorder="1" applyAlignment="1">
      <alignment horizontal="right"/>
      <protection/>
    </xf>
    <xf numFmtId="3" fontId="10" fillId="0" borderId="225" xfId="126" applyNumberFormat="1" applyFont="1" applyFill="1" applyBorder="1" applyAlignment="1">
      <alignment horizontal="center" vertical="center" wrapText="1"/>
      <protection/>
    </xf>
    <xf numFmtId="0" fontId="84" fillId="0" borderId="20" xfId="121" applyFont="1" applyFill="1" applyBorder="1" applyAlignment="1">
      <alignment horizontal="left"/>
      <protection/>
    </xf>
    <xf numFmtId="0" fontId="84" fillId="0" borderId="22" xfId="121" applyFont="1" applyFill="1" applyBorder="1" applyAlignment="1">
      <alignment horizontal="left"/>
      <protection/>
    </xf>
    <xf numFmtId="0" fontId="10" fillId="0" borderId="0" xfId="126" applyFont="1" applyBorder="1" applyAlignment="1" applyProtection="1">
      <alignment horizontal="center"/>
      <protection locked="0"/>
    </xf>
    <xf numFmtId="3" fontId="13" fillId="0" borderId="226" xfId="126" applyNumberFormat="1" applyFont="1" applyFill="1" applyBorder="1" applyAlignment="1" applyProtection="1">
      <alignment horizontal="right" vertical="center"/>
      <protection locked="0"/>
    </xf>
    <xf numFmtId="49" fontId="10" fillId="0" borderId="227" xfId="119" applyNumberFormat="1" applyFont="1" applyFill="1" applyBorder="1" applyAlignment="1" applyProtection="1">
      <alignment horizontal="center" vertical="center"/>
      <protection locked="0"/>
    </xf>
    <xf numFmtId="0" fontId="13" fillId="0" borderId="211" xfId="126" applyFont="1" applyFill="1" applyBorder="1" applyAlignment="1" applyProtection="1">
      <alignment horizontal="center" vertical="center" wrapText="1"/>
      <protection locked="0"/>
    </xf>
    <xf numFmtId="0" fontId="10" fillId="0" borderId="36" xfId="126" applyFont="1" applyFill="1" applyBorder="1" applyAlignment="1" applyProtection="1">
      <alignment horizontal="center" vertical="center" textRotation="90" wrapText="1"/>
      <protection locked="0"/>
    </xf>
    <xf numFmtId="3" fontId="10" fillId="0" borderId="36" xfId="126" applyNumberFormat="1" applyFont="1" applyFill="1" applyBorder="1" applyAlignment="1" applyProtection="1">
      <alignment horizontal="center" vertical="center" wrapText="1"/>
      <protection locked="0"/>
    </xf>
    <xf numFmtId="3" fontId="13" fillId="0" borderId="36" xfId="126" applyNumberFormat="1" applyFont="1" applyFill="1" applyBorder="1" applyAlignment="1" applyProtection="1">
      <alignment horizontal="center" vertical="center" wrapText="1"/>
      <protection locked="0"/>
    </xf>
    <xf numFmtId="0" fontId="12" fillId="0" borderId="36" xfId="126" applyFont="1" applyFill="1" applyBorder="1" applyAlignment="1" applyProtection="1">
      <alignment horizontal="center" vertical="center"/>
      <protection locked="0"/>
    </xf>
    <xf numFmtId="3" fontId="13" fillId="0" borderId="98" xfId="126" applyNumberFormat="1" applyFont="1" applyFill="1" applyBorder="1" applyAlignment="1" applyProtection="1">
      <alignment horizontal="center" vertical="center" wrapText="1"/>
      <protection locked="0"/>
    </xf>
    <xf numFmtId="3" fontId="10" fillId="0" borderId="109" xfId="126" applyNumberFormat="1" applyFont="1" applyFill="1" applyBorder="1" applyAlignment="1" applyProtection="1">
      <alignment horizontal="center" vertical="center" wrapText="1"/>
      <protection locked="0"/>
    </xf>
    <xf numFmtId="3" fontId="16" fillId="0" borderId="142" xfId="0" applyNumberFormat="1" applyFont="1" applyFill="1" applyBorder="1" applyAlignment="1">
      <alignment vertical="center"/>
    </xf>
    <xf numFmtId="3" fontId="10" fillId="0" borderId="115" xfId="126" applyNumberFormat="1" applyFont="1" applyFill="1" applyBorder="1" applyAlignment="1">
      <alignment horizontal="right" vertical="center"/>
      <protection/>
    </xf>
    <xf numFmtId="3" fontId="12" fillId="0" borderId="38" xfId="126" applyNumberFormat="1" applyFont="1" applyFill="1" applyBorder="1" applyAlignment="1">
      <alignment horizontal="right" vertical="center"/>
      <protection/>
    </xf>
    <xf numFmtId="0" fontId="10" fillId="0" borderId="20" xfId="126" applyFont="1" applyFill="1" applyBorder="1" applyAlignment="1">
      <alignment horizontal="center" vertical="center"/>
      <protection/>
    </xf>
    <xf numFmtId="3" fontId="13" fillId="0" borderId="22" xfId="124" applyNumberFormat="1" applyFont="1" applyFill="1" applyBorder="1" applyAlignment="1">
      <alignment horizontal="left"/>
      <protection/>
    </xf>
    <xf numFmtId="3" fontId="10" fillId="0" borderId="96" xfId="124" applyNumberFormat="1" applyFont="1" applyFill="1" applyBorder="1" applyAlignment="1">
      <alignment horizontal="left"/>
      <protection/>
    </xf>
    <xf numFmtId="3" fontId="10" fillId="0" borderId="11" xfId="0" applyNumberFormat="1" applyFont="1" applyFill="1" applyBorder="1" applyAlignment="1">
      <alignment horizontal="center" vertical="center" wrapText="1"/>
    </xf>
    <xf numFmtId="3" fontId="13" fillId="0" borderId="59" xfId="124" applyNumberFormat="1" applyFont="1" applyFill="1" applyBorder="1" applyAlignment="1">
      <alignment horizontal="left"/>
      <protection/>
    </xf>
    <xf numFmtId="0" fontId="84" fillId="0" borderId="20" xfId="121" applyFont="1" applyFill="1" applyBorder="1" applyAlignment="1">
      <alignment horizontal="left"/>
      <protection/>
    </xf>
    <xf numFmtId="0" fontId="84" fillId="0" borderId="97" xfId="121" applyFont="1" applyFill="1" applyBorder="1" applyAlignment="1">
      <alignment horizontal="left"/>
      <protection/>
    </xf>
    <xf numFmtId="0" fontId="84" fillId="0" borderId="221" xfId="121" applyFont="1" applyFill="1" applyBorder="1" applyAlignment="1">
      <alignment horizontal="left"/>
      <protection/>
    </xf>
    <xf numFmtId="3" fontId="16" fillId="0" borderId="99" xfId="126" applyNumberFormat="1" applyFont="1" applyFill="1" applyBorder="1" applyAlignment="1" applyProtection="1">
      <alignment horizontal="right" vertical="center"/>
      <protection locked="0"/>
    </xf>
    <xf numFmtId="3" fontId="44" fillId="0" borderId="0" xfId="120" applyNumberFormat="1" applyFont="1" applyFill="1" applyAlignment="1">
      <alignment vertical="center"/>
      <protection/>
    </xf>
    <xf numFmtId="3" fontId="13" fillId="0" borderId="22" xfId="124" applyNumberFormat="1" applyFont="1" applyFill="1" applyBorder="1" applyAlignment="1">
      <alignment horizontal="left" wrapText="1"/>
      <protection/>
    </xf>
    <xf numFmtId="3" fontId="10" fillId="0" borderId="228" xfId="0" applyNumberFormat="1" applyFont="1" applyFill="1" applyBorder="1" applyAlignment="1">
      <alignment horizontal="center" vertical="center" wrapText="1"/>
    </xf>
    <xf numFmtId="3" fontId="2" fillId="0" borderId="0" xfId="126" applyNumberFormat="1" applyFont="1" applyFill="1" applyBorder="1" applyAlignment="1">
      <alignment horizontal="right"/>
      <protection/>
    </xf>
    <xf numFmtId="0" fontId="2" fillId="0" borderId="23" xfId="126" applyFont="1" applyFill="1" applyBorder="1" applyAlignment="1">
      <alignment horizontal="center" vertical="top"/>
      <protection/>
    </xf>
    <xf numFmtId="3" fontId="12" fillId="0" borderId="23" xfId="124" applyNumberFormat="1" applyFont="1" applyFill="1" applyBorder="1" applyAlignment="1">
      <alignment/>
      <protection/>
    </xf>
    <xf numFmtId="0" fontId="4" fillId="0" borderId="117" xfId="126" applyFont="1" applyFill="1" applyBorder="1" applyAlignment="1">
      <alignment horizontal="center"/>
      <protection/>
    </xf>
    <xf numFmtId="0" fontId="2" fillId="0" borderId="118" xfId="126" applyFont="1" applyFill="1" applyBorder="1" applyAlignment="1">
      <alignment horizontal="center" vertical="top"/>
      <protection/>
    </xf>
    <xf numFmtId="3" fontId="17" fillId="0" borderId="133" xfId="121" applyNumberFormat="1" applyFont="1" applyFill="1" applyBorder="1" applyAlignment="1">
      <alignment horizontal="right" wrapText="1"/>
      <protection/>
    </xf>
    <xf numFmtId="0" fontId="2" fillId="0" borderId="0" xfId="123" applyFont="1" applyAlignment="1">
      <alignment horizontal="center" vertical="top"/>
      <protection/>
    </xf>
    <xf numFmtId="0" fontId="2" fillId="0" borderId="0" xfId="123" applyFont="1" applyAlignment="1">
      <alignment vertical="top"/>
      <protection/>
    </xf>
    <xf numFmtId="0" fontId="2" fillId="0" borderId="0" xfId="66" applyFont="1" applyAlignment="1">
      <alignment vertical="top"/>
      <protection/>
    </xf>
    <xf numFmtId="0" fontId="2" fillId="0" borderId="0" xfId="66" applyFont="1">
      <alignment/>
      <protection/>
    </xf>
    <xf numFmtId="0" fontId="2" fillId="0" borderId="0" xfId="66" applyFont="1" applyAlignment="1">
      <alignment horizontal="left" vertical="center"/>
      <protection/>
    </xf>
    <xf numFmtId="0" fontId="2" fillId="0" borderId="0" xfId="123" applyFont="1">
      <alignment/>
      <protection/>
    </xf>
    <xf numFmtId="0" fontId="2" fillId="0" borderId="0" xfId="123" applyFont="1" applyAlignment="1">
      <alignment vertical="center"/>
      <protection/>
    </xf>
    <xf numFmtId="0" fontId="4" fillId="0" borderId="0" xfId="123" applyFont="1" applyAlignment="1">
      <alignment horizontal="center" vertical="center"/>
      <protection/>
    </xf>
    <xf numFmtId="0" fontId="5" fillId="0" borderId="0" xfId="123" applyFont="1" applyAlignment="1">
      <alignment horizontal="right" vertical="center" wrapText="1"/>
      <protection/>
    </xf>
    <xf numFmtId="0" fontId="2" fillId="0" borderId="0" xfId="123" applyFont="1" applyAlignment="1">
      <alignment horizontal="center"/>
      <protection/>
    </xf>
    <xf numFmtId="0" fontId="95" fillId="0" borderId="0" xfId="66" applyFont="1" applyAlignment="1">
      <alignment horizontal="center" vertical="center"/>
      <protection/>
    </xf>
    <xf numFmtId="0" fontId="96" fillId="0" borderId="151" xfId="66" applyFont="1" applyBorder="1" applyAlignment="1">
      <alignment horizontal="center" vertical="center" wrapText="1"/>
      <protection/>
    </xf>
    <xf numFmtId="0" fontId="95" fillId="0" borderId="80" xfId="66" applyFont="1" applyBorder="1" applyAlignment="1">
      <alignment horizontal="left" vertical="center" wrapText="1"/>
      <protection/>
    </xf>
    <xf numFmtId="0" fontId="95" fillId="0" borderId="126" xfId="66" applyFont="1" applyBorder="1" applyAlignment="1">
      <alignment horizontal="left" vertical="center" wrapText="1"/>
      <protection/>
    </xf>
    <xf numFmtId="0" fontId="95" fillId="0" borderId="10" xfId="66" applyFont="1" applyBorder="1" applyAlignment="1">
      <alignment horizontal="left" vertical="center" wrapText="1"/>
      <protection/>
    </xf>
    <xf numFmtId="0" fontId="95" fillId="0" borderId="131" xfId="66" applyFont="1" applyBorder="1" applyAlignment="1">
      <alignment horizontal="left" vertical="center" wrapText="1"/>
      <protection/>
    </xf>
    <xf numFmtId="0" fontId="97" fillId="0" borderId="10" xfId="66" applyFont="1" applyBorder="1" applyAlignment="1">
      <alignment horizontal="left" vertical="center" wrapText="1"/>
      <protection/>
    </xf>
    <xf numFmtId="0" fontId="97" fillId="0" borderId="131" xfId="66" applyFont="1" applyBorder="1" applyAlignment="1">
      <alignment horizontal="left" vertical="center" wrapText="1"/>
      <protection/>
    </xf>
    <xf numFmtId="0" fontId="97" fillId="0" borderId="80" xfId="66" applyFont="1" applyBorder="1" applyAlignment="1">
      <alignment horizontal="left" vertical="center" wrapText="1"/>
      <protection/>
    </xf>
    <xf numFmtId="0" fontId="97" fillId="0" borderId="126" xfId="66" applyFont="1" applyBorder="1" applyAlignment="1">
      <alignment horizontal="left" vertical="center" wrapText="1"/>
      <protection/>
    </xf>
    <xf numFmtId="3" fontId="96" fillId="0" borderId="126" xfId="66" applyNumberFormat="1" applyFont="1" applyBorder="1" applyAlignment="1">
      <alignment horizontal="right" vertical="center"/>
      <protection/>
    </xf>
    <xf numFmtId="0" fontId="2" fillId="0" borderId="0" xfId="123" applyFont="1" applyAlignment="1">
      <alignment horizontal="center" vertical="center"/>
      <protection/>
    </xf>
    <xf numFmtId="0" fontId="4" fillId="0" borderId="0" xfId="123" applyFont="1" applyAlignment="1">
      <alignment horizontal="right" vertical="center"/>
      <protection/>
    </xf>
    <xf numFmtId="0" fontId="2" fillId="0" borderId="131" xfId="121" applyFont="1" applyFill="1" applyBorder="1" applyAlignment="1">
      <alignment vertical="center" wrapText="1"/>
      <protection/>
    </xf>
    <xf numFmtId="0" fontId="95" fillId="0" borderId="131" xfId="66" applyFont="1" applyFill="1" applyBorder="1" applyAlignment="1">
      <alignment horizontal="left" vertical="center" wrapText="1"/>
      <protection/>
    </xf>
    <xf numFmtId="0" fontId="95" fillId="0" borderId="126" xfId="66" applyFont="1" applyFill="1" applyBorder="1" applyAlignment="1">
      <alignment horizontal="left" vertical="center" wrapText="1"/>
      <protection/>
    </xf>
    <xf numFmtId="0" fontId="97" fillId="0" borderId="131" xfId="66" applyFont="1" applyFill="1" applyBorder="1" applyAlignment="1">
      <alignment horizontal="left" vertical="center" wrapText="1"/>
      <protection/>
    </xf>
    <xf numFmtId="3" fontId="12" fillId="0" borderId="91" xfId="124" applyNumberFormat="1" applyFont="1" applyFill="1" applyBorder="1" applyAlignment="1">
      <alignment/>
      <protection/>
    </xf>
    <xf numFmtId="0" fontId="5" fillId="0" borderId="20" xfId="121" applyFont="1" applyFill="1" applyBorder="1" applyAlignment="1">
      <alignment wrapText="1"/>
      <protection/>
    </xf>
    <xf numFmtId="0" fontId="2" fillId="0" borderId="0" xfId="0" applyFont="1" applyFill="1" applyAlignment="1">
      <alignment horizontal="left"/>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left"/>
    </xf>
    <xf numFmtId="0" fontId="4" fillId="0" borderId="229" xfId="0" applyFont="1" applyBorder="1" applyAlignment="1">
      <alignment horizontal="center" vertical="center" wrapText="1"/>
    </xf>
    <xf numFmtId="0" fontId="4" fillId="0" borderId="230" xfId="0" applyFont="1" applyBorder="1" applyAlignment="1">
      <alignment horizontal="center" vertical="center" wrapText="1"/>
    </xf>
    <xf numFmtId="3" fontId="4" fillId="0" borderId="231" xfId="0" applyNumberFormat="1" applyFont="1" applyBorder="1" applyAlignment="1">
      <alignment horizontal="center" vertical="center"/>
    </xf>
    <xf numFmtId="3" fontId="4" fillId="0" borderId="228" xfId="0" applyNumberFormat="1" applyFont="1" applyBorder="1" applyAlignment="1">
      <alignment horizontal="center" vertical="center"/>
    </xf>
    <xf numFmtId="3" fontId="5" fillId="0" borderId="231" xfId="0" applyNumberFormat="1" applyFont="1" applyBorder="1" applyAlignment="1">
      <alignment horizontal="center" vertical="center"/>
    </xf>
    <xf numFmtId="3" fontId="5" fillId="0" borderId="228" xfId="0" applyNumberFormat="1" applyFont="1" applyBorder="1" applyAlignment="1">
      <alignment horizontal="center" vertical="center"/>
    </xf>
    <xf numFmtId="3" fontId="4" fillId="0" borderId="231" xfId="0" applyNumberFormat="1" applyFont="1" applyBorder="1" applyAlignment="1">
      <alignment horizontal="center" vertical="center" wrapText="1"/>
    </xf>
    <xf numFmtId="3" fontId="4" fillId="0" borderId="228" xfId="0" applyNumberFormat="1" applyFont="1" applyBorder="1" applyAlignment="1">
      <alignment horizontal="center" vertical="center" wrapText="1"/>
    </xf>
    <xf numFmtId="0" fontId="4" fillId="0" borderId="0" xfId="120" applyFont="1" applyAlignment="1">
      <alignment horizontal="center" vertical="center"/>
      <protection/>
    </xf>
    <xf numFmtId="0" fontId="4" fillId="0" borderId="0" xfId="0" applyFont="1" applyAlignment="1">
      <alignment horizontal="center" vertical="center"/>
    </xf>
    <xf numFmtId="0" fontId="2" fillId="0" borderId="0" xfId="0" applyFont="1" applyAlignment="1">
      <alignment horizontal="left" vertical="center"/>
    </xf>
    <xf numFmtId="3" fontId="2" fillId="0" borderId="0" xfId="120" applyNumberFormat="1" applyFont="1" applyAlignment="1">
      <alignment horizontal="right" vertical="center"/>
      <protection/>
    </xf>
    <xf numFmtId="0" fontId="4" fillId="0" borderId="0" xfId="120" applyFont="1" applyAlignment="1">
      <alignment horizontal="center"/>
      <protection/>
    </xf>
    <xf numFmtId="0" fontId="4" fillId="0" borderId="0" xfId="0" applyFont="1" applyAlignment="1">
      <alignment horizontal="center"/>
    </xf>
    <xf numFmtId="3" fontId="2" fillId="0" borderId="0" xfId="118" applyNumberFormat="1" applyFont="1" applyFill="1" applyAlignment="1">
      <alignment horizontal="left"/>
      <protection/>
    </xf>
    <xf numFmtId="3" fontId="4" fillId="0" borderId="0" xfId="118" applyNumberFormat="1" applyFont="1" applyFill="1" applyAlignment="1">
      <alignment horizontal="center" vertical="center"/>
      <protection/>
    </xf>
    <xf numFmtId="3" fontId="13" fillId="0" borderId="227" xfId="0" applyNumberFormat="1" applyFont="1" applyFill="1" applyBorder="1" applyAlignment="1">
      <alignment horizontal="center" vertical="center"/>
    </xf>
    <xf numFmtId="3" fontId="13" fillId="0" borderId="206" xfId="0" applyNumberFormat="1" applyFont="1" applyFill="1" applyBorder="1" applyAlignment="1">
      <alignment horizontal="center" vertical="center"/>
    </xf>
    <xf numFmtId="3" fontId="13" fillId="0" borderId="98" xfId="0" applyNumberFormat="1" applyFont="1" applyFill="1" applyBorder="1" applyAlignment="1">
      <alignment horizontal="center" vertical="center"/>
    </xf>
    <xf numFmtId="3" fontId="13" fillId="0" borderId="22" xfId="124" applyNumberFormat="1" applyFont="1" applyFill="1" applyBorder="1" applyAlignment="1">
      <alignment horizontal="left"/>
      <protection/>
    </xf>
    <xf numFmtId="3" fontId="13" fillId="0" borderId="96" xfId="124" applyNumberFormat="1" applyFont="1" applyFill="1" applyBorder="1" applyAlignment="1">
      <alignment horizontal="left"/>
      <protection/>
    </xf>
    <xf numFmtId="3" fontId="10" fillId="0" borderId="22" xfId="124" applyNumberFormat="1" applyFont="1" applyFill="1" applyBorder="1" applyAlignment="1">
      <alignment horizontal="left"/>
      <protection/>
    </xf>
    <xf numFmtId="3" fontId="10" fillId="0" borderId="96" xfId="124" applyNumberFormat="1" applyFont="1" applyFill="1" applyBorder="1" applyAlignment="1">
      <alignment horizontal="left"/>
      <protection/>
    </xf>
    <xf numFmtId="3" fontId="13" fillId="0" borderId="105" xfId="124" applyNumberFormat="1" applyFont="1" applyFill="1" applyBorder="1" applyAlignment="1">
      <alignment horizontal="left"/>
      <protection/>
    </xf>
    <xf numFmtId="3" fontId="13" fillId="0" borderId="106" xfId="124" applyNumberFormat="1" applyFont="1" applyFill="1" applyBorder="1" applyAlignment="1">
      <alignment horizontal="left"/>
      <protection/>
    </xf>
    <xf numFmtId="3" fontId="16" fillId="0" borderId="105" xfId="0" applyNumberFormat="1" applyFont="1" applyFill="1" applyBorder="1" applyAlignment="1">
      <alignment horizontal="left" vertical="center"/>
    </xf>
    <xf numFmtId="3" fontId="16" fillId="0" borderId="223" xfId="0" applyNumberFormat="1" applyFont="1" applyFill="1" applyBorder="1" applyAlignment="1">
      <alignment horizontal="left" vertical="center"/>
    </xf>
    <xf numFmtId="3" fontId="16" fillId="0" borderId="106" xfId="0" applyNumberFormat="1" applyFont="1" applyFill="1" applyBorder="1" applyAlignment="1">
      <alignment horizontal="left" vertical="center"/>
    </xf>
    <xf numFmtId="3" fontId="13" fillId="0" borderId="22" xfId="124" applyNumberFormat="1" applyFont="1" applyFill="1" applyBorder="1" applyAlignment="1">
      <alignment horizontal="left" wrapText="1"/>
      <protection/>
    </xf>
    <xf numFmtId="3" fontId="13" fillId="0" borderId="96" xfId="124" applyNumberFormat="1" applyFont="1" applyFill="1" applyBorder="1" applyAlignment="1">
      <alignment horizontal="left" wrapText="1"/>
      <protection/>
    </xf>
    <xf numFmtId="3" fontId="10" fillId="0" borderId="22" xfId="124" applyNumberFormat="1" applyFont="1" applyFill="1" applyBorder="1" applyAlignment="1">
      <alignment horizontal="left" wrapText="1"/>
      <protection/>
    </xf>
    <xf numFmtId="3" fontId="10" fillId="0" borderId="96" xfId="124" applyNumberFormat="1" applyFont="1" applyFill="1" applyBorder="1" applyAlignment="1">
      <alignment horizontal="left" wrapText="1"/>
      <protection/>
    </xf>
    <xf numFmtId="3" fontId="10" fillId="0" borderId="232" xfId="0" applyNumberFormat="1" applyFont="1" applyFill="1" applyBorder="1" applyAlignment="1">
      <alignment horizontal="center" vertical="center" wrapText="1"/>
    </xf>
    <xf numFmtId="3" fontId="13" fillId="0" borderId="208" xfId="0" applyNumberFormat="1" applyFont="1" applyFill="1" applyBorder="1" applyAlignment="1">
      <alignment horizontal="center" vertical="center" wrapText="1"/>
    </xf>
    <xf numFmtId="3" fontId="13" fillId="0" borderId="89" xfId="0" applyNumberFormat="1" applyFont="1" applyFill="1" applyBorder="1" applyAlignment="1">
      <alignment horizontal="center" vertical="center" wrapText="1"/>
    </xf>
    <xf numFmtId="3" fontId="2" fillId="0" borderId="0" xfId="0" applyNumberFormat="1" applyFont="1" applyFill="1" applyAlignment="1">
      <alignment horizontal="left" vertical="center"/>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54" xfId="0" applyNumberFormat="1" applyFont="1" applyFill="1" applyBorder="1" applyAlignment="1">
      <alignment horizontal="center" vertical="center"/>
    </xf>
    <xf numFmtId="3" fontId="13" fillId="0" borderId="227" xfId="124" applyNumberFormat="1" applyFont="1" applyFill="1" applyBorder="1" applyAlignment="1">
      <alignment horizontal="center" vertical="center"/>
      <protection/>
    </xf>
    <xf numFmtId="3" fontId="13" fillId="0" borderId="206" xfId="124" applyNumberFormat="1" applyFont="1" applyFill="1" applyBorder="1" applyAlignment="1">
      <alignment horizontal="center" vertical="center"/>
      <protection/>
    </xf>
    <xf numFmtId="3" fontId="13" fillId="0" borderId="98" xfId="124" applyNumberFormat="1" applyFont="1" applyFill="1" applyBorder="1" applyAlignment="1">
      <alignment horizontal="center" vertical="center"/>
      <protection/>
    </xf>
    <xf numFmtId="3" fontId="10" fillId="0" borderId="11" xfId="0" applyNumberFormat="1" applyFont="1" applyFill="1" applyBorder="1" applyAlignment="1">
      <alignment horizontal="center" vertical="center" wrapText="1"/>
    </xf>
    <xf numFmtId="3" fontId="10" fillId="0" borderId="229" xfId="0" applyNumberFormat="1" applyFont="1" applyFill="1" applyBorder="1" applyAlignment="1">
      <alignment horizontal="center" vertical="center" textRotation="90"/>
    </xf>
    <xf numFmtId="3" fontId="10" fillId="0" borderId="230" xfId="0" applyNumberFormat="1" applyFont="1" applyFill="1" applyBorder="1" applyAlignment="1">
      <alignment horizontal="center" vertical="center" textRotation="90"/>
    </xf>
    <xf numFmtId="3" fontId="10" fillId="0" borderId="233" xfId="0" applyNumberFormat="1" applyFont="1" applyFill="1" applyBorder="1" applyAlignment="1">
      <alignment horizontal="center" vertical="center" textRotation="90"/>
    </xf>
    <xf numFmtId="0" fontId="0" fillId="0" borderId="86" xfId="0" applyFont="1" applyFill="1" applyBorder="1" applyAlignment="1">
      <alignment horizontal="center" vertical="center"/>
    </xf>
    <xf numFmtId="3" fontId="13" fillId="0" borderId="233" xfId="0" applyNumberFormat="1" applyFont="1" applyFill="1" applyBorder="1" applyAlignment="1">
      <alignment horizontal="center" vertical="center"/>
    </xf>
    <xf numFmtId="3" fontId="13" fillId="0" borderId="218" xfId="0" applyNumberFormat="1" applyFont="1" applyFill="1" applyBorder="1" applyAlignment="1">
      <alignment horizontal="center" vertical="center"/>
    </xf>
    <xf numFmtId="3" fontId="13" fillId="0" borderId="86" xfId="0" applyNumberFormat="1" applyFont="1" applyFill="1" applyBorder="1" applyAlignment="1">
      <alignment horizontal="center" vertical="center"/>
    </xf>
    <xf numFmtId="3" fontId="13" fillId="0" borderId="126" xfId="0" applyNumberFormat="1" applyFont="1" applyFill="1" applyBorder="1" applyAlignment="1">
      <alignment horizontal="center" vertical="center"/>
    </xf>
    <xf numFmtId="3" fontId="10" fillId="0" borderId="232" xfId="0" applyNumberFormat="1" applyFont="1" applyFill="1" applyBorder="1" applyAlignment="1">
      <alignment horizontal="center" vertical="center"/>
    </xf>
    <xf numFmtId="0" fontId="4" fillId="0" borderId="0" xfId="0" applyFont="1" applyAlignment="1">
      <alignment horizontal="left" wrapText="1"/>
    </xf>
    <xf numFmtId="3" fontId="10" fillId="0" borderId="231" xfId="0" applyNumberFormat="1" applyFont="1" applyFill="1" applyBorder="1" applyAlignment="1">
      <alignment horizontal="center" vertical="center" wrapText="1"/>
    </xf>
    <xf numFmtId="3" fontId="10" fillId="0" borderId="228"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xf>
    <xf numFmtId="3" fontId="13" fillId="0" borderId="16" xfId="0" applyNumberFormat="1" applyFont="1" applyFill="1" applyBorder="1" applyAlignment="1">
      <alignment horizontal="center" vertical="center"/>
    </xf>
    <xf numFmtId="3" fontId="13" fillId="0" borderId="120" xfId="0" applyNumberFormat="1" applyFont="1" applyFill="1" applyBorder="1" applyAlignment="1">
      <alignment horizontal="center" vertical="center"/>
    </xf>
    <xf numFmtId="3" fontId="13" fillId="0" borderId="50" xfId="0" applyNumberFormat="1" applyFont="1" applyFill="1" applyBorder="1" applyAlignment="1">
      <alignment horizontal="center" vertical="center"/>
    </xf>
    <xf numFmtId="3" fontId="13" fillId="0" borderId="30" xfId="0" applyNumberFormat="1" applyFont="1" applyFill="1" applyBorder="1" applyAlignment="1">
      <alignment horizontal="center" vertical="center"/>
    </xf>
    <xf numFmtId="3" fontId="13" fillId="0" borderId="234" xfId="0" applyNumberFormat="1" applyFont="1" applyFill="1" applyBorder="1" applyAlignment="1">
      <alignment horizontal="center" vertical="center"/>
    </xf>
    <xf numFmtId="3" fontId="10" fillId="0" borderId="231" xfId="0" applyNumberFormat="1" applyFont="1" applyFill="1" applyBorder="1" applyAlignment="1">
      <alignment horizontal="center" vertical="center" textRotation="90"/>
    </xf>
    <xf numFmtId="0" fontId="0" fillId="0" borderId="228" xfId="0" applyFont="1" applyFill="1" applyBorder="1" applyAlignment="1">
      <alignment horizontal="center" vertical="center"/>
    </xf>
    <xf numFmtId="3" fontId="13" fillId="0" borderId="231" xfId="0" applyNumberFormat="1" applyFont="1" applyFill="1" applyBorder="1" applyAlignment="1">
      <alignment horizontal="center" vertical="center"/>
    </xf>
    <xf numFmtId="3" fontId="13" fillId="0" borderId="228" xfId="0" applyNumberFormat="1" applyFont="1" applyFill="1" applyBorder="1" applyAlignment="1">
      <alignment horizontal="center" vertical="center"/>
    </xf>
    <xf numFmtId="3" fontId="10" fillId="0" borderId="233" xfId="0" applyNumberFormat="1" applyFont="1" applyFill="1" applyBorder="1" applyAlignment="1">
      <alignment horizontal="center" vertical="center" wrapText="1"/>
    </xf>
    <xf numFmtId="3" fontId="10" fillId="0" borderId="86" xfId="0" applyNumberFormat="1" applyFont="1" applyFill="1" applyBorder="1" applyAlignment="1">
      <alignment horizontal="center" vertical="center" wrapText="1"/>
    </xf>
    <xf numFmtId="3" fontId="10" fillId="0" borderId="201" xfId="124" applyNumberFormat="1" applyFont="1" applyFill="1" applyBorder="1" applyAlignment="1">
      <alignment horizontal="left"/>
      <protection/>
    </xf>
    <xf numFmtId="3" fontId="10" fillId="0" borderId="171" xfId="124" applyNumberFormat="1" applyFont="1" applyFill="1" applyBorder="1" applyAlignment="1">
      <alignment horizontal="left"/>
      <protection/>
    </xf>
    <xf numFmtId="3" fontId="16" fillId="0" borderId="22" xfId="124" applyNumberFormat="1" applyFont="1" applyFill="1" applyBorder="1" applyAlignment="1">
      <alignment horizontal="left"/>
      <protection/>
    </xf>
    <xf numFmtId="3" fontId="16" fillId="0" borderId="96" xfId="124" applyNumberFormat="1" applyFont="1" applyFill="1" applyBorder="1" applyAlignment="1">
      <alignment horizontal="left"/>
      <protection/>
    </xf>
    <xf numFmtId="3" fontId="10" fillId="0" borderId="112" xfId="124" applyNumberFormat="1" applyFont="1" applyFill="1" applyBorder="1" applyAlignment="1">
      <alignment horizontal="left"/>
      <protection/>
    </xf>
    <xf numFmtId="3" fontId="13" fillId="0" borderId="105" xfId="0" applyNumberFormat="1" applyFont="1" applyFill="1" applyBorder="1" applyAlignment="1">
      <alignment horizontal="left"/>
    </xf>
    <xf numFmtId="3" fontId="13" fillId="0" borderId="106" xfId="0" applyNumberFormat="1" applyFont="1" applyFill="1" applyBorder="1" applyAlignment="1">
      <alignment horizontal="left"/>
    </xf>
    <xf numFmtId="3" fontId="13" fillId="0" borderId="59" xfId="0" applyNumberFormat="1" applyFont="1" applyFill="1" applyBorder="1" applyAlignment="1">
      <alignment horizontal="left"/>
    </xf>
    <xf numFmtId="3" fontId="13" fillId="0" borderId="98" xfId="0" applyNumberFormat="1" applyFont="1" applyFill="1" applyBorder="1" applyAlignment="1">
      <alignment horizontal="left"/>
    </xf>
    <xf numFmtId="0" fontId="4" fillId="0" borderId="0" xfId="0" applyFont="1" applyFill="1" applyAlignment="1">
      <alignment horizontal="left"/>
    </xf>
    <xf numFmtId="3" fontId="12" fillId="0" borderId="19" xfId="0" applyNumberFormat="1" applyFont="1" applyFill="1" applyBorder="1" applyAlignment="1">
      <alignment horizontal="left" vertical="center" wrapText="1"/>
    </xf>
    <xf numFmtId="3" fontId="12" fillId="0" borderId="96" xfId="0" applyNumberFormat="1" applyFont="1" applyFill="1" applyBorder="1" applyAlignment="1">
      <alignment horizontal="left" vertical="center" wrapText="1"/>
    </xf>
    <xf numFmtId="3" fontId="12" fillId="0" borderId="20" xfId="0" applyNumberFormat="1" applyFont="1" applyFill="1" applyBorder="1" applyAlignment="1">
      <alignment horizontal="left" vertical="center" wrapText="1"/>
    </xf>
    <xf numFmtId="3" fontId="10" fillId="0" borderId="179" xfId="124" applyNumberFormat="1" applyFont="1" applyFill="1" applyBorder="1" applyAlignment="1">
      <alignment horizontal="left"/>
      <protection/>
    </xf>
    <xf numFmtId="3" fontId="12" fillId="0" borderId="0" xfId="0" applyNumberFormat="1" applyFont="1" applyFill="1" applyAlignment="1">
      <alignment horizontal="right"/>
    </xf>
    <xf numFmtId="3" fontId="10" fillId="0" borderId="232" xfId="118" applyNumberFormat="1" applyFont="1" applyFill="1" applyBorder="1" applyAlignment="1">
      <alignment horizontal="center" vertical="center" wrapText="1"/>
      <protection/>
    </xf>
    <xf numFmtId="3" fontId="13" fillId="0" borderId="235" xfId="0" applyNumberFormat="1" applyFont="1" applyFill="1" applyBorder="1" applyAlignment="1">
      <alignment horizontal="center" vertical="center"/>
    </xf>
    <xf numFmtId="3" fontId="13" fillId="0" borderId="236" xfId="0" applyNumberFormat="1" applyFont="1" applyFill="1" applyBorder="1" applyAlignment="1">
      <alignment horizontal="center" vertical="center"/>
    </xf>
    <xf numFmtId="3" fontId="10" fillId="0" borderId="231" xfId="0" applyNumberFormat="1" applyFont="1" applyFill="1" applyBorder="1" applyAlignment="1">
      <alignment horizontal="center" vertical="center" textRotation="90" wrapText="1"/>
    </xf>
    <xf numFmtId="0" fontId="0" fillId="0" borderId="228" xfId="0" applyFont="1" applyFill="1" applyBorder="1" applyAlignment="1">
      <alignment horizontal="center" vertical="center" textRotation="90" wrapText="1"/>
    </xf>
    <xf numFmtId="3" fontId="10" fillId="0" borderId="237" xfId="0" applyNumberFormat="1" applyFont="1" applyFill="1" applyBorder="1" applyAlignment="1">
      <alignment horizontal="center" vertical="center" wrapText="1"/>
    </xf>
    <xf numFmtId="3" fontId="10" fillId="0" borderId="198" xfId="0" applyNumberFormat="1" applyFont="1" applyFill="1" applyBorder="1" applyAlignment="1">
      <alignment horizontal="center" vertical="center" wrapText="1"/>
    </xf>
    <xf numFmtId="3" fontId="10" fillId="0" borderId="162" xfId="124" applyNumberFormat="1" applyFont="1" applyFill="1" applyBorder="1" applyAlignment="1">
      <alignment horizontal="left"/>
      <protection/>
    </xf>
    <xf numFmtId="3" fontId="10" fillId="0" borderId="112" xfId="124" applyNumberFormat="1" applyFont="1" applyFill="1" applyBorder="1" applyAlignment="1">
      <alignment horizontal="left" wrapText="1"/>
      <protection/>
    </xf>
    <xf numFmtId="3" fontId="10" fillId="0" borderId="217" xfId="0" applyNumberFormat="1" applyFont="1" applyFill="1" applyBorder="1" applyAlignment="1">
      <alignment horizontal="center" vertical="center"/>
    </xf>
    <xf numFmtId="3" fontId="10" fillId="0" borderId="90" xfId="0" applyNumberFormat="1" applyFont="1" applyFill="1" applyBorder="1" applyAlignment="1">
      <alignment horizontal="center" vertical="center"/>
    </xf>
    <xf numFmtId="3" fontId="10" fillId="0" borderId="218" xfId="0" applyNumberFormat="1" applyFont="1" applyFill="1" applyBorder="1" applyAlignment="1">
      <alignment horizontal="center" vertical="center"/>
    </xf>
    <xf numFmtId="3" fontId="13" fillId="0" borderId="59" xfId="124" applyNumberFormat="1" applyFont="1" applyFill="1" applyBorder="1" applyAlignment="1">
      <alignment horizontal="left"/>
      <protection/>
    </xf>
    <xf numFmtId="3" fontId="13" fillId="0" borderId="98" xfId="124" applyNumberFormat="1" applyFont="1" applyFill="1" applyBorder="1" applyAlignment="1">
      <alignment horizontal="left"/>
      <protection/>
    </xf>
    <xf numFmtId="3" fontId="12" fillId="0" borderId="19" xfId="0" applyNumberFormat="1" applyFont="1" applyFill="1" applyBorder="1" applyAlignment="1">
      <alignment horizontal="left" vertical="top" wrapText="1"/>
    </xf>
    <xf numFmtId="3" fontId="12" fillId="0" borderId="96" xfId="0" applyNumberFormat="1" applyFont="1" applyFill="1" applyBorder="1" applyAlignment="1">
      <alignment horizontal="left" vertical="top" wrapText="1"/>
    </xf>
    <xf numFmtId="3" fontId="12" fillId="0" borderId="20" xfId="0" applyNumberFormat="1" applyFont="1" applyFill="1" applyBorder="1" applyAlignment="1">
      <alignment horizontal="left" vertical="top" wrapText="1"/>
    </xf>
    <xf numFmtId="3" fontId="16" fillId="0" borderId="105" xfId="124" applyNumberFormat="1" applyFont="1" applyFill="1" applyBorder="1" applyAlignment="1">
      <alignment horizontal="left" vertical="center"/>
      <protection/>
    </xf>
    <xf numFmtId="3" fontId="16" fillId="0" borderId="223" xfId="124" applyNumberFormat="1" applyFont="1" applyFill="1" applyBorder="1" applyAlignment="1">
      <alignment horizontal="left" vertical="center"/>
      <protection/>
    </xf>
    <xf numFmtId="3" fontId="16" fillId="0" borderId="106" xfId="124" applyNumberFormat="1" applyFont="1" applyFill="1" applyBorder="1" applyAlignment="1">
      <alignment horizontal="left" vertical="center"/>
      <protection/>
    </xf>
    <xf numFmtId="3" fontId="12" fillId="0" borderId="35" xfId="0" applyNumberFormat="1" applyFont="1" applyFill="1" applyBorder="1" applyAlignment="1">
      <alignment horizontal="left" vertical="center"/>
    </xf>
    <xf numFmtId="3" fontId="12" fillId="0" borderId="98" xfId="0" applyNumberFormat="1" applyFont="1" applyFill="1" applyBorder="1" applyAlignment="1">
      <alignment horizontal="left" vertical="center"/>
    </xf>
    <xf numFmtId="3" fontId="12" fillId="0" borderId="36" xfId="0" applyNumberFormat="1" applyFont="1" applyFill="1" applyBorder="1" applyAlignment="1">
      <alignment horizontal="left" vertical="center"/>
    </xf>
    <xf numFmtId="3" fontId="10" fillId="0" borderId="22" xfId="124" applyNumberFormat="1" applyFont="1" applyFill="1" applyBorder="1" applyAlignment="1">
      <alignment horizontal="left" vertical="top" wrapText="1"/>
      <protection/>
    </xf>
    <xf numFmtId="3" fontId="10" fillId="0" borderId="96" xfId="124" applyNumberFormat="1" applyFont="1" applyFill="1" applyBorder="1" applyAlignment="1">
      <alignment horizontal="left" vertical="top" wrapText="1"/>
      <protection/>
    </xf>
    <xf numFmtId="0" fontId="2" fillId="0" borderId="22" xfId="121" applyFont="1" applyFill="1" applyBorder="1" applyAlignment="1">
      <alignment horizontal="left" vertical="top" wrapText="1"/>
      <protection/>
    </xf>
    <xf numFmtId="0" fontId="2" fillId="0" borderId="112" xfId="121" applyFont="1" applyFill="1" applyBorder="1" applyAlignment="1">
      <alignment horizontal="left" vertical="top" wrapText="1"/>
      <protection/>
    </xf>
    <xf numFmtId="0" fontId="2" fillId="0" borderId="96" xfId="121" applyFont="1" applyFill="1" applyBorder="1" applyAlignment="1">
      <alignment horizontal="left" vertical="top" wrapText="1"/>
      <protection/>
    </xf>
    <xf numFmtId="3" fontId="13" fillId="0" borderId="238" xfId="0" applyNumberFormat="1" applyFont="1" applyFill="1" applyBorder="1" applyAlignment="1">
      <alignment horizontal="center" vertical="center" wrapText="1"/>
    </xf>
    <xf numFmtId="3" fontId="13" fillId="0" borderId="239" xfId="0" applyNumberFormat="1" applyFont="1" applyFill="1" applyBorder="1" applyAlignment="1">
      <alignment horizontal="center" vertical="center" wrapText="1"/>
    </xf>
    <xf numFmtId="3" fontId="10" fillId="0" borderId="228" xfId="0" applyNumberFormat="1" applyFont="1" applyFill="1" applyBorder="1" applyAlignment="1">
      <alignment horizontal="center" vertical="center" textRotation="90"/>
    </xf>
    <xf numFmtId="0" fontId="10" fillId="0" borderId="200" xfId="126" applyFont="1" applyBorder="1" applyAlignment="1" applyProtection="1">
      <alignment horizontal="center" vertical="center" wrapText="1"/>
      <protection locked="0"/>
    </xf>
    <xf numFmtId="0" fontId="10" fillId="0" borderId="99" xfId="126" applyFont="1" applyBorder="1" applyAlignment="1" applyProtection="1">
      <alignment horizontal="center" vertical="center" wrapText="1"/>
      <protection locked="0"/>
    </xf>
    <xf numFmtId="3" fontId="10" fillId="0" borderId="231" xfId="126" applyNumberFormat="1" applyFont="1" applyFill="1" applyBorder="1" applyAlignment="1" applyProtection="1">
      <alignment horizontal="center" vertical="center" wrapText="1"/>
      <protection locked="0"/>
    </xf>
    <xf numFmtId="3" fontId="10" fillId="0" borderId="228" xfId="126" applyNumberFormat="1" applyFont="1" applyFill="1" applyBorder="1" applyAlignment="1" applyProtection="1">
      <alignment horizontal="center" vertical="center" wrapText="1"/>
      <protection locked="0"/>
    </xf>
    <xf numFmtId="3" fontId="10" fillId="0" borderId="233" xfId="126" applyNumberFormat="1" applyFont="1" applyFill="1" applyBorder="1" applyAlignment="1" applyProtection="1">
      <alignment horizontal="center" vertical="center" wrapText="1"/>
      <protection locked="0"/>
    </xf>
    <xf numFmtId="3" fontId="10" fillId="0" borderId="86" xfId="126" applyNumberFormat="1" applyFont="1" applyFill="1" applyBorder="1" applyAlignment="1" applyProtection="1">
      <alignment horizontal="center" vertical="center" wrapText="1"/>
      <protection locked="0"/>
    </xf>
    <xf numFmtId="0" fontId="12" fillId="0" borderId="231" xfId="126" applyFont="1" applyFill="1" applyBorder="1" applyAlignment="1" applyProtection="1">
      <alignment horizontal="center" vertical="center"/>
      <protection locked="0"/>
    </xf>
    <xf numFmtId="0" fontId="12" fillId="0" borderId="228" xfId="126" applyFont="1" applyFill="1" applyBorder="1" applyAlignment="1" applyProtection="1">
      <alignment horizontal="center" vertical="center"/>
      <protection locked="0"/>
    </xf>
    <xf numFmtId="0" fontId="13" fillId="0" borderId="208" xfId="126" applyFont="1" applyFill="1" applyBorder="1" applyAlignment="1" applyProtection="1">
      <alignment horizontal="center" vertical="center" wrapText="1"/>
      <protection locked="0"/>
    </xf>
    <xf numFmtId="0" fontId="13" fillId="0" borderId="89" xfId="126" applyFont="1" applyFill="1" applyBorder="1" applyAlignment="1" applyProtection="1">
      <alignment horizontal="center" vertical="center" wrapText="1"/>
      <protection locked="0"/>
    </xf>
    <xf numFmtId="0" fontId="4" fillId="0" borderId="0" xfId="127" applyFont="1" applyFill="1" applyBorder="1" applyAlignment="1" applyProtection="1">
      <alignment horizontal="center" vertical="center"/>
      <protection locked="0"/>
    </xf>
    <xf numFmtId="0" fontId="4" fillId="0" borderId="0" xfId="126" applyFont="1" applyFill="1" applyBorder="1" applyAlignment="1" applyProtection="1">
      <alignment horizontal="center"/>
      <protection locked="0"/>
    </xf>
    <xf numFmtId="3" fontId="13" fillId="0" borderId="240" xfId="126" applyNumberFormat="1" applyFont="1" applyFill="1" applyBorder="1" applyAlignment="1" applyProtection="1">
      <alignment horizontal="center" vertical="center" wrapText="1"/>
      <protection locked="0"/>
    </xf>
    <xf numFmtId="3" fontId="13" fillId="0" borderId="81" xfId="126" applyNumberFormat="1" applyFont="1" applyFill="1" applyBorder="1" applyAlignment="1" applyProtection="1">
      <alignment horizontal="center" vertical="center" wrapText="1"/>
      <protection locked="0"/>
    </xf>
    <xf numFmtId="3" fontId="13" fillId="0" borderId="231" xfId="126" applyNumberFormat="1" applyFont="1" applyFill="1" applyBorder="1" applyAlignment="1" applyProtection="1">
      <alignment horizontal="center" vertical="center" wrapText="1"/>
      <protection locked="0"/>
    </xf>
    <xf numFmtId="3" fontId="13" fillId="0" borderId="228" xfId="126" applyNumberFormat="1" applyFont="1" applyFill="1" applyBorder="1" applyAlignment="1" applyProtection="1">
      <alignment horizontal="center" vertical="center" wrapText="1"/>
      <protection locked="0"/>
    </xf>
    <xf numFmtId="0" fontId="13" fillId="0" borderId="50" xfId="127" applyFont="1" applyFill="1" applyBorder="1" applyAlignment="1" applyProtection="1">
      <alignment horizontal="center" vertical="center"/>
      <protection locked="0"/>
    </xf>
    <xf numFmtId="0" fontId="13" fillId="0" borderId="30" xfId="127" applyFont="1" applyFill="1" applyBorder="1" applyAlignment="1" applyProtection="1">
      <alignment horizontal="center" vertical="center"/>
      <protection locked="0"/>
    </xf>
    <xf numFmtId="0" fontId="13" fillId="0" borderId="234" xfId="127" applyFont="1" applyFill="1" applyBorder="1" applyAlignment="1" applyProtection="1">
      <alignment horizontal="center" vertical="center"/>
      <protection locked="0"/>
    </xf>
    <xf numFmtId="0" fontId="13" fillId="0" borderId="15" xfId="127" applyFont="1" applyFill="1" applyBorder="1" applyAlignment="1" applyProtection="1">
      <alignment horizontal="center" vertical="center"/>
      <protection locked="0"/>
    </xf>
    <xf numFmtId="0" fontId="13" fillId="0" borderId="16" xfId="127" applyFont="1" applyFill="1" applyBorder="1" applyAlignment="1" applyProtection="1">
      <alignment horizontal="center" vertical="center"/>
      <protection locked="0"/>
    </xf>
    <xf numFmtId="0" fontId="13" fillId="0" borderId="120" xfId="127" applyFont="1" applyFill="1" applyBorder="1" applyAlignment="1" applyProtection="1">
      <alignment horizontal="center" vertical="center"/>
      <protection locked="0"/>
    </xf>
    <xf numFmtId="0" fontId="2" fillId="0" borderId="0" xfId="127" applyFont="1" applyFill="1" applyBorder="1" applyAlignment="1" applyProtection="1">
      <alignment horizontal="left" vertical="center"/>
      <protection locked="0"/>
    </xf>
    <xf numFmtId="3" fontId="10" fillId="0" borderId="229" xfId="119" applyNumberFormat="1" applyFont="1" applyFill="1" applyBorder="1" applyAlignment="1" applyProtection="1">
      <alignment horizontal="center" vertical="center" textRotation="90"/>
      <protection locked="0"/>
    </xf>
    <xf numFmtId="3" fontId="10" fillId="0" borderId="230" xfId="119" applyNumberFormat="1" applyFont="1" applyFill="1" applyBorder="1" applyAlignment="1" applyProtection="1">
      <alignment horizontal="center" vertical="center" textRotation="90"/>
      <protection locked="0"/>
    </xf>
    <xf numFmtId="3" fontId="10" fillId="0" borderId="231" xfId="119" applyNumberFormat="1" applyFont="1" applyFill="1" applyBorder="1" applyAlignment="1" applyProtection="1">
      <alignment horizontal="center" vertical="center" textRotation="90"/>
      <protection locked="0"/>
    </xf>
    <xf numFmtId="3" fontId="10" fillId="0" borderId="228" xfId="119" applyNumberFormat="1" applyFont="1" applyFill="1" applyBorder="1" applyAlignment="1" applyProtection="1">
      <alignment horizontal="center" vertical="center" textRotation="90"/>
      <protection locked="0"/>
    </xf>
    <xf numFmtId="0" fontId="13" fillId="0" borderId="231" xfId="126" applyFont="1" applyFill="1" applyBorder="1" applyAlignment="1" applyProtection="1">
      <alignment horizontal="center" vertical="center" wrapText="1"/>
      <protection locked="0"/>
    </xf>
    <xf numFmtId="0" fontId="13" fillId="0" borderId="228" xfId="126" applyFont="1" applyFill="1" applyBorder="1" applyAlignment="1" applyProtection="1">
      <alignment horizontal="center" vertical="center" wrapText="1"/>
      <protection locked="0"/>
    </xf>
    <xf numFmtId="0" fontId="10" fillId="0" borderId="231" xfId="126" applyFont="1" applyFill="1" applyBorder="1" applyAlignment="1" applyProtection="1">
      <alignment horizontal="center" vertical="center" textRotation="90" wrapText="1"/>
      <protection locked="0"/>
    </xf>
    <xf numFmtId="0" fontId="10" fillId="0" borderId="228" xfId="126" applyFont="1" applyFill="1" applyBorder="1" applyAlignment="1" applyProtection="1">
      <alignment horizontal="center" vertical="center" textRotation="90" wrapText="1"/>
      <protection locked="0"/>
    </xf>
    <xf numFmtId="3" fontId="45" fillId="0" borderId="206" xfId="119" applyNumberFormat="1" applyFont="1" applyFill="1" applyBorder="1" applyAlignment="1" applyProtection="1">
      <alignment horizontal="left" vertical="center"/>
      <protection locked="0"/>
    </xf>
    <xf numFmtId="3" fontId="13" fillId="0" borderId="207" xfId="124" applyNumberFormat="1" applyFont="1" applyFill="1" applyBorder="1" applyAlignment="1">
      <alignment horizontal="left"/>
      <protection/>
    </xf>
    <xf numFmtId="3" fontId="13" fillId="0" borderId="174" xfId="124" applyNumberFormat="1" applyFont="1" applyFill="1" applyBorder="1" applyAlignment="1">
      <alignment horizontal="left"/>
      <protection/>
    </xf>
    <xf numFmtId="3" fontId="13" fillId="0" borderId="224" xfId="124" applyNumberFormat="1" applyFont="1" applyFill="1" applyBorder="1" applyAlignment="1">
      <alignment horizontal="left"/>
      <protection/>
    </xf>
    <xf numFmtId="3" fontId="12" fillId="0" borderId="22" xfId="124" applyNumberFormat="1" applyFont="1" applyFill="1" applyBorder="1" applyAlignment="1">
      <alignment horizontal="left"/>
      <protection/>
    </xf>
    <xf numFmtId="3" fontId="12" fillId="0" borderId="112" xfId="124" applyNumberFormat="1" applyFont="1" applyFill="1" applyBorder="1" applyAlignment="1">
      <alignment horizontal="left"/>
      <protection/>
    </xf>
    <xf numFmtId="3" fontId="12" fillId="0" borderId="179" xfId="124" applyNumberFormat="1" applyFont="1" applyFill="1" applyBorder="1" applyAlignment="1">
      <alignment horizontal="left"/>
      <protection/>
    </xf>
    <xf numFmtId="3" fontId="13" fillId="0" borderId="201" xfId="124" applyNumberFormat="1" applyFont="1" applyFill="1" applyBorder="1" applyAlignment="1">
      <alignment horizontal="left"/>
      <protection/>
    </xf>
    <xf numFmtId="3" fontId="13" fillId="0" borderId="203" xfId="124" applyNumberFormat="1" applyFont="1" applyFill="1" applyBorder="1" applyAlignment="1">
      <alignment horizontal="left"/>
      <protection/>
    </xf>
    <xf numFmtId="3" fontId="13" fillId="0" borderId="210" xfId="124" applyNumberFormat="1" applyFont="1" applyFill="1" applyBorder="1" applyAlignment="1">
      <alignment horizontal="left"/>
      <protection/>
    </xf>
    <xf numFmtId="3" fontId="13" fillId="0" borderId="112" xfId="124" applyNumberFormat="1" applyFont="1" applyFill="1" applyBorder="1" applyAlignment="1">
      <alignment horizontal="left"/>
      <protection/>
    </xf>
    <xf numFmtId="3" fontId="13" fillId="0" borderId="179" xfId="124" applyNumberFormat="1" applyFont="1" applyFill="1" applyBorder="1" applyAlignment="1">
      <alignment horizontal="left"/>
      <protection/>
    </xf>
    <xf numFmtId="3" fontId="84" fillId="0" borderId="22" xfId="119" applyNumberFormat="1" applyFont="1" applyFill="1" applyBorder="1" applyAlignment="1">
      <alignment horizontal="left" wrapText="1"/>
      <protection/>
    </xf>
    <xf numFmtId="0" fontId="0" fillId="0" borderId="112" xfId="0" applyBorder="1" applyAlignment="1">
      <alignment horizontal="left" wrapText="1"/>
    </xf>
    <xf numFmtId="0" fontId="0" fillId="0" borderId="179" xfId="0" applyBorder="1" applyAlignment="1">
      <alignment horizontal="left" wrapText="1"/>
    </xf>
    <xf numFmtId="3" fontId="2" fillId="0" borderId="0" xfId="119" applyNumberFormat="1" applyFont="1" applyFill="1" applyAlignment="1">
      <alignment horizontal="left"/>
      <protection/>
    </xf>
    <xf numFmtId="3" fontId="2" fillId="0" borderId="0" xfId="119" applyNumberFormat="1" applyFont="1" applyFill="1" applyAlignment="1">
      <alignment horizontal="right"/>
      <protection/>
    </xf>
    <xf numFmtId="3" fontId="4" fillId="0" borderId="0" xfId="119" applyNumberFormat="1" applyFont="1" applyFill="1" applyAlignment="1">
      <alignment horizontal="center"/>
      <protection/>
    </xf>
    <xf numFmtId="3" fontId="4" fillId="0" borderId="0" xfId="119" applyNumberFormat="1" applyFont="1" applyFill="1" applyAlignment="1">
      <alignment horizontal="center" vertical="center"/>
      <protection/>
    </xf>
    <xf numFmtId="3" fontId="12" fillId="0" borderId="0" xfId="119" applyNumberFormat="1" applyFont="1" applyFill="1" applyAlignment="1">
      <alignment horizontal="right"/>
      <protection/>
    </xf>
    <xf numFmtId="3" fontId="13" fillId="0" borderId="22" xfId="119" applyNumberFormat="1" applyFont="1" applyFill="1" applyBorder="1" applyAlignment="1">
      <alignment horizontal="left" wrapText="1"/>
      <protection/>
    </xf>
    <xf numFmtId="3" fontId="13" fillId="0" borderId="112" xfId="119" applyNumberFormat="1" applyFont="1" applyFill="1" applyBorder="1" applyAlignment="1">
      <alignment horizontal="left" wrapText="1"/>
      <protection/>
    </xf>
    <xf numFmtId="3" fontId="13" fillId="0" borderId="179" xfId="119" applyNumberFormat="1" applyFont="1" applyFill="1" applyBorder="1" applyAlignment="1">
      <alignment horizontal="left" wrapText="1"/>
      <protection/>
    </xf>
    <xf numFmtId="3" fontId="6" fillId="0" borderId="0" xfId="0" applyNumberFormat="1" applyFont="1" applyFill="1" applyBorder="1" applyAlignment="1">
      <alignment horizontal="left" vertical="top"/>
    </xf>
    <xf numFmtId="3" fontId="13" fillId="0" borderId="241" xfId="119" applyNumberFormat="1" applyFont="1" applyFill="1" applyBorder="1" applyAlignment="1">
      <alignment horizontal="center" vertical="center" wrapText="1"/>
      <protection/>
    </xf>
    <xf numFmtId="3" fontId="13" fillId="0" borderId="242" xfId="119" applyNumberFormat="1" applyFont="1" applyFill="1" applyBorder="1" applyAlignment="1">
      <alignment horizontal="center" vertical="center" wrapText="1"/>
      <protection/>
    </xf>
    <xf numFmtId="3" fontId="10" fillId="0" borderId="243" xfId="0" applyNumberFormat="1" applyFont="1" applyFill="1" applyBorder="1" applyAlignment="1">
      <alignment horizontal="center" vertical="center"/>
    </xf>
    <xf numFmtId="3" fontId="10" fillId="0" borderId="244" xfId="0" applyNumberFormat="1" applyFont="1" applyFill="1" applyBorder="1" applyAlignment="1">
      <alignment horizontal="center" vertical="center"/>
    </xf>
    <xf numFmtId="3" fontId="10" fillId="0" borderId="241" xfId="119" applyNumberFormat="1" applyFont="1" applyFill="1" applyBorder="1" applyAlignment="1">
      <alignment horizontal="center" vertical="center" wrapText="1"/>
      <protection/>
    </xf>
    <xf numFmtId="3" fontId="10" fillId="0" borderId="242" xfId="119" applyNumberFormat="1" applyFont="1" applyFill="1" applyBorder="1" applyAlignment="1">
      <alignment horizontal="center" vertical="center" wrapText="1"/>
      <protection/>
    </xf>
    <xf numFmtId="3" fontId="10" fillId="0" borderId="245" xfId="119" applyNumberFormat="1" applyFont="1" applyFill="1" applyBorder="1" applyAlignment="1">
      <alignment horizontal="center" vertical="center" textRotation="90"/>
      <protection/>
    </xf>
    <xf numFmtId="3" fontId="10" fillId="0" borderId="246" xfId="119" applyNumberFormat="1" applyFont="1" applyFill="1" applyBorder="1" applyAlignment="1">
      <alignment horizontal="center" vertical="center" textRotation="90"/>
      <protection/>
    </xf>
    <xf numFmtId="3" fontId="10" fillId="0" borderId="241" xfId="119" applyNumberFormat="1" applyFont="1" applyFill="1" applyBorder="1" applyAlignment="1">
      <alignment horizontal="center" vertical="center" textRotation="90"/>
      <protection/>
    </xf>
    <xf numFmtId="3" fontId="10" fillId="0" borderId="242" xfId="119" applyNumberFormat="1" applyFont="1" applyFill="1" applyBorder="1" applyAlignment="1">
      <alignment horizontal="center" vertical="center" textRotation="90"/>
      <protection/>
    </xf>
    <xf numFmtId="3" fontId="10" fillId="0" borderId="247" xfId="119" applyNumberFormat="1" applyFont="1" applyFill="1" applyBorder="1" applyAlignment="1">
      <alignment horizontal="center" vertical="center" wrapText="1"/>
      <protection/>
    </xf>
    <xf numFmtId="3" fontId="10" fillId="0" borderId="248" xfId="119" applyNumberFormat="1" applyFont="1" applyFill="1" applyBorder="1" applyAlignment="1">
      <alignment horizontal="center" vertical="center" wrapText="1"/>
      <protection/>
    </xf>
    <xf numFmtId="0" fontId="13" fillId="0" borderId="241" xfId="119" applyFont="1" applyFill="1" applyBorder="1" applyAlignment="1">
      <alignment horizontal="center" vertical="center" wrapText="1"/>
      <protection/>
    </xf>
    <xf numFmtId="0" fontId="13" fillId="0" borderId="242" xfId="119" applyFont="1" applyFill="1" applyBorder="1" applyAlignment="1">
      <alignment horizontal="center" vertical="center" wrapText="1"/>
      <protection/>
    </xf>
    <xf numFmtId="3" fontId="13" fillId="0" borderId="202" xfId="119" applyNumberFormat="1" applyFont="1" applyFill="1" applyBorder="1" applyAlignment="1">
      <alignment horizontal="center" vertical="center" wrapText="1"/>
      <protection/>
    </xf>
    <xf numFmtId="3" fontId="13" fillId="0" borderId="76" xfId="119" applyNumberFormat="1" applyFont="1" applyFill="1" applyBorder="1" applyAlignment="1">
      <alignment horizontal="center" vertical="center" wrapText="1"/>
      <protection/>
    </xf>
    <xf numFmtId="3" fontId="13" fillId="0" borderId="249" xfId="119" applyNumberFormat="1" applyFont="1" applyFill="1" applyBorder="1" applyAlignment="1">
      <alignment horizontal="center" vertical="center" wrapText="1"/>
      <protection/>
    </xf>
    <xf numFmtId="3" fontId="10" fillId="0" borderId="235" xfId="0" applyNumberFormat="1" applyFont="1" applyFill="1" applyBorder="1" applyAlignment="1">
      <alignment horizontal="center" vertical="center" textRotation="90" wrapText="1"/>
    </xf>
    <xf numFmtId="0" fontId="10" fillId="0" borderId="236" xfId="0" applyFont="1" applyFill="1" applyBorder="1" applyAlignment="1">
      <alignment horizontal="center" vertical="center" textRotation="90" wrapText="1"/>
    </xf>
    <xf numFmtId="3" fontId="12" fillId="0" borderId="105" xfId="0" applyNumberFormat="1" applyFont="1" applyFill="1" applyBorder="1" applyAlignment="1">
      <alignment horizontal="left" wrapText="1"/>
    </xf>
    <xf numFmtId="3" fontId="12" fillId="0" borderId="223" xfId="0" applyNumberFormat="1" applyFont="1" applyFill="1" applyBorder="1" applyAlignment="1">
      <alignment horizontal="left" wrapText="1"/>
    </xf>
    <xf numFmtId="3" fontId="12" fillId="0" borderId="250" xfId="0" applyNumberFormat="1" applyFont="1" applyFill="1" applyBorder="1" applyAlignment="1">
      <alignment horizontal="left" wrapText="1"/>
    </xf>
    <xf numFmtId="3" fontId="12" fillId="0" borderId="22" xfId="0" applyNumberFormat="1" applyFont="1" applyFill="1" applyBorder="1" applyAlignment="1">
      <alignment horizontal="left" wrapText="1"/>
    </xf>
    <xf numFmtId="3" fontId="13" fillId="0" borderId="0" xfId="119" applyNumberFormat="1" applyFont="1" applyFill="1" applyAlignment="1">
      <alignment horizontal="center" vertical="center" wrapText="1"/>
      <protection/>
    </xf>
    <xf numFmtId="0" fontId="12" fillId="0" borderId="0" xfId="119" applyFont="1" applyFill="1" applyBorder="1" applyAlignment="1">
      <alignment horizontal="right" wrapText="1"/>
      <protection/>
    </xf>
    <xf numFmtId="0" fontId="4" fillId="0" borderId="251" xfId="119" applyFont="1" applyFill="1" applyBorder="1" applyAlignment="1">
      <alignment horizontal="center" vertical="center" wrapText="1"/>
      <protection/>
    </xf>
    <xf numFmtId="0" fontId="4" fillId="0" borderId="252" xfId="119" applyFont="1" applyFill="1" applyBorder="1" applyAlignment="1">
      <alignment horizontal="center" vertical="center" wrapText="1"/>
      <protection/>
    </xf>
    <xf numFmtId="3" fontId="2" fillId="0" borderId="135" xfId="0" applyNumberFormat="1" applyFont="1" applyFill="1" applyBorder="1" applyAlignment="1">
      <alignment horizontal="center" vertical="center" wrapText="1"/>
    </xf>
    <xf numFmtId="3" fontId="2" fillId="0" borderId="164" xfId="0" applyNumberFormat="1" applyFont="1" applyFill="1" applyBorder="1" applyAlignment="1">
      <alignment horizontal="center" vertical="center" wrapText="1"/>
    </xf>
    <xf numFmtId="0" fontId="2" fillId="0" borderId="0" xfId="127" applyFont="1" applyFill="1" applyBorder="1" applyAlignment="1">
      <alignment horizontal="left" vertical="center"/>
      <protection/>
    </xf>
    <xf numFmtId="3" fontId="13" fillId="0" borderId="10" xfId="121" applyNumberFormat="1" applyFont="1" applyFill="1" applyBorder="1" applyAlignment="1">
      <alignment horizontal="center" vertical="center" wrapText="1"/>
      <protection/>
    </xf>
    <xf numFmtId="3" fontId="13" fillId="0" borderId="0" xfId="121" applyNumberFormat="1" applyFont="1" applyFill="1" applyBorder="1" applyAlignment="1">
      <alignment horizontal="center" vertical="center" wrapText="1"/>
      <protection/>
    </xf>
    <xf numFmtId="3" fontId="13" fillId="0" borderId="178" xfId="121" applyNumberFormat="1" applyFont="1" applyFill="1" applyBorder="1" applyAlignment="1">
      <alignment horizontal="center" vertical="center" wrapText="1"/>
      <protection/>
    </xf>
    <xf numFmtId="0" fontId="4" fillId="0" borderId="0" xfId="126" applyFont="1" applyFill="1" applyBorder="1" applyAlignment="1">
      <alignment horizontal="center"/>
      <protection/>
    </xf>
    <xf numFmtId="0" fontId="4" fillId="0" borderId="0" xfId="127" applyFont="1" applyFill="1" applyBorder="1" applyAlignment="1">
      <alignment horizontal="center" vertical="center"/>
      <protection/>
    </xf>
    <xf numFmtId="3" fontId="13" fillId="0" borderId="235" xfId="126" applyNumberFormat="1" applyFont="1" applyFill="1" applyBorder="1" applyAlignment="1">
      <alignment horizontal="center" vertical="center" wrapText="1"/>
      <protection/>
    </xf>
    <xf numFmtId="3" fontId="13" fillId="0" borderId="231" xfId="126" applyNumberFormat="1" applyFont="1" applyFill="1" applyBorder="1" applyAlignment="1">
      <alignment horizontal="center" vertical="center" wrapText="1"/>
      <protection/>
    </xf>
    <xf numFmtId="3" fontId="13" fillId="0" borderId="237" xfId="126" applyNumberFormat="1" applyFont="1" applyFill="1" applyBorder="1" applyAlignment="1">
      <alignment horizontal="center" vertical="center" wrapText="1"/>
      <protection/>
    </xf>
    <xf numFmtId="3" fontId="10" fillId="0" borderId="149" xfId="126" applyNumberFormat="1" applyFont="1" applyFill="1" applyBorder="1" applyAlignment="1">
      <alignment horizontal="center" vertical="center" wrapText="1"/>
      <protection/>
    </xf>
    <xf numFmtId="3" fontId="10" fillId="0" borderId="150" xfId="126" applyNumberFormat="1" applyFont="1" applyFill="1" applyBorder="1" applyAlignment="1">
      <alignment horizontal="center" vertical="center" wrapText="1"/>
      <protection/>
    </xf>
    <xf numFmtId="3" fontId="10" fillId="0" borderId="205" xfId="126" applyNumberFormat="1" applyFont="1" applyFill="1" applyBorder="1" applyAlignment="1">
      <alignment horizontal="center" vertical="center" wrapText="1"/>
      <protection/>
    </xf>
    <xf numFmtId="3" fontId="10" fillId="0" borderId="253" xfId="126" applyNumberFormat="1" applyFont="1" applyFill="1" applyBorder="1" applyAlignment="1">
      <alignment horizontal="center" vertical="center" wrapText="1"/>
      <protection/>
    </xf>
    <xf numFmtId="3" fontId="10" fillId="0" borderId="254" xfId="126" applyNumberFormat="1" applyFont="1" applyFill="1" applyBorder="1" applyAlignment="1">
      <alignment horizontal="center" vertical="center" wrapText="1"/>
      <protection/>
    </xf>
    <xf numFmtId="3" fontId="10" fillId="0" borderId="45" xfId="126" applyNumberFormat="1" applyFont="1" applyFill="1" applyBorder="1" applyAlignment="1">
      <alignment horizontal="center" vertical="center" wrapText="1"/>
      <protection/>
    </xf>
    <xf numFmtId="3" fontId="10" fillId="0" borderId="255" xfId="119" applyNumberFormat="1" applyFont="1" applyFill="1" applyBorder="1" applyAlignment="1">
      <alignment horizontal="center" vertical="center" textRotation="90"/>
      <protection/>
    </xf>
    <xf numFmtId="3" fontId="10" fillId="0" borderId="256" xfId="119" applyNumberFormat="1" applyFont="1" applyFill="1" applyBorder="1" applyAlignment="1">
      <alignment horizontal="center" vertical="center" textRotation="90"/>
      <protection/>
    </xf>
    <xf numFmtId="3" fontId="10" fillId="0" borderId="257" xfId="119" applyNumberFormat="1" applyFont="1" applyFill="1" applyBorder="1" applyAlignment="1">
      <alignment horizontal="center" vertical="center" textRotation="90"/>
      <protection/>
    </xf>
    <xf numFmtId="3" fontId="10" fillId="0" borderId="253" xfId="119" applyNumberFormat="1" applyFont="1" applyFill="1" applyBorder="1" applyAlignment="1">
      <alignment horizontal="center" vertical="center" textRotation="90"/>
      <protection/>
    </xf>
    <xf numFmtId="3" fontId="10" fillId="0" borderId="254" xfId="119" applyNumberFormat="1" applyFont="1" applyFill="1" applyBorder="1" applyAlignment="1">
      <alignment horizontal="center" vertical="center" textRotation="90"/>
      <protection/>
    </xf>
    <xf numFmtId="3" fontId="10" fillId="0" borderId="45" xfId="119" applyNumberFormat="1" applyFont="1" applyFill="1" applyBorder="1" applyAlignment="1">
      <alignment horizontal="center" vertical="center" textRotation="90"/>
      <protection/>
    </xf>
    <xf numFmtId="0" fontId="13" fillId="0" borderId="231" xfId="126" applyFont="1" applyFill="1" applyBorder="1" applyAlignment="1">
      <alignment horizontal="center" vertical="center" wrapText="1"/>
      <protection/>
    </xf>
    <xf numFmtId="0" fontId="13" fillId="0" borderId="258" xfId="126" applyFont="1" applyFill="1" applyBorder="1" applyAlignment="1">
      <alignment horizontal="center" vertical="center" wrapText="1"/>
      <protection/>
    </xf>
    <xf numFmtId="0" fontId="13" fillId="0" borderId="228" xfId="126" applyFont="1" applyFill="1" applyBorder="1" applyAlignment="1">
      <alignment horizontal="center" vertical="center" wrapText="1"/>
      <protection/>
    </xf>
    <xf numFmtId="3" fontId="10" fillId="0" borderId="225" xfId="126" applyNumberFormat="1" applyFont="1" applyFill="1" applyBorder="1" applyAlignment="1">
      <alignment horizontal="center" vertical="center" wrapText="1"/>
      <protection/>
    </xf>
    <xf numFmtId="3" fontId="13" fillId="0" borderId="259" xfId="126" applyNumberFormat="1" applyFont="1" applyFill="1" applyBorder="1" applyAlignment="1">
      <alignment horizontal="center" vertical="center" wrapText="1"/>
      <protection/>
    </xf>
    <xf numFmtId="3" fontId="13" fillId="0" borderId="260" xfId="126" applyNumberFormat="1" applyFont="1" applyFill="1" applyBorder="1" applyAlignment="1">
      <alignment horizontal="center" vertical="center" wrapText="1"/>
      <protection/>
    </xf>
    <xf numFmtId="0" fontId="10" fillId="0" borderId="261" xfId="126" applyFont="1" applyFill="1" applyBorder="1" applyAlignment="1">
      <alignment horizontal="center" vertical="center" textRotation="90" wrapText="1"/>
      <protection/>
    </xf>
    <xf numFmtId="0" fontId="10" fillId="0" borderId="262" xfId="126" applyFont="1" applyFill="1" applyBorder="1" applyAlignment="1">
      <alignment horizontal="center" vertical="center" textRotation="90" wrapText="1"/>
      <protection/>
    </xf>
    <xf numFmtId="0" fontId="10" fillId="0" borderId="46" xfId="126" applyFont="1" applyFill="1" applyBorder="1" applyAlignment="1">
      <alignment horizontal="center" vertical="center" textRotation="90" wrapText="1"/>
      <protection/>
    </xf>
    <xf numFmtId="3" fontId="10" fillId="0" borderId="61" xfId="126" applyNumberFormat="1" applyFont="1" applyFill="1" applyBorder="1" applyAlignment="1">
      <alignment horizontal="center" vertical="center" wrapText="1"/>
      <protection/>
    </xf>
    <xf numFmtId="3" fontId="10" fillId="0" borderId="66" xfId="126" applyNumberFormat="1" applyFont="1" applyFill="1" applyBorder="1" applyAlignment="1">
      <alignment horizontal="center" vertical="center" wrapText="1"/>
      <protection/>
    </xf>
    <xf numFmtId="3" fontId="10" fillId="0" borderId="263" xfId="126" applyNumberFormat="1" applyFont="1" applyFill="1" applyBorder="1" applyAlignment="1">
      <alignment horizontal="center" vertical="center" wrapText="1"/>
      <protection/>
    </xf>
    <xf numFmtId="3" fontId="2" fillId="0" borderId="0" xfId="126" applyNumberFormat="1" applyFont="1" applyFill="1" applyBorder="1" applyAlignment="1">
      <alignment horizontal="right"/>
      <protection/>
    </xf>
    <xf numFmtId="3" fontId="84" fillId="0" borderId="112" xfId="124" applyNumberFormat="1" applyFont="1" applyFill="1" applyBorder="1" applyAlignment="1">
      <alignment horizontal="left"/>
      <protection/>
    </xf>
    <xf numFmtId="3" fontId="84" fillId="0" borderId="179" xfId="124" applyNumberFormat="1" applyFont="1" applyFill="1" applyBorder="1" applyAlignment="1">
      <alignment horizontal="left"/>
      <protection/>
    </xf>
    <xf numFmtId="0" fontId="4" fillId="0" borderId="0" xfId="126" applyFont="1" applyFill="1" applyAlignment="1">
      <alignment horizontal="center"/>
      <protection/>
    </xf>
    <xf numFmtId="0" fontId="4" fillId="0" borderId="0" xfId="127" applyFont="1" applyFill="1" applyAlignment="1">
      <alignment horizontal="center" vertical="center"/>
      <protection/>
    </xf>
    <xf numFmtId="3" fontId="12" fillId="0" borderId="20" xfId="124" applyNumberFormat="1" applyFont="1" applyFill="1" applyBorder="1" applyAlignment="1">
      <alignment horizontal="left"/>
      <protection/>
    </xf>
    <xf numFmtId="0" fontId="0" fillId="0" borderId="20" xfId="0" applyFill="1" applyBorder="1" applyAlignment="1">
      <alignment horizontal="left"/>
    </xf>
    <xf numFmtId="0" fontId="0" fillId="0" borderId="22" xfId="0" applyFill="1" applyBorder="1" applyAlignment="1">
      <alignment horizontal="left"/>
    </xf>
    <xf numFmtId="3" fontId="13" fillId="0" borderId="118" xfId="124" applyNumberFormat="1" applyFont="1" applyFill="1" applyBorder="1" applyAlignment="1">
      <alignment horizontal="left"/>
      <protection/>
    </xf>
    <xf numFmtId="0" fontId="0" fillId="0" borderId="118" xfId="0" applyFill="1" applyBorder="1" applyAlignment="1">
      <alignment horizontal="left"/>
    </xf>
    <xf numFmtId="0" fontId="0" fillId="0" borderId="207" xfId="0" applyFill="1" applyBorder="1" applyAlignment="1">
      <alignment horizontal="left"/>
    </xf>
    <xf numFmtId="3" fontId="13" fillId="0" borderId="90" xfId="126" applyNumberFormat="1" applyFont="1" applyFill="1" applyBorder="1" applyAlignment="1">
      <alignment horizontal="center" vertical="center" wrapText="1"/>
      <protection/>
    </xf>
    <xf numFmtId="3" fontId="13" fillId="0" borderId="264" xfId="126" applyNumberFormat="1" applyFont="1" applyFill="1" applyBorder="1" applyAlignment="1">
      <alignment horizontal="center" vertical="center" wrapText="1"/>
      <protection/>
    </xf>
    <xf numFmtId="3" fontId="13" fillId="0" borderId="35" xfId="121" applyNumberFormat="1" applyFont="1" applyFill="1" applyBorder="1" applyAlignment="1">
      <alignment horizontal="center" vertical="center" wrapText="1"/>
      <protection/>
    </xf>
    <xf numFmtId="3" fontId="13" fillId="0" borderId="36" xfId="121" applyNumberFormat="1" applyFont="1" applyFill="1" applyBorder="1" applyAlignment="1">
      <alignment horizontal="center" vertical="center" wrapText="1"/>
      <protection/>
    </xf>
    <xf numFmtId="3" fontId="13" fillId="0" borderId="59" xfId="121" applyNumberFormat="1" applyFont="1" applyFill="1" applyBorder="1" applyAlignment="1">
      <alignment horizontal="center" vertical="center" wrapText="1"/>
      <protection/>
    </xf>
    <xf numFmtId="0" fontId="84" fillId="0" borderId="20" xfId="121" applyFont="1" applyFill="1" applyBorder="1" applyAlignment="1">
      <alignment horizontal="left"/>
      <protection/>
    </xf>
    <xf numFmtId="0" fontId="84" fillId="0" borderId="22" xfId="121" applyFont="1" applyFill="1" applyBorder="1" applyAlignment="1">
      <alignment horizontal="left"/>
      <protection/>
    </xf>
    <xf numFmtId="3" fontId="4" fillId="0" borderId="207" xfId="124" applyNumberFormat="1" applyFont="1" applyFill="1" applyBorder="1" applyAlignment="1">
      <alignment horizontal="left"/>
      <protection/>
    </xf>
    <xf numFmtId="3" fontId="4" fillId="0" borderId="174" xfId="124" applyNumberFormat="1" applyFont="1" applyFill="1" applyBorder="1" applyAlignment="1">
      <alignment horizontal="left"/>
      <protection/>
    </xf>
    <xf numFmtId="3" fontId="4" fillId="0" borderId="224" xfId="124" applyNumberFormat="1" applyFont="1" applyFill="1" applyBorder="1" applyAlignment="1">
      <alignment horizontal="left"/>
      <protection/>
    </xf>
    <xf numFmtId="3" fontId="4" fillId="0" borderId="227" xfId="121" applyNumberFormat="1" applyFont="1" applyFill="1" applyBorder="1" applyAlignment="1">
      <alignment horizontal="center" vertical="center" wrapText="1"/>
      <protection/>
    </xf>
    <xf numFmtId="3" fontId="4" fillId="0" borderId="206" xfId="121" applyNumberFormat="1" applyFont="1" applyFill="1" applyBorder="1" applyAlignment="1">
      <alignment horizontal="center" vertical="center" wrapText="1"/>
      <protection/>
    </xf>
    <xf numFmtId="3" fontId="4" fillId="0" borderId="265" xfId="121" applyNumberFormat="1" applyFont="1" applyFill="1" applyBorder="1" applyAlignment="1">
      <alignment horizontal="center" vertical="center" wrapText="1"/>
      <protection/>
    </xf>
    <xf numFmtId="3" fontId="2" fillId="0" borderId="253" xfId="119" applyNumberFormat="1" applyFont="1" applyFill="1" applyBorder="1" applyAlignment="1">
      <alignment horizontal="center" vertical="center" textRotation="90"/>
      <protection/>
    </xf>
    <xf numFmtId="3" fontId="2" fillId="0" borderId="254" xfId="119" applyNumberFormat="1" applyFont="1" applyFill="1" applyBorder="1" applyAlignment="1">
      <alignment horizontal="center" vertical="center" textRotation="90"/>
      <protection/>
    </xf>
    <xf numFmtId="3" fontId="2" fillId="0" borderId="45" xfId="119" applyNumberFormat="1" applyFont="1" applyFill="1" applyBorder="1" applyAlignment="1">
      <alignment horizontal="center" vertical="center" textRotation="90"/>
      <protection/>
    </xf>
    <xf numFmtId="0" fontId="88" fillId="0" borderId="24" xfId="121" applyFont="1" applyFill="1" applyBorder="1" applyAlignment="1">
      <alignment horizontal="left"/>
      <protection/>
    </xf>
    <xf numFmtId="0" fontId="88" fillId="0" borderId="97" xfId="121" applyFont="1" applyFill="1" applyBorder="1" applyAlignment="1">
      <alignment horizontal="left"/>
      <protection/>
    </xf>
    <xf numFmtId="0" fontId="88" fillId="0" borderId="221" xfId="121" applyFont="1" applyFill="1" applyBorder="1" applyAlignment="1">
      <alignment horizontal="left"/>
      <protection/>
    </xf>
    <xf numFmtId="3" fontId="5" fillId="0" borderId="22" xfId="124" applyNumberFormat="1" applyFont="1" applyFill="1" applyBorder="1" applyAlignment="1">
      <alignment horizontal="left"/>
      <protection/>
    </xf>
    <xf numFmtId="3" fontId="5" fillId="0" borderId="112" xfId="124" applyNumberFormat="1" applyFont="1" applyFill="1" applyBorder="1" applyAlignment="1">
      <alignment horizontal="left"/>
      <protection/>
    </xf>
    <xf numFmtId="3" fontId="5" fillId="0" borderId="179" xfId="124" applyNumberFormat="1" applyFont="1" applyFill="1" applyBorder="1" applyAlignment="1">
      <alignment horizontal="left"/>
      <protection/>
    </xf>
    <xf numFmtId="0" fontId="2" fillId="0" borderId="0" xfId="126" applyFont="1" applyFill="1" applyBorder="1" applyAlignment="1">
      <alignment horizontal="center"/>
      <protection/>
    </xf>
    <xf numFmtId="3" fontId="2" fillId="0" borderId="255" xfId="119" applyNumberFormat="1" applyFont="1" applyFill="1" applyBorder="1" applyAlignment="1">
      <alignment horizontal="center" vertical="center" textRotation="90"/>
      <protection/>
    </xf>
    <xf numFmtId="3" fontId="2" fillId="0" borderId="256" xfId="119" applyNumberFormat="1" applyFont="1" applyFill="1" applyBorder="1" applyAlignment="1">
      <alignment horizontal="center" vertical="center" textRotation="90"/>
      <protection/>
    </xf>
    <xf numFmtId="3" fontId="2" fillId="0" borderId="257" xfId="119" applyNumberFormat="1" applyFont="1" applyFill="1" applyBorder="1" applyAlignment="1">
      <alignment horizontal="center" vertical="center" textRotation="90"/>
      <protection/>
    </xf>
    <xf numFmtId="3" fontId="2" fillId="0" borderId="253" xfId="126" applyNumberFormat="1" applyFont="1" applyFill="1" applyBorder="1" applyAlignment="1">
      <alignment horizontal="center" vertical="center" wrapText="1"/>
      <protection/>
    </xf>
    <xf numFmtId="3" fontId="2" fillId="0" borderId="254" xfId="126" applyNumberFormat="1" applyFont="1" applyFill="1" applyBorder="1" applyAlignment="1">
      <alignment horizontal="center" vertical="center" wrapText="1"/>
      <protection/>
    </xf>
    <xf numFmtId="3" fontId="2" fillId="0" borderId="45" xfId="126" applyNumberFormat="1" applyFont="1" applyFill="1" applyBorder="1" applyAlignment="1">
      <alignment horizontal="center" vertical="center" wrapText="1"/>
      <protection/>
    </xf>
    <xf numFmtId="0" fontId="4" fillId="0" borderId="0" xfId="127" applyFont="1" applyFill="1" applyBorder="1" applyAlignment="1">
      <alignment horizontal="center"/>
      <protection/>
    </xf>
    <xf numFmtId="0" fontId="2" fillId="0" borderId="231" xfId="126" applyFont="1" applyFill="1" applyBorder="1" applyAlignment="1">
      <alignment horizontal="center" vertical="center"/>
      <protection/>
    </xf>
    <xf numFmtId="0" fontId="2" fillId="0" borderId="258" xfId="126" applyFont="1" applyFill="1" applyBorder="1" applyAlignment="1">
      <alignment horizontal="center" vertical="center"/>
      <protection/>
    </xf>
    <xf numFmtId="0" fontId="2" fillId="0" borderId="228" xfId="126" applyFont="1" applyFill="1" applyBorder="1" applyAlignment="1">
      <alignment horizontal="center" vertical="center"/>
      <protection/>
    </xf>
    <xf numFmtId="3" fontId="2" fillId="0" borderId="61" xfId="126" applyNumberFormat="1" applyFont="1" applyFill="1" applyBorder="1" applyAlignment="1">
      <alignment horizontal="center" vertical="center" wrapText="1"/>
      <protection/>
    </xf>
    <xf numFmtId="3" fontId="2" fillId="0" borderId="66" xfId="126" applyNumberFormat="1" applyFont="1" applyFill="1" applyBorder="1" applyAlignment="1">
      <alignment horizontal="center" vertical="center" wrapText="1"/>
      <protection/>
    </xf>
    <xf numFmtId="3" fontId="2" fillId="0" borderId="263" xfId="126" applyNumberFormat="1" applyFont="1" applyFill="1" applyBorder="1" applyAlignment="1">
      <alignment horizontal="center" vertical="center" wrapText="1"/>
      <protection/>
    </xf>
    <xf numFmtId="3" fontId="2" fillId="0" borderId="60" xfId="126" applyNumberFormat="1" applyFont="1" applyFill="1" applyBorder="1" applyAlignment="1">
      <alignment horizontal="center" vertical="center" wrapText="1"/>
      <protection/>
    </xf>
    <xf numFmtId="3" fontId="2" fillId="0" borderId="192" xfId="126" applyNumberFormat="1" applyFont="1" applyFill="1" applyBorder="1" applyAlignment="1">
      <alignment horizontal="center" vertical="center" wrapText="1"/>
      <protection/>
    </xf>
    <xf numFmtId="3" fontId="2" fillId="0" borderId="149" xfId="126" applyNumberFormat="1" applyFont="1" applyFill="1" applyBorder="1" applyAlignment="1">
      <alignment horizontal="center" vertical="center" wrapText="1"/>
      <protection/>
    </xf>
    <xf numFmtId="3" fontId="2" fillId="0" borderId="150" xfId="126" applyNumberFormat="1" applyFont="1" applyFill="1" applyBorder="1" applyAlignment="1">
      <alignment horizontal="center" vertical="center" wrapText="1"/>
      <protection/>
    </xf>
    <xf numFmtId="3" fontId="2" fillId="0" borderId="205" xfId="126" applyNumberFormat="1" applyFont="1" applyFill="1" applyBorder="1" applyAlignment="1">
      <alignment horizontal="center" vertical="center" wrapText="1"/>
      <protection/>
    </xf>
    <xf numFmtId="3" fontId="2" fillId="0" borderId="266" xfId="126" applyNumberFormat="1" applyFont="1" applyFill="1" applyBorder="1" applyAlignment="1">
      <alignment horizontal="center" vertical="center" wrapText="1"/>
      <protection/>
    </xf>
    <xf numFmtId="3" fontId="2" fillId="0" borderId="267" xfId="126" applyNumberFormat="1" applyFont="1" applyFill="1" applyBorder="1" applyAlignment="1">
      <alignment horizontal="center" vertical="center" wrapText="1"/>
      <protection/>
    </xf>
    <xf numFmtId="3" fontId="2" fillId="0" borderId="268" xfId="126" applyNumberFormat="1" applyFont="1" applyFill="1" applyBorder="1" applyAlignment="1">
      <alignment horizontal="center" vertical="center" wrapText="1"/>
      <protection/>
    </xf>
    <xf numFmtId="3" fontId="2" fillId="0" borderId="269" xfId="126" applyNumberFormat="1" applyFont="1" applyFill="1" applyBorder="1" applyAlignment="1">
      <alignment horizontal="center" vertical="center" wrapText="1"/>
      <protection/>
    </xf>
    <xf numFmtId="3" fontId="4" fillId="0" borderId="92" xfId="126" applyNumberFormat="1" applyFont="1" applyFill="1" applyBorder="1" applyAlignment="1">
      <alignment horizontal="center" vertical="center" wrapText="1"/>
      <protection/>
    </xf>
    <xf numFmtId="3" fontId="4" fillId="0" borderId="260" xfId="126" applyNumberFormat="1" applyFont="1" applyFill="1" applyBorder="1" applyAlignment="1">
      <alignment horizontal="center" vertical="center" wrapText="1"/>
      <protection/>
    </xf>
    <xf numFmtId="0" fontId="84" fillId="0" borderId="24" xfId="121" applyFont="1" applyFill="1" applyBorder="1" applyAlignment="1">
      <alignment horizontal="left"/>
      <protection/>
    </xf>
    <xf numFmtId="0" fontId="84" fillId="0" borderId="97" xfId="121" applyFont="1" applyFill="1" applyBorder="1" applyAlignment="1">
      <alignment horizontal="left"/>
      <protection/>
    </xf>
    <xf numFmtId="0" fontId="84" fillId="0" borderId="221" xfId="121" applyFont="1" applyFill="1" applyBorder="1" applyAlignment="1">
      <alignment horizontal="left"/>
      <protection/>
    </xf>
    <xf numFmtId="3" fontId="4" fillId="0" borderId="100" xfId="121" applyNumberFormat="1" applyFont="1" applyFill="1" applyBorder="1" applyAlignment="1">
      <alignment horizontal="center" vertical="center" wrapText="1"/>
      <protection/>
    </xf>
    <xf numFmtId="3" fontId="4" fillId="0" borderId="97" xfId="121" applyNumberFormat="1" applyFont="1" applyFill="1" applyBorder="1" applyAlignment="1">
      <alignment horizontal="center" vertical="center" wrapText="1"/>
      <protection/>
    </xf>
    <xf numFmtId="3" fontId="4" fillId="0" borderId="221" xfId="121" applyNumberFormat="1" applyFont="1" applyFill="1" applyBorder="1" applyAlignment="1">
      <alignment horizontal="center" vertical="center" wrapText="1"/>
      <protection/>
    </xf>
    <xf numFmtId="0" fontId="2" fillId="0" borderId="0" xfId="0" applyFont="1" applyBorder="1" applyAlignment="1">
      <alignment horizontal="left" vertical="center"/>
    </xf>
    <xf numFmtId="0" fontId="10" fillId="0" borderId="90" xfId="123" applyFont="1" applyBorder="1" applyAlignment="1">
      <alignment horizontal="center" vertical="center" wrapText="1"/>
      <protection/>
    </xf>
    <xf numFmtId="0" fontId="95" fillId="0" borderId="131" xfId="66" applyFont="1" applyBorder="1" applyAlignment="1">
      <alignment horizontal="center" vertical="center"/>
      <protection/>
    </xf>
    <xf numFmtId="0" fontId="95" fillId="0" borderId="217" xfId="66" applyFont="1" applyBorder="1" applyAlignment="1">
      <alignment horizontal="center" vertical="center"/>
      <protection/>
    </xf>
    <xf numFmtId="0" fontId="95" fillId="0" borderId="10" xfId="66" applyFont="1" applyBorder="1" applyAlignment="1">
      <alignment horizontal="center" vertical="center"/>
      <protection/>
    </xf>
    <xf numFmtId="0" fontId="95" fillId="0" borderId="217" xfId="66" applyFont="1" applyBorder="1" applyAlignment="1">
      <alignment horizontal="left" vertical="center" wrapText="1"/>
      <protection/>
    </xf>
    <xf numFmtId="0" fontId="67" fillId="0" borderId="218" xfId="66" applyBorder="1" applyAlignment="1">
      <alignment horizontal="left" vertical="center" wrapText="1"/>
      <protection/>
    </xf>
    <xf numFmtId="3" fontId="95" fillId="0" borderId="232" xfId="66" applyNumberFormat="1" applyFont="1" applyBorder="1" applyAlignment="1">
      <alignment horizontal="right" vertical="center"/>
      <protection/>
    </xf>
    <xf numFmtId="3" fontId="95" fillId="0" borderId="225" xfId="66" applyNumberFormat="1" applyFont="1" applyBorder="1" applyAlignment="1">
      <alignment horizontal="right" vertical="center"/>
      <protection/>
    </xf>
    <xf numFmtId="0" fontId="97" fillId="0" borderId="217" xfId="66" applyFont="1" applyBorder="1" applyAlignment="1">
      <alignment horizontal="left" vertical="center" wrapText="1"/>
      <protection/>
    </xf>
    <xf numFmtId="3" fontId="95" fillId="0" borderId="11" xfId="66" applyNumberFormat="1" applyFont="1" applyBorder="1" applyAlignment="1">
      <alignment horizontal="right" vertical="center"/>
      <protection/>
    </xf>
    <xf numFmtId="0" fontId="95" fillId="0" borderId="80" xfId="66" applyFont="1" applyBorder="1" applyAlignment="1">
      <alignment horizontal="center" vertical="center"/>
      <protection/>
    </xf>
    <xf numFmtId="0" fontId="2" fillId="0" borderId="0" xfId="66" applyFont="1" applyAlignment="1">
      <alignment horizontal="left" vertical="center"/>
      <protection/>
    </xf>
    <xf numFmtId="0" fontId="67" fillId="0" borderId="0" xfId="66" applyAlignment="1">
      <alignment horizontal="left" vertical="center"/>
      <protection/>
    </xf>
    <xf numFmtId="0" fontId="4" fillId="0" borderId="0" xfId="123" applyFont="1" applyAlignment="1">
      <alignment horizontal="center" wrapText="1"/>
      <protection/>
    </xf>
    <xf numFmtId="0" fontId="2" fillId="0" borderId="54" xfId="123" applyFont="1" applyBorder="1" applyAlignment="1">
      <alignment horizontal="center"/>
      <protection/>
    </xf>
    <xf numFmtId="0" fontId="96" fillId="0" borderId="217" xfId="66" applyFont="1" applyBorder="1" applyAlignment="1">
      <alignment horizontal="center" vertical="center" wrapText="1"/>
      <protection/>
    </xf>
    <xf numFmtId="0" fontId="96" fillId="0" borderId="90" xfId="66" applyFont="1" applyBorder="1" applyAlignment="1">
      <alignment horizontal="center" vertical="center" wrapText="1"/>
      <protection/>
    </xf>
    <xf numFmtId="0" fontId="79" fillId="0" borderId="218" xfId="66" applyFont="1" applyBorder="1" applyAlignment="1">
      <alignment horizontal="center" vertical="center" wrapText="1"/>
      <protection/>
    </xf>
    <xf numFmtId="0" fontId="96" fillId="0" borderId="15" xfId="66" applyFont="1" applyBorder="1" applyAlignment="1">
      <alignment horizontal="center" vertical="center" wrapText="1"/>
      <protection/>
    </xf>
    <xf numFmtId="0" fontId="67" fillId="0" borderId="16" xfId="66" applyBorder="1" applyAlignment="1">
      <alignment horizontal="center" vertical="center" wrapText="1"/>
      <protection/>
    </xf>
    <xf numFmtId="0" fontId="67" fillId="0" borderId="151" xfId="66" applyBorder="1" applyAlignment="1">
      <alignment horizontal="center" vertical="center" wrapText="1"/>
      <protection/>
    </xf>
    <xf numFmtId="3" fontId="4" fillId="0" borderId="0" xfId="122" applyNumberFormat="1" applyFont="1" applyAlignment="1">
      <alignment horizontal="center"/>
      <protection/>
    </xf>
    <xf numFmtId="3" fontId="12" fillId="0" borderId="0" xfId="122" applyNumberFormat="1" applyFont="1" applyBorder="1" applyAlignment="1">
      <alignment horizontal="right"/>
      <protection/>
    </xf>
    <xf numFmtId="3" fontId="2" fillId="0" borderId="0" xfId="122" applyNumberFormat="1" applyFont="1" applyBorder="1" applyAlignment="1">
      <alignment horizontal="left" wrapText="1"/>
      <protection/>
    </xf>
    <xf numFmtId="3" fontId="2" fillId="0" borderId="0" xfId="122" applyNumberFormat="1" applyFont="1" applyAlignment="1">
      <alignment horizontal="left" wrapText="1"/>
      <protection/>
    </xf>
    <xf numFmtId="3" fontId="4" fillId="0" borderId="15" xfId="122" applyNumberFormat="1" applyFont="1" applyBorder="1" applyAlignment="1">
      <alignment horizontal="center" vertical="center"/>
      <protection/>
    </xf>
    <xf numFmtId="3" fontId="4" fillId="0" borderId="16" xfId="122" applyNumberFormat="1" applyFont="1" applyBorder="1" applyAlignment="1">
      <alignment horizontal="center" vertical="center"/>
      <protection/>
    </xf>
    <xf numFmtId="0" fontId="2" fillId="0" borderId="0" xfId="0" applyFont="1" applyFill="1" applyBorder="1" applyAlignment="1">
      <alignment horizontal="left" vertical="top"/>
    </xf>
    <xf numFmtId="3" fontId="2" fillId="0" borderId="63" xfId="122" applyNumberFormat="1" applyFont="1" applyBorder="1" applyAlignment="1">
      <alignment horizontal="center" vertical="center" wrapText="1"/>
      <protection/>
    </xf>
    <xf numFmtId="3" fontId="2" fillId="0" borderId="68" xfId="122" applyNumberFormat="1" applyFont="1" applyBorder="1" applyAlignment="1">
      <alignment horizontal="center" vertical="center" wrapText="1"/>
      <protection/>
    </xf>
    <xf numFmtId="3" fontId="2" fillId="0" borderId="270" xfId="122" applyNumberFormat="1" applyFont="1" applyBorder="1" applyAlignment="1">
      <alignment horizontal="center" vertical="center" wrapText="1"/>
      <protection/>
    </xf>
    <xf numFmtId="3" fontId="2" fillId="0" borderId="271" xfId="122" applyNumberFormat="1" applyFont="1" applyBorder="1" applyAlignment="1">
      <alignment horizontal="center" vertical="center" wrapText="1"/>
      <protection/>
    </xf>
    <xf numFmtId="3" fontId="2" fillId="0" borderId="272" xfId="122" applyNumberFormat="1" applyFont="1" applyBorder="1" applyAlignment="1">
      <alignment horizontal="center" vertical="center" wrapText="1"/>
      <protection/>
    </xf>
    <xf numFmtId="3" fontId="2" fillId="0" borderId="267" xfId="122" applyNumberFormat="1" applyFont="1" applyFill="1" applyBorder="1" applyAlignment="1">
      <alignment horizontal="center" vertical="center" wrapText="1"/>
      <protection/>
    </xf>
    <xf numFmtId="3" fontId="2" fillId="0" borderId="228" xfId="122" applyNumberFormat="1" applyFont="1" applyFill="1" applyBorder="1" applyAlignment="1">
      <alignment horizontal="center" vertical="center" wrapText="1"/>
      <protection/>
    </xf>
    <xf numFmtId="0" fontId="2" fillId="0" borderId="254" xfId="122" applyNumberFormat="1" applyFont="1" applyBorder="1" applyAlignment="1">
      <alignment horizontal="center" vertical="center" wrapText="1"/>
      <protection/>
    </xf>
    <xf numFmtId="3" fontId="2" fillId="0" borderId="194" xfId="122" applyNumberFormat="1" applyFont="1" applyBorder="1" applyAlignment="1">
      <alignment horizontal="center" vertical="center" wrapText="1"/>
      <protection/>
    </xf>
    <xf numFmtId="3" fontId="2" fillId="0" borderId="273" xfId="122" applyNumberFormat="1" applyFont="1" applyBorder="1" applyAlignment="1">
      <alignment horizontal="center" vertical="center" wrapText="1"/>
      <protection/>
    </xf>
    <xf numFmtId="3" fontId="2" fillId="0" borderId="229" xfId="122" applyNumberFormat="1" applyFont="1" applyBorder="1" applyAlignment="1">
      <alignment horizontal="center" vertical="center" textRotation="90" wrapText="1"/>
      <protection/>
    </xf>
    <xf numFmtId="3" fontId="2" fillId="0" borderId="274" xfId="122" applyNumberFormat="1" applyFont="1" applyBorder="1" applyAlignment="1">
      <alignment horizontal="center" vertical="center" textRotation="90" wrapText="1"/>
      <protection/>
    </xf>
    <xf numFmtId="3" fontId="2" fillId="0" borderId="230" xfId="122" applyNumberFormat="1" applyFont="1" applyBorder="1" applyAlignment="1">
      <alignment horizontal="center" vertical="center" textRotation="90" wrapText="1"/>
      <protection/>
    </xf>
    <xf numFmtId="3" fontId="2" fillId="0" borderId="231" xfId="122" applyNumberFormat="1" applyFont="1" applyBorder="1" applyAlignment="1">
      <alignment horizontal="center" vertical="center" textRotation="90" wrapText="1"/>
      <protection/>
    </xf>
    <xf numFmtId="3" fontId="2" fillId="0" borderId="258" xfId="122" applyNumberFormat="1" applyFont="1" applyBorder="1" applyAlignment="1">
      <alignment horizontal="center" vertical="center" textRotation="90" wrapText="1"/>
      <protection/>
    </xf>
    <xf numFmtId="3" fontId="2" fillId="0" borderId="228" xfId="122" applyNumberFormat="1" applyFont="1" applyBorder="1" applyAlignment="1">
      <alignment horizontal="center" vertical="center" textRotation="90" wrapText="1"/>
      <protection/>
    </xf>
    <xf numFmtId="3" fontId="2" fillId="0" borderId="235" xfId="122" applyNumberFormat="1" applyFont="1" applyBorder="1" applyAlignment="1">
      <alignment horizontal="center" vertical="center" wrapText="1"/>
      <protection/>
    </xf>
    <xf numFmtId="3" fontId="2" fillId="0" borderId="77" xfId="122" applyNumberFormat="1" applyFont="1" applyBorder="1" applyAlignment="1">
      <alignment horizontal="center" vertical="center" wrapText="1"/>
      <protection/>
    </xf>
    <xf numFmtId="3" fontId="2" fillId="0" borderId="236" xfId="122" applyNumberFormat="1" applyFont="1" applyBorder="1" applyAlignment="1">
      <alignment horizontal="center" vertical="center" wrapText="1"/>
      <protection/>
    </xf>
    <xf numFmtId="14" fontId="2" fillId="0" borderId="233" xfId="122" applyNumberFormat="1" applyFont="1" applyBorder="1" applyAlignment="1">
      <alignment horizontal="center" vertical="center" wrapText="1"/>
      <protection/>
    </xf>
    <xf numFmtId="14" fontId="2" fillId="0" borderId="64" xfId="122" applyNumberFormat="1" applyFont="1" applyBorder="1" applyAlignment="1">
      <alignment horizontal="center" vertical="center" wrapText="1"/>
      <protection/>
    </xf>
    <xf numFmtId="14" fontId="2" fillId="0" borderId="86" xfId="122" applyNumberFormat="1" applyFont="1" applyBorder="1" applyAlignment="1">
      <alignment horizontal="center" vertical="center" wrapText="1"/>
      <protection/>
    </xf>
    <xf numFmtId="3" fontId="2" fillId="0" borderId="60" xfId="122" applyNumberFormat="1" applyFont="1" applyBorder="1" applyAlignment="1">
      <alignment horizontal="center" vertical="center" wrapText="1"/>
      <protection/>
    </xf>
    <xf numFmtId="3" fontId="2" fillId="0" borderId="253" xfId="122" applyNumberFormat="1" applyFont="1" applyBorder="1" applyAlignment="1">
      <alignment horizontal="center" vertical="center" wrapText="1"/>
      <protection/>
    </xf>
    <xf numFmtId="3" fontId="2" fillId="0" borderId="192" xfId="122" applyNumberFormat="1" applyFont="1" applyBorder="1" applyAlignment="1">
      <alignment horizontal="center" vertical="center" wrapText="1"/>
      <protection/>
    </xf>
    <xf numFmtId="3" fontId="2" fillId="0" borderId="261" xfId="122" applyNumberFormat="1" applyFont="1" applyBorder="1" applyAlignment="1">
      <alignment horizontal="center" vertical="center" wrapText="1"/>
      <protection/>
    </xf>
    <xf numFmtId="3" fontId="2" fillId="0" borderId="262" xfId="122" applyNumberFormat="1" applyFont="1" applyBorder="1" applyAlignment="1">
      <alignment horizontal="center" vertical="center" wrapText="1"/>
      <protection/>
    </xf>
    <xf numFmtId="3" fontId="2" fillId="0" borderId="254" xfId="122" applyNumberFormat="1" applyFont="1" applyBorder="1" applyAlignment="1">
      <alignment horizontal="center" vertical="center" wrapText="1"/>
      <protection/>
    </xf>
  </cellXfs>
  <cellStyles count="125">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2" xfId="48"/>
    <cellStyle name="Ezres 3" xfId="49"/>
    <cellStyle name="Ezres 4" xfId="50"/>
    <cellStyle name="Ezres 4 2" xfId="51"/>
    <cellStyle name="Ezres 4 2 2" xfId="52"/>
    <cellStyle name="Ezres 4 3" xfId="53"/>
    <cellStyle name="Ezres 4 3 2" xfId="54"/>
    <cellStyle name="Ezres 4 4" xfId="55"/>
    <cellStyle name="Ezres 5" xfId="56"/>
    <cellStyle name="Figyelmeztetés" xfId="57"/>
    <cellStyle name="Hivatkozott cella" xfId="58"/>
    <cellStyle name="Jegyzet" xfId="59"/>
    <cellStyle name="Jó" xfId="60"/>
    <cellStyle name="Kimenet" xfId="61"/>
    <cellStyle name="Magyarázó szöveg" xfId="62"/>
    <cellStyle name="Normál 10" xfId="63"/>
    <cellStyle name="Normál 10 2" xfId="64"/>
    <cellStyle name="Normál 10 3" xfId="65"/>
    <cellStyle name="Normál 10 4" xfId="66"/>
    <cellStyle name="Normál 11" xfId="67"/>
    <cellStyle name="Normál 11 2" xfId="68"/>
    <cellStyle name="Normál 11 3" xfId="69"/>
    <cellStyle name="Normál 12" xfId="70"/>
    <cellStyle name="Normál 13" xfId="71"/>
    <cellStyle name="Normál 14" xfId="72"/>
    <cellStyle name="Normál 14 2" xfId="73"/>
    <cellStyle name="Normál 14 2 2" xfId="74"/>
    <cellStyle name="Normál 15" xfId="75"/>
    <cellStyle name="Normál 15 2" xfId="76"/>
    <cellStyle name="Normál 15 2 2" xfId="77"/>
    <cellStyle name="Normál 2" xfId="78"/>
    <cellStyle name="Normál 3" xfId="79"/>
    <cellStyle name="Normál 4" xfId="80"/>
    <cellStyle name="Normál 5" xfId="81"/>
    <cellStyle name="Normál 5 2" xfId="82"/>
    <cellStyle name="Normál 6" xfId="83"/>
    <cellStyle name="Normál 6 2" xfId="84"/>
    <cellStyle name="Normál 6 2 2" xfId="85"/>
    <cellStyle name="Normál 6 3" xfId="86"/>
    <cellStyle name="Normál 6 3 2" xfId="87"/>
    <cellStyle name="Normál 6 3 2 2" xfId="88"/>
    <cellStyle name="Normál 6 3 2 2 2" xfId="89"/>
    <cellStyle name="Normál 6 3 2 3" xfId="90"/>
    <cellStyle name="Normál 6 3 2 3 2" xfId="91"/>
    <cellStyle name="Normál 6 3 2 3 2 2" xfId="92"/>
    <cellStyle name="Normál 6 3 2 3 2 3" xfId="93"/>
    <cellStyle name="Normál 6 3 2 3 3" xfId="94"/>
    <cellStyle name="Normál 6 3 2 4" xfId="95"/>
    <cellStyle name="Normál 6 3 2 4 2" xfId="96"/>
    <cellStyle name="Normál 6 3 2 5" xfId="97"/>
    <cellStyle name="Normál 6 3 2 5 2" xfId="98"/>
    <cellStyle name="Normál 6 3 2 6" xfId="99"/>
    <cellStyle name="Normál 6 3 2 7" xfId="100"/>
    <cellStyle name="Normál 6 3 3" xfId="101"/>
    <cellStyle name="Normál 6 4" xfId="102"/>
    <cellStyle name="Normál 7" xfId="103"/>
    <cellStyle name="Normál 8" xfId="104"/>
    <cellStyle name="Normál 8 2" xfId="105"/>
    <cellStyle name="Normál 8 2 2" xfId="106"/>
    <cellStyle name="Normál 8 2 2 2" xfId="107"/>
    <cellStyle name="Normál 8 2 3" xfId="108"/>
    <cellStyle name="Normál 8 2 3 2" xfId="109"/>
    <cellStyle name="Normál 8 2 4" xfId="110"/>
    <cellStyle name="Normál 8 3" xfId="111"/>
    <cellStyle name="Normál 9" xfId="112"/>
    <cellStyle name="Normál 9 2" xfId="113"/>
    <cellStyle name="Normál 9 2 2" xfId="114"/>
    <cellStyle name="Normál 9 3" xfId="115"/>
    <cellStyle name="Normál 9 3 2" xfId="116"/>
    <cellStyle name="Normál 9 4" xfId="117"/>
    <cellStyle name="Normál_2007.évi konc. összefoglaló bevétel" xfId="118"/>
    <cellStyle name="Normál_2007.évi konc. összefoglaló bevétel 2" xfId="119"/>
    <cellStyle name="Normál_2011koltsegvetes (2) 2" xfId="120"/>
    <cellStyle name="Normál_Beruházási tábla 2007" xfId="121"/>
    <cellStyle name="Normál_EU-s tábla kv-hez_EU projektek tábla" xfId="122"/>
    <cellStyle name="Normál_fejlesztesi hitel" xfId="123"/>
    <cellStyle name="Normál_Intézményi bevétel-kiadás" xfId="124"/>
    <cellStyle name="Normál_Intézményi bevétel-kiadás 2" xfId="125"/>
    <cellStyle name="Normál_Városfejlesztési Iroda - 2008. kv. tervezés" xfId="126"/>
    <cellStyle name="Normál_Városfejlesztési Iroda - 2008. kv. tervezés_2014.évi eredeti előirányzat 2" xfId="127"/>
    <cellStyle name="Normál_Városfejlesztési Iroda - 2008. kv. tervezés_Koltsegvetes_modositas_aprilis_tablazatai" xfId="128"/>
    <cellStyle name="Összesen" xfId="129"/>
    <cellStyle name="Currency" xfId="130"/>
    <cellStyle name="Currency [0]" xfId="131"/>
    <cellStyle name="Rossz" xfId="132"/>
    <cellStyle name="Semleges" xfId="133"/>
    <cellStyle name="Számítás" xfId="134"/>
    <cellStyle name="Percent" xfId="135"/>
    <cellStyle name="Százalék 2" xfId="136"/>
    <cellStyle name="Százalék 3" xfId="137"/>
    <cellStyle name="Százalék 3 2"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64"/>
  <sheetViews>
    <sheetView view="pageBreakPreview" zoomScaleSheetLayoutView="100" zoomScalePageLayoutView="0" workbookViewId="0" topLeftCell="A1">
      <selection activeCell="B1" sqref="B1:N1"/>
    </sheetView>
  </sheetViews>
  <sheetFormatPr defaultColWidth="9.125" defaultRowHeight="12.75"/>
  <cols>
    <col min="1" max="1" width="3.75390625" style="100" customWidth="1"/>
    <col min="2" max="5" width="5.75390625" style="191" customWidth="1"/>
    <col min="6" max="6" width="59.75390625" style="105" customWidth="1"/>
    <col min="7" max="9" width="13.75390625" style="44" customWidth="1"/>
    <col min="10" max="11" width="15.75390625" style="216" customWidth="1"/>
    <col min="12" max="12" width="15.75390625" style="1095" customWidth="1"/>
    <col min="13" max="13" width="15.75390625" style="105" customWidth="1"/>
    <col min="14" max="16384" width="9.125" style="105" customWidth="1"/>
  </cols>
  <sheetData>
    <row r="1" spans="2:14" ht="17.25">
      <c r="B1" s="2039" t="s">
        <v>1095</v>
      </c>
      <c r="C1" s="2039"/>
      <c r="D1" s="2039"/>
      <c r="E1" s="2039"/>
      <c r="F1" s="2039"/>
      <c r="G1" s="2039"/>
      <c r="H1" s="2039"/>
      <c r="I1" s="2039"/>
      <c r="J1" s="2039"/>
      <c r="K1" s="2039"/>
      <c r="L1" s="2039"/>
      <c r="M1" s="2039"/>
      <c r="N1" s="2039"/>
    </row>
    <row r="2" spans="2:11" ht="17.25">
      <c r="B2" s="2036" t="s">
        <v>726</v>
      </c>
      <c r="C2" s="2036"/>
      <c r="D2" s="2036"/>
      <c r="E2" s="2036"/>
      <c r="F2" s="2036"/>
      <c r="G2" s="96"/>
      <c r="H2" s="96"/>
      <c r="I2" s="96"/>
      <c r="J2" s="215"/>
      <c r="K2" s="215"/>
    </row>
    <row r="3" spans="1:13" s="19" customFormat="1" ht="24.75" customHeight="1">
      <c r="A3" s="100"/>
      <c r="B3" s="2038" t="s">
        <v>156</v>
      </c>
      <c r="C3" s="2038"/>
      <c r="D3" s="2038"/>
      <c r="E3" s="2038"/>
      <c r="F3" s="2038"/>
      <c r="G3" s="2038"/>
      <c r="H3" s="2038"/>
      <c r="I3" s="2038"/>
      <c r="J3" s="2038"/>
      <c r="K3" s="2038"/>
      <c r="L3" s="2038"/>
      <c r="M3" s="2038"/>
    </row>
    <row r="4" spans="1:13" s="19" customFormat="1" ht="24.75" customHeight="1">
      <c r="A4" s="100"/>
      <c r="B4" s="2037" t="s">
        <v>534</v>
      </c>
      <c r="C4" s="2037"/>
      <c r="D4" s="2037"/>
      <c r="E4" s="2037"/>
      <c r="F4" s="2037"/>
      <c r="G4" s="2037"/>
      <c r="H4" s="2037"/>
      <c r="I4" s="2037"/>
      <c r="J4" s="2037"/>
      <c r="K4" s="2037"/>
      <c r="L4" s="2037"/>
      <c r="M4" s="2037"/>
    </row>
    <row r="5" spans="1:13" s="585" customFormat="1" ht="15">
      <c r="A5" s="100"/>
      <c r="B5" s="584"/>
      <c r="C5" s="584"/>
      <c r="D5" s="584"/>
      <c r="E5" s="584"/>
      <c r="F5" s="584"/>
      <c r="G5" s="349"/>
      <c r="H5" s="349"/>
      <c r="I5" s="200"/>
      <c r="L5" s="203"/>
      <c r="M5" s="203" t="s">
        <v>0</v>
      </c>
    </row>
    <row r="6" spans="1:13" s="588" customFormat="1" ht="15" thickBot="1">
      <c r="A6" s="100"/>
      <c r="B6" s="586" t="s">
        <v>1</v>
      </c>
      <c r="C6" s="586" t="s">
        <v>3</v>
      </c>
      <c r="D6" s="586" t="s">
        <v>2</v>
      </c>
      <c r="E6" s="586" t="s">
        <v>4</v>
      </c>
      <c r="F6" s="586" t="s">
        <v>5</v>
      </c>
      <c r="G6" s="587" t="s">
        <v>15</v>
      </c>
      <c r="H6" s="587" t="s">
        <v>16</v>
      </c>
      <c r="I6" s="587" t="s">
        <v>17</v>
      </c>
      <c r="J6" s="587" t="s">
        <v>33</v>
      </c>
      <c r="K6" s="447" t="s">
        <v>29</v>
      </c>
      <c r="L6" s="99" t="s">
        <v>22</v>
      </c>
      <c r="M6" s="99" t="s">
        <v>34</v>
      </c>
    </row>
    <row r="7" spans="1:22" s="45" customFormat="1" ht="79.5" customHeight="1" thickBot="1">
      <c r="A7" s="676"/>
      <c r="B7" s="309" t="s">
        <v>18</v>
      </c>
      <c r="C7" s="310" t="s">
        <v>19</v>
      </c>
      <c r="D7" s="308" t="s">
        <v>428</v>
      </c>
      <c r="E7" s="308" t="s">
        <v>429</v>
      </c>
      <c r="F7" s="311" t="s">
        <v>6</v>
      </c>
      <c r="G7" s="312" t="s">
        <v>535</v>
      </c>
      <c r="H7" s="217" t="s">
        <v>536</v>
      </c>
      <c r="I7" s="1484" t="s">
        <v>614</v>
      </c>
      <c r="J7" s="1082" t="s">
        <v>673</v>
      </c>
      <c r="K7" s="311" t="s">
        <v>937</v>
      </c>
      <c r="L7" s="1094" t="s">
        <v>112</v>
      </c>
      <c r="M7" s="1110" t="s">
        <v>1090</v>
      </c>
      <c r="N7" s="57"/>
      <c r="O7" s="57"/>
      <c r="P7" s="57"/>
      <c r="Q7" s="57"/>
      <c r="R7" s="57"/>
      <c r="S7" s="57"/>
      <c r="T7" s="57"/>
      <c r="U7" s="57"/>
      <c r="V7" s="57"/>
    </row>
    <row r="8" spans="1:22" s="162" customFormat="1" ht="36" customHeight="1">
      <c r="A8" s="676">
        <v>1</v>
      </c>
      <c r="B8" s="294"/>
      <c r="C8" s="158"/>
      <c r="D8" s="159">
        <v>1</v>
      </c>
      <c r="E8" s="159"/>
      <c r="F8" s="160" t="s">
        <v>128</v>
      </c>
      <c r="G8" s="313">
        <f aca="true" t="shared" si="0" ref="G8:M8">SUM(G9,G16,G26,G32,G34,G15,G31)</f>
        <v>14853364</v>
      </c>
      <c r="H8" s="313">
        <f t="shared" si="0"/>
        <v>15115259</v>
      </c>
      <c r="I8" s="313">
        <f t="shared" si="0"/>
        <v>17277678</v>
      </c>
      <c r="J8" s="1083">
        <f t="shared" si="0"/>
        <v>14802459</v>
      </c>
      <c r="K8" s="313">
        <f>SUM(K9,K16,K26,K32,K34,K15,K31)</f>
        <v>15394121</v>
      </c>
      <c r="L8" s="1096">
        <f t="shared" si="0"/>
        <v>504865</v>
      </c>
      <c r="M8" s="1537">
        <f t="shared" si="0"/>
        <v>15898986</v>
      </c>
      <c r="N8" s="161"/>
      <c r="O8" s="161"/>
      <c r="P8" s="161"/>
      <c r="Q8" s="161"/>
      <c r="R8" s="161"/>
      <c r="S8" s="161"/>
      <c r="T8" s="161"/>
      <c r="U8" s="161"/>
      <c r="V8" s="161"/>
    </row>
    <row r="9" spans="1:22" s="162" customFormat="1" ht="36" customHeight="1">
      <c r="A9" s="676">
        <v>2</v>
      </c>
      <c r="B9" s="295">
        <v>18</v>
      </c>
      <c r="C9" s="163"/>
      <c r="D9" s="164"/>
      <c r="E9" s="164">
        <v>1</v>
      </c>
      <c r="F9" s="163" t="s">
        <v>157</v>
      </c>
      <c r="G9" s="38">
        <f>SUM(G10,G13:G13)</f>
        <v>4483032</v>
      </c>
      <c r="H9" s="38">
        <f>SUM(H10,H13:H13)</f>
        <v>4404208</v>
      </c>
      <c r="I9" s="38">
        <f>SUM(I10,I13:I13)</f>
        <v>6718637</v>
      </c>
      <c r="J9" s="1084">
        <f>SUM(J10,J13:J13)</f>
        <v>6578954</v>
      </c>
      <c r="K9" s="38">
        <f>SUM(K10,K13:K13)</f>
        <v>6378105</v>
      </c>
      <c r="L9" s="1097">
        <f>SUM(L10,L13:L13)</f>
        <v>147686</v>
      </c>
      <c r="M9" s="1538">
        <f>SUM(M10,M13:M13)</f>
        <v>6525791</v>
      </c>
      <c r="N9" s="161"/>
      <c r="O9" s="161"/>
      <c r="P9" s="161"/>
      <c r="Q9" s="161"/>
      <c r="R9" s="161"/>
      <c r="S9" s="161"/>
      <c r="T9" s="161"/>
      <c r="U9" s="161"/>
      <c r="V9" s="161"/>
    </row>
    <row r="10" spans="1:13" s="166" customFormat="1" ht="17.25">
      <c r="A10" s="676">
        <v>3</v>
      </c>
      <c r="B10" s="95"/>
      <c r="C10" s="141"/>
      <c r="D10" s="104"/>
      <c r="E10" s="104"/>
      <c r="F10" s="165" t="s">
        <v>158</v>
      </c>
      <c r="G10" s="10">
        <f>SUM(G11:G12)</f>
        <v>3563207</v>
      </c>
      <c r="H10" s="10">
        <f>SUM(H11:H12)</f>
        <v>3066627</v>
      </c>
      <c r="I10" s="10">
        <f>SUM(I11:I12)</f>
        <v>4955542</v>
      </c>
      <c r="J10" s="1085">
        <f>SUM(J11:J12)</f>
        <v>4544959</v>
      </c>
      <c r="K10" s="1579">
        <f>SUM(K11:K12)</f>
        <v>4707339</v>
      </c>
      <c r="L10" s="1098">
        <f>SUM(L11:L12)</f>
        <v>8508</v>
      </c>
      <c r="M10" s="1539">
        <f>SUM(M11:M12)</f>
        <v>4715847</v>
      </c>
    </row>
    <row r="11" spans="1:13" ht="33" customHeight="1">
      <c r="A11" s="678">
        <v>4</v>
      </c>
      <c r="B11" s="97"/>
      <c r="C11" s="167"/>
      <c r="D11" s="167"/>
      <c r="E11" s="167"/>
      <c r="F11" s="40" t="s">
        <v>273</v>
      </c>
      <c r="G11" s="2">
        <v>3533067</v>
      </c>
      <c r="H11" s="2">
        <v>3066627</v>
      </c>
      <c r="I11" s="2">
        <v>3388864</v>
      </c>
      <c r="J11" s="1086">
        <v>4544959</v>
      </c>
      <c r="K11" s="1580">
        <v>4700403</v>
      </c>
      <c r="L11" s="1479">
        <v>8508</v>
      </c>
      <c r="M11" s="1540">
        <f>SUM(K11:L11)</f>
        <v>4708911</v>
      </c>
    </row>
    <row r="12" spans="1:13" ht="33.75">
      <c r="A12" s="678">
        <v>5</v>
      </c>
      <c r="B12" s="95"/>
      <c r="C12" s="167"/>
      <c r="D12" s="167"/>
      <c r="E12" s="167"/>
      <c r="F12" s="40" t="s">
        <v>159</v>
      </c>
      <c r="G12" s="2">
        <v>30140</v>
      </c>
      <c r="H12" s="2"/>
      <c r="I12" s="2">
        <v>1566678</v>
      </c>
      <c r="J12" s="1086"/>
      <c r="K12" s="1580">
        <v>6936</v>
      </c>
      <c r="L12" s="1479"/>
      <c r="M12" s="1540">
        <f>SUM(J12:L12)</f>
        <v>6936</v>
      </c>
    </row>
    <row r="13" spans="1:13" s="166" customFormat="1" ht="17.25">
      <c r="A13" s="676">
        <v>6</v>
      </c>
      <c r="B13" s="95"/>
      <c r="C13" s="168"/>
      <c r="D13" s="167"/>
      <c r="E13" s="167"/>
      <c r="F13" s="39" t="s">
        <v>160</v>
      </c>
      <c r="G13" s="10">
        <v>919825</v>
      </c>
      <c r="H13" s="10">
        <v>1337581</v>
      </c>
      <c r="I13" s="10">
        <v>1763095</v>
      </c>
      <c r="J13" s="1085">
        <v>2033995</v>
      </c>
      <c r="K13" s="1579">
        <v>1670766</v>
      </c>
      <c r="L13" s="1098">
        <f>182178+17000-60000</f>
        <v>139178</v>
      </c>
      <c r="M13" s="1541">
        <f>SUM(K13:L13)</f>
        <v>1809944</v>
      </c>
    </row>
    <row r="14" spans="1:13" ht="16.5" customHeight="1">
      <c r="A14" s="676">
        <v>7</v>
      </c>
      <c r="B14" s="95"/>
      <c r="C14" s="167"/>
      <c r="D14" s="167"/>
      <c r="E14" s="167"/>
      <c r="F14" s="40" t="s">
        <v>161</v>
      </c>
      <c r="G14" s="2">
        <v>160234</v>
      </c>
      <c r="H14" s="2">
        <v>180000</v>
      </c>
      <c r="I14" s="2">
        <v>222056</v>
      </c>
      <c r="J14" s="1086">
        <v>201000</v>
      </c>
      <c r="K14" s="1580">
        <v>201000</v>
      </c>
      <c r="L14" s="1479">
        <v>17000</v>
      </c>
      <c r="M14" s="1540">
        <f>SUM(K14:L14)</f>
        <v>218000</v>
      </c>
    </row>
    <row r="15" spans="1:13" ht="36" customHeight="1">
      <c r="A15" s="675">
        <v>8</v>
      </c>
      <c r="B15" s="296" t="s">
        <v>379</v>
      </c>
      <c r="C15" s="167"/>
      <c r="D15" s="167"/>
      <c r="E15" s="218">
        <v>2</v>
      </c>
      <c r="F15" s="163" t="s">
        <v>162</v>
      </c>
      <c r="G15" s="10">
        <v>317352</v>
      </c>
      <c r="H15" s="10">
        <f>192858+43191</f>
        <v>236049</v>
      </c>
      <c r="I15" s="10">
        <v>214615</v>
      </c>
      <c r="J15" s="1085">
        <f>+'3.Inbe '!G186</f>
        <v>167470</v>
      </c>
      <c r="K15" s="1579">
        <v>295156</v>
      </c>
      <c r="L15" s="1756">
        <v>18456</v>
      </c>
      <c r="M15" s="1541">
        <f>SUM(K15:L15)</f>
        <v>313612</v>
      </c>
    </row>
    <row r="16" spans="1:13" s="107" customFormat="1" ht="36" customHeight="1">
      <c r="A16" s="676">
        <v>9</v>
      </c>
      <c r="B16" s="95">
        <v>18</v>
      </c>
      <c r="C16" s="141"/>
      <c r="D16" s="104"/>
      <c r="E16" s="104">
        <v>3</v>
      </c>
      <c r="F16" s="142" t="s">
        <v>163</v>
      </c>
      <c r="G16" s="41">
        <f>SUM(G17,G25:G25)</f>
        <v>8108452</v>
      </c>
      <c r="H16" s="41">
        <f>SUM(H17,H25:H25)</f>
        <v>7945120</v>
      </c>
      <c r="I16" s="41">
        <f>SUM(I17,I25:I25)</f>
        <v>8663683</v>
      </c>
      <c r="J16" s="1085">
        <f>SUM(J17,J25:J25)</f>
        <v>6242200</v>
      </c>
      <c r="K16" s="1579">
        <f>SUM(K17,K25:K25)</f>
        <v>6220200</v>
      </c>
      <c r="L16" s="1098">
        <f>SUM(L17,L25:L25)</f>
        <v>0</v>
      </c>
      <c r="M16" s="1539">
        <f>SUM(M17,M25:M25)</f>
        <v>6220200</v>
      </c>
    </row>
    <row r="17" spans="1:13" s="166" customFormat="1" ht="17.25">
      <c r="A17" s="676">
        <v>10</v>
      </c>
      <c r="B17" s="95"/>
      <c r="C17" s="141"/>
      <c r="D17" s="104"/>
      <c r="E17" s="104"/>
      <c r="F17" s="39" t="s">
        <v>164</v>
      </c>
      <c r="G17" s="10">
        <f>SUM(G18:G24)</f>
        <v>8100342</v>
      </c>
      <c r="H17" s="10">
        <f>SUM(H18:H24)</f>
        <v>7940000</v>
      </c>
      <c r="I17" s="10">
        <f>SUM(I18:I24)</f>
        <v>8656603</v>
      </c>
      <c r="J17" s="1085">
        <f>SUM(J18:J24)</f>
        <v>6237000</v>
      </c>
      <c r="K17" s="1579">
        <f>SUM(K18:K24)</f>
        <v>6215000</v>
      </c>
      <c r="L17" s="1098">
        <f>SUM(L18:L24)</f>
        <v>0</v>
      </c>
      <c r="M17" s="1539">
        <f>SUM(M18:M24)</f>
        <v>6215000</v>
      </c>
    </row>
    <row r="18" spans="1:13" ht="17.25">
      <c r="A18" s="676">
        <v>11</v>
      </c>
      <c r="B18" s="95"/>
      <c r="C18" s="104"/>
      <c r="D18" s="104"/>
      <c r="E18" s="104"/>
      <c r="F18" s="40" t="s">
        <v>118</v>
      </c>
      <c r="G18" s="2">
        <v>1353716</v>
      </c>
      <c r="H18" s="2">
        <v>1320000</v>
      </c>
      <c r="I18" s="2">
        <v>1301931</v>
      </c>
      <c r="J18" s="1086">
        <v>1300000</v>
      </c>
      <c r="K18" s="1580">
        <v>1300000</v>
      </c>
      <c r="L18" s="1479"/>
      <c r="M18" s="1540">
        <f>SUM(K18:L18)</f>
        <v>1300000</v>
      </c>
    </row>
    <row r="19" spans="1:13" ht="17.25">
      <c r="A19" s="676">
        <v>12</v>
      </c>
      <c r="B19" s="95"/>
      <c r="C19" s="104"/>
      <c r="D19" s="104"/>
      <c r="E19" s="104"/>
      <c r="F19" s="40" t="s">
        <v>121</v>
      </c>
      <c r="G19" s="2">
        <v>45085</v>
      </c>
      <c r="H19" s="2">
        <v>55000</v>
      </c>
      <c r="I19" s="2">
        <v>11646</v>
      </c>
      <c r="J19" s="1086">
        <v>42000</v>
      </c>
      <c r="K19" s="1580">
        <v>20000</v>
      </c>
      <c r="L19" s="1479"/>
      <c r="M19" s="1540">
        <f aca="true" t="shared" si="1" ref="M19:M24">SUM(K19:L19)</f>
        <v>20000</v>
      </c>
    </row>
    <row r="20" spans="1:13" ht="17.25">
      <c r="A20" s="676">
        <v>13</v>
      </c>
      <c r="B20" s="95"/>
      <c r="C20" s="104"/>
      <c r="D20" s="104"/>
      <c r="E20" s="104"/>
      <c r="F20" s="40" t="s">
        <v>120</v>
      </c>
      <c r="G20" s="2">
        <v>142925</v>
      </c>
      <c r="H20" s="2">
        <v>143000</v>
      </c>
      <c r="I20" s="2">
        <v>141440</v>
      </c>
      <c r="J20" s="1086">
        <v>143000</v>
      </c>
      <c r="K20" s="1580">
        <v>143000</v>
      </c>
      <c r="L20" s="1479"/>
      <c r="M20" s="1540">
        <f t="shared" si="1"/>
        <v>143000</v>
      </c>
    </row>
    <row r="21" spans="1:13" ht="17.25">
      <c r="A21" s="676">
        <v>14</v>
      </c>
      <c r="B21" s="95"/>
      <c r="C21" s="104"/>
      <c r="D21" s="104"/>
      <c r="E21" s="104"/>
      <c r="F21" s="40" t="s">
        <v>119</v>
      </c>
      <c r="G21" s="2">
        <v>91186</v>
      </c>
      <c r="H21" s="2">
        <v>92000</v>
      </c>
      <c r="I21" s="2">
        <v>96484</v>
      </c>
      <c r="J21" s="1086">
        <v>92000</v>
      </c>
      <c r="K21" s="1580">
        <v>92000</v>
      </c>
      <c r="L21" s="1479"/>
      <c r="M21" s="1540">
        <f t="shared" si="1"/>
        <v>92000</v>
      </c>
    </row>
    <row r="22" spans="1:13" ht="17.25">
      <c r="A22" s="676">
        <v>15</v>
      </c>
      <c r="B22" s="95"/>
      <c r="C22" s="104"/>
      <c r="D22" s="104"/>
      <c r="E22" s="104"/>
      <c r="F22" s="40" t="s">
        <v>117</v>
      </c>
      <c r="G22" s="2">
        <v>6222920</v>
      </c>
      <c r="H22" s="2">
        <v>6100000</v>
      </c>
      <c r="I22" s="2">
        <v>7090255</v>
      </c>
      <c r="J22" s="1086">
        <v>4650000</v>
      </c>
      <c r="K22" s="1580">
        <v>4650000</v>
      </c>
      <c r="L22" s="1479"/>
      <c r="M22" s="1540">
        <f t="shared" si="1"/>
        <v>4650000</v>
      </c>
    </row>
    <row r="23" spans="1:13" ht="17.25">
      <c r="A23" s="676">
        <v>16</v>
      </c>
      <c r="B23" s="95"/>
      <c r="C23" s="104"/>
      <c r="D23" s="104"/>
      <c r="E23" s="104"/>
      <c r="F23" s="40" t="s">
        <v>122</v>
      </c>
      <c r="G23" s="2">
        <v>230151</v>
      </c>
      <c r="H23" s="2">
        <v>220000</v>
      </c>
      <c r="I23" s="2"/>
      <c r="J23" s="1086"/>
      <c r="K23" s="1580"/>
      <c r="L23" s="1099"/>
      <c r="M23" s="1540">
        <f t="shared" si="1"/>
        <v>0</v>
      </c>
    </row>
    <row r="24" spans="1:13" ht="17.25">
      <c r="A24" s="676">
        <v>17</v>
      </c>
      <c r="B24" s="95"/>
      <c r="C24" s="104"/>
      <c r="D24" s="104"/>
      <c r="E24" s="104"/>
      <c r="F24" s="40" t="s">
        <v>165</v>
      </c>
      <c r="G24" s="2">
        <v>14359</v>
      </c>
      <c r="H24" s="2">
        <v>10000</v>
      </c>
      <c r="I24" s="2">
        <v>14847</v>
      </c>
      <c r="J24" s="1086">
        <v>10000</v>
      </c>
      <c r="K24" s="1580">
        <v>10000</v>
      </c>
      <c r="L24" s="1099"/>
      <c r="M24" s="1540">
        <f t="shared" si="1"/>
        <v>10000</v>
      </c>
    </row>
    <row r="25" spans="1:13" s="166" customFormat="1" ht="34.5">
      <c r="A25" s="678">
        <v>18</v>
      </c>
      <c r="B25" s="95"/>
      <c r="C25" s="141"/>
      <c r="D25" s="104"/>
      <c r="E25" s="104"/>
      <c r="F25" s="39" t="s">
        <v>166</v>
      </c>
      <c r="G25" s="10">
        <v>8110</v>
      </c>
      <c r="H25" s="10">
        <v>5120</v>
      </c>
      <c r="I25" s="10">
        <v>7080</v>
      </c>
      <c r="J25" s="1085">
        <v>5200</v>
      </c>
      <c r="K25" s="1579">
        <v>5200</v>
      </c>
      <c r="L25" s="1100"/>
      <c r="M25" s="1541">
        <f>SUM(K25:L25)</f>
        <v>5200</v>
      </c>
    </row>
    <row r="26" spans="1:13" s="107" customFormat="1" ht="36" customHeight="1">
      <c r="A26" s="676">
        <v>19</v>
      </c>
      <c r="B26" s="95">
        <v>18</v>
      </c>
      <c r="C26" s="141"/>
      <c r="D26" s="104"/>
      <c r="E26" s="104">
        <v>4</v>
      </c>
      <c r="F26" s="142" t="s">
        <v>131</v>
      </c>
      <c r="G26" s="41">
        <f>SUM(G27:G30)</f>
        <v>818620</v>
      </c>
      <c r="H26" s="41">
        <f>SUM(H27:H30)</f>
        <v>1501270</v>
      </c>
      <c r="I26" s="41">
        <f>SUM(I27:I30)</f>
        <v>846221</v>
      </c>
      <c r="J26" s="1085">
        <f>SUM(J27:J30)</f>
        <v>951251</v>
      </c>
      <c r="K26" s="1579">
        <f>SUM(K27:K30)</f>
        <v>951341</v>
      </c>
      <c r="L26" s="1098">
        <f>SUM(L27:L30)</f>
        <v>28847</v>
      </c>
      <c r="M26" s="1539">
        <f>SUM(M27:M30)</f>
        <v>980188</v>
      </c>
    </row>
    <row r="27" spans="1:13" ht="16.5" customHeight="1">
      <c r="A27" s="676">
        <v>20</v>
      </c>
      <c r="B27" s="95"/>
      <c r="C27" s="104"/>
      <c r="D27" s="104"/>
      <c r="E27" s="104"/>
      <c r="F27" s="40" t="s">
        <v>269</v>
      </c>
      <c r="G27" s="2">
        <v>335480</v>
      </c>
      <c r="H27" s="2">
        <v>327392</v>
      </c>
      <c r="I27" s="2">
        <v>290126</v>
      </c>
      <c r="J27" s="1086">
        <v>243317</v>
      </c>
      <c r="K27" s="1580">
        <v>243388</v>
      </c>
      <c r="L27" s="1099"/>
      <c r="M27" s="1540">
        <f>SUM(K27:L27)</f>
        <v>243388</v>
      </c>
    </row>
    <row r="28" spans="1:13" ht="16.5" customHeight="1">
      <c r="A28" s="676">
        <v>21</v>
      </c>
      <c r="B28" s="95"/>
      <c r="C28" s="104"/>
      <c r="D28" s="104"/>
      <c r="E28" s="104"/>
      <c r="F28" s="40" t="s">
        <v>270</v>
      </c>
      <c r="G28" s="2">
        <v>219462</v>
      </c>
      <c r="H28" s="2">
        <v>280770</v>
      </c>
      <c r="I28" s="2">
        <v>208134</v>
      </c>
      <c r="J28" s="1086">
        <v>234064</v>
      </c>
      <c r="K28" s="1580">
        <v>234064</v>
      </c>
      <c r="L28" s="1099">
        <v>124</v>
      </c>
      <c r="M28" s="1540">
        <f>SUM(K28:L28)</f>
        <v>234188</v>
      </c>
    </row>
    <row r="29" spans="1:13" ht="16.5" customHeight="1">
      <c r="A29" s="676">
        <v>22</v>
      </c>
      <c r="B29" s="95"/>
      <c r="C29" s="104"/>
      <c r="D29" s="104"/>
      <c r="E29" s="104"/>
      <c r="F29" s="40" t="s">
        <v>271</v>
      </c>
      <c r="G29" s="2">
        <v>219034</v>
      </c>
      <c r="H29" s="2">
        <f>783817+20250+6804+78300</f>
        <v>889171</v>
      </c>
      <c r="I29" s="2">
        <v>280298</v>
      </c>
      <c r="J29" s="1086">
        <v>469933</v>
      </c>
      <c r="K29" s="1580">
        <v>469952</v>
      </c>
      <c r="L29" s="1480">
        <v>28723</v>
      </c>
      <c r="M29" s="1540">
        <f>SUM(K29:L29)</f>
        <v>498675</v>
      </c>
    </row>
    <row r="30" spans="1:13" ht="16.5" customHeight="1">
      <c r="A30" s="676">
        <v>23</v>
      </c>
      <c r="B30" s="95"/>
      <c r="C30" s="104"/>
      <c r="D30" s="104"/>
      <c r="E30" s="104"/>
      <c r="F30" s="40" t="s">
        <v>272</v>
      </c>
      <c r="G30" s="2">
        <v>44644</v>
      </c>
      <c r="H30" s="2">
        <v>3937</v>
      </c>
      <c r="I30" s="2">
        <v>67663</v>
      </c>
      <c r="J30" s="1086">
        <v>3937</v>
      </c>
      <c r="K30" s="1580">
        <v>3937</v>
      </c>
      <c r="L30" s="1101"/>
      <c r="M30" s="1540">
        <f>SUM(K30:L30)</f>
        <v>3937</v>
      </c>
    </row>
    <row r="31" spans="1:13" s="107" customFormat="1" ht="36" customHeight="1">
      <c r="A31" s="676">
        <v>24</v>
      </c>
      <c r="B31" s="297" t="s">
        <v>379</v>
      </c>
      <c r="C31" s="141"/>
      <c r="D31" s="104"/>
      <c r="E31" s="104">
        <v>5</v>
      </c>
      <c r="F31" s="142" t="s">
        <v>167</v>
      </c>
      <c r="G31" s="41">
        <v>1111879</v>
      </c>
      <c r="H31" s="41">
        <v>1028612</v>
      </c>
      <c r="I31" s="41">
        <v>754985</v>
      </c>
      <c r="J31" s="1085">
        <v>858015</v>
      </c>
      <c r="K31" s="1579">
        <v>815065</v>
      </c>
      <c r="L31" s="1098">
        <v>48222</v>
      </c>
      <c r="M31" s="1541">
        <f>SUM(K31:L31)</f>
        <v>863287</v>
      </c>
    </row>
    <row r="32" spans="1:13" s="107" customFormat="1" ht="36" customHeight="1">
      <c r="A32" s="676">
        <v>25</v>
      </c>
      <c r="B32" s="95">
        <v>18</v>
      </c>
      <c r="C32" s="141"/>
      <c r="D32" s="104"/>
      <c r="E32" s="104">
        <v>6</v>
      </c>
      <c r="F32" s="142" t="s">
        <v>168</v>
      </c>
      <c r="G32" s="41">
        <v>5713</v>
      </c>
      <c r="H32" s="41"/>
      <c r="I32" s="41">
        <v>62697</v>
      </c>
      <c r="J32" s="1085"/>
      <c r="K32" s="1579">
        <v>712127</v>
      </c>
      <c r="L32" s="1481">
        <f>145340+60000+31000</f>
        <v>236340</v>
      </c>
      <c r="M32" s="1541">
        <f>SUM(K32:L32)</f>
        <v>948467</v>
      </c>
    </row>
    <row r="33" spans="1:13" s="107" customFormat="1" ht="18" customHeight="1">
      <c r="A33" s="676">
        <v>26</v>
      </c>
      <c r="B33" s="95"/>
      <c r="C33" s="141"/>
      <c r="D33" s="104"/>
      <c r="E33" s="104"/>
      <c r="F33" s="40" t="s">
        <v>908</v>
      </c>
      <c r="G33" s="41"/>
      <c r="H33" s="41"/>
      <c r="I33" s="41"/>
      <c r="J33" s="1085"/>
      <c r="K33" s="1579">
        <v>500</v>
      </c>
      <c r="L33" s="1482"/>
      <c r="M33" s="1541">
        <f>SUM(K33:L33)</f>
        <v>500</v>
      </c>
    </row>
    <row r="34" spans="1:13" s="166" customFormat="1" ht="36" customHeight="1">
      <c r="A34" s="676">
        <v>27</v>
      </c>
      <c r="B34" s="298" t="s">
        <v>379</v>
      </c>
      <c r="C34" s="169"/>
      <c r="D34" s="169"/>
      <c r="E34" s="170">
        <v>7</v>
      </c>
      <c r="F34" s="171" t="s">
        <v>169</v>
      </c>
      <c r="G34" s="314">
        <v>8316</v>
      </c>
      <c r="H34" s="314"/>
      <c r="I34" s="314">
        <v>16840</v>
      </c>
      <c r="J34" s="1087">
        <v>4569</v>
      </c>
      <c r="K34" s="1579">
        <v>22127</v>
      </c>
      <c r="L34" s="1756">
        <v>25314</v>
      </c>
      <c r="M34" s="1541">
        <f>SUM(K34:L34)</f>
        <v>47441</v>
      </c>
    </row>
    <row r="35" spans="1:22" s="162" customFormat="1" ht="36" customHeight="1">
      <c r="A35" s="676">
        <v>28</v>
      </c>
      <c r="B35" s="299"/>
      <c r="C35" s="172"/>
      <c r="D35" s="173">
        <v>2</v>
      </c>
      <c r="E35" s="173"/>
      <c r="F35" s="174" t="s">
        <v>129</v>
      </c>
      <c r="G35" s="315">
        <f>SUM(G36,G39:G40,G42:G44)</f>
        <v>6259786</v>
      </c>
      <c r="H35" s="315">
        <f>SUM(H36,H39:H40,H42:H44)</f>
        <v>8363612</v>
      </c>
      <c r="I35" s="443">
        <f>SUM(I36,I39:I40,I42:I44)</f>
        <v>9155087</v>
      </c>
      <c r="J35" s="315">
        <f>SUM(J36,J39:J40,J42:J44)</f>
        <v>13046355</v>
      </c>
      <c r="K35" s="1586">
        <f>SUM(K36,K39:K40,K42:K44)</f>
        <v>15618690</v>
      </c>
      <c r="L35" s="1103">
        <f>SUM(L36,L39:L40,L42:L44)</f>
        <v>2327078</v>
      </c>
      <c r="M35" s="1542">
        <f>SUM(M36,M39:M40,M42:M44)</f>
        <v>17945768</v>
      </c>
      <c r="N35" s="161"/>
      <c r="O35" s="161"/>
      <c r="P35" s="161"/>
      <c r="Q35" s="161"/>
      <c r="R35" s="161"/>
      <c r="S35" s="161"/>
      <c r="T35" s="161"/>
      <c r="U35" s="161"/>
      <c r="V35" s="161"/>
    </row>
    <row r="36" spans="1:13" s="107" customFormat="1" ht="36" customHeight="1">
      <c r="A36" s="676">
        <v>29</v>
      </c>
      <c r="B36" s="95"/>
      <c r="C36" s="141"/>
      <c r="D36" s="104"/>
      <c r="E36" s="104">
        <v>8</v>
      </c>
      <c r="F36" s="142" t="s">
        <v>170</v>
      </c>
      <c r="G36" s="41">
        <f>SUM(G37,G38)</f>
        <v>5463793</v>
      </c>
      <c r="H36" s="41">
        <f>SUM(H37,H38)</f>
        <v>8162019</v>
      </c>
      <c r="I36" s="41">
        <f>SUM(I37,I38)</f>
        <v>9111564</v>
      </c>
      <c r="J36" s="1085">
        <f>SUM(J37,J38)</f>
        <v>12122305</v>
      </c>
      <c r="K36" s="1579">
        <f>SUM(K37,K38)</f>
        <v>11199734</v>
      </c>
      <c r="L36" s="1098">
        <f>SUM(L37,L38)</f>
        <v>1914298</v>
      </c>
      <c r="M36" s="1539">
        <f>SUM(M37,M38)</f>
        <v>13114032</v>
      </c>
    </row>
    <row r="37" spans="1:13" ht="17.25">
      <c r="A37" s="676">
        <v>30</v>
      </c>
      <c r="B37" s="95">
        <v>18</v>
      </c>
      <c r="C37" s="104"/>
      <c r="D37" s="104"/>
      <c r="E37" s="104"/>
      <c r="F37" s="932" t="s">
        <v>171</v>
      </c>
      <c r="G37" s="2">
        <v>6456</v>
      </c>
      <c r="H37" s="2"/>
      <c r="I37" s="2"/>
      <c r="J37" s="1086"/>
      <c r="K37" s="1580"/>
      <c r="L37" s="1099"/>
      <c r="M37" s="1543"/>
    </row>
    <row r="38" spans="1:13" ht="17.25">
      <c r="A38" s="676">
        <v>31</v>
      </c>
      <c r="B38" s="95">
        <v>18</v>
      </c>
      <c r="C38" s="167"/>
      <c r="D38" s="167"/>
      <c r="E38" s="167"/>
      <c r="F38" s="932" t="s">
        <v>172</v>
      </c>
      <c r="G38" s="2">
        <v>5457337</v>
      </c>
      <c r="H38" s="2">
        <v>8162019</v>
      </c>
      <c r="I38" s="2">
        <v>9111564</v>
      </c>
      <c r="J38" s="1086">
        <v>12122305</v>
      </c>
      <c r="K38" s="1580">
        <v>11199734</v>
      </c>
      <c r="L38" s="1482">
        <v>1914298</v>
      </c>
      <c r="M38" s="1540">
        <f aca="true" t="shared" si="2" ref="M38:M44">SUM(K38:L38)</f>
        <v>13114032</v>
      </c>
    </row>
    <row r="39" spans="1:13" s="166" customFormat="1" ht="36" customHeight="1">
      <c r="A39" s="676">
        <v>32</v>
      </c>
      <c r="B39" s="298" t="s">
        <v>379</v>
      </c>
      <c r="C39" s="168"/>
      <c r="D39" s="168"/>
      <c r="E39" s="167">
        <v>9</v>
      </c>
      <c r="F39" s="39" t="s">
        <v>173</v>
      </c>
      <c r="G39" s="10">
        <v>14183</v>
      </c>
      <c r="H39" s="10">
        <v>4050</v>
      </c>
      <c r="I39" s="10">
        <v>335</v>
      </c>
      <c r="J39" s="1085">
        <v>4050</v>
      </c>
      <c r="K39" s="1579">
        <v>6039</v>
      </c>
      <c r="L39" s="1756">
        <v>32940</v>
      </c>
      <c r="M39" s="1541">
        <f t="shared" si="2"/>
        <v>38979</v>
      </c>
    </row>
    <row r="40" spans="1:13" s="107" customFormat="1" ht="36" customHeight="1">
      <c r="A40" s="676">
        <v>33</v>
      </c>
      <c r="B40" s="95">
        <v>18</v>
      </c>
      <c r="C40" s="141"/>
      <c r="D40" s="104"/>
      <c r="E40" s="104">
        <v>10</v>
      </c>
      <c r="F40" s="142" t="s">
        <v>174</v>
      </c>
      <c r="G40" s="41">
        <f>SUM(G41:G41)</f>
        <v>153966</v>
      </c>
      <c r="H40" s="41">
        <f>SUM(H41:H41)</f>
        <v>190000</v>
      </c>
      <c r="I40" s="41">
        <f>SUM(I41:I41)</f>
        <v>37339</v>
      </c>
      <c r="J40" s="1085">
        <f>SUM(J41:J41)</f>
        <v>920000</v>
      </c>
      <c r="K40" s="1579">
        <f>SUM(K41:K41)</f>
        <v>920000</v>
      </c>
      <c r="L40" s="1102"/>
      <c r="M40" s="1541">
        <f t="shared" si="2"/>
        <v>920000</v>
      </c>
    </row>
    <row r="41" spans="1:13" ht="17.25">
      <c r="A41" s="676">
        <v>34</v>
      </c>
      <c r="B41" s="95"/>
      <c r="C41" s="104"/>
      <c r="D41" s="104"/>
      <c r="E41" s="104"/>
      <c r="F41" s="40" t="s">
        <v>175</v>
      </c>
      <c r="G41" s="2">
        <v>153966</v>
      </c>
      <c r="H41" s="2">
        <v>190000</v>
      </c>
      <c r="I41" s="2">
        <v>37339</v>
      </c>
      <c r="J41" s="1086">
        <v>920000</v>
      </c>
      <c r="K41" s="1580">
        <v>920000</v>
      </c>
      <c r="L41" s="1099"/>
      <c r="M41" s="1540">
        <f t="shared" si="2"/>
        <v>920000</v>
      </c>
    </row>
    <row r="42" spans="1:13" ht="36" customHeight="1">
      <c r="A42" s="676">
        <v>35</v>
      </c>
      <c r="B42" s="95"/>
      <c r="C42" s="104"/>
      <c r="D42" s="104"/>
      <c r="E42" s="104">
        <v>11</v>
      </c>
      <c r="F42" s="39" t="s">
        <v>176</v>
      </c>
      <c r="G42" s="10">
        <v>939</v>
      </c>
      <c r="H42" s="10">
        <v>7543</v>
      </c>
      <c r="I42" s="10">
        <v>5849</v>
      </c>
      <c r="J42" s="1085">
        <f>+'3.Inbe '!I186</f>
        <v>0</v>
      </c>
      <c r="K42" s="1579"/>
      <c r="L42" s="1099"/>
      <c r="M42" s="1541">
        <f t="shared" si="2"/>
        <v>0</v>
      </c>
    </row>
    <row r="43" spans="1:13" s="107" customFormat="1" ht="36" customHeight="1">
      <c r="A43" s="676">
        <v>36</v>
      </c>
      <c r="B43" s="95">
        <v>18</v>
      </c>
      <c r="C43" s="141"/>
      <c r="D43" s="104"/>
      <c r="E43" s="104">
        <v>12</v>
      </c>
      <c r="F43" s="142" t="s">
        <v>177</v>
      </c>
      <c r="G43" s="41">
        <v>626905</v>
      </c>
      <c r="H43" s="41"/>
      <c r="I43" s="41">
        <v>0</v>
      </c>
      <c r="J43" s="1085"/>
      <c r="K43" s="1579">
        <v>3473869</v>
      </c>
      <c r="L43" s="1481">
        <f>351353+25000</f>
        <v>376353</v>
      </c>
      <c r="M43" s="1541">
        <f t="shared" si="2"/>
        <v>3850222</v>
      </c>
    </row>
    <row r="44" spans="1:13" s="166" customFormat="1" ht="36" customHeight="1">
      <c r="A44" s="676">
        <v>37</v>
      </c>
      <c r="B44" s="298" t="s">
        <v>379</v>
      </c>
      <c r="C44" s="168"/>
      <c r="D44" s="168"/>
      <c r="E44" s="167">
        <v>13</v>
      </c>
      <c r="F44" s="175" t="s">
        <v>178</v>
      </c>
      <c r="G44" s="10"/>
      <c r="H44" s="10"/>
      <c r="I44" s="10"/>
      <c r="J44" s="1085">
        <f>+'3.Inbe '!K186</f>
        <v>0</v>
      </c>
      <c r="K44" s="1579">
        <v>19048</v>
      </c>
      <c r="L44" s="1756">
        <v>3487</v>
      </c>
      <c r="M44" s="1541">
        <f t="shared" si="2"/>
        <v>22535</v>
      </c>
    </row>
    <row r="45" spans="1:13" s="21" customFormat="1" ht="36" customHeight="1">
      <c r="A45" s="676">
        <v>38</v>
      </c>
      <c r="B45" s="20">
        <v>18</v>
      </c>
      <c r="C45" s="176"/>
      <c r="D45" s="177"/>
      <c r="E45" s="177"/>
      <c r="F45" s="444" t="s">
        <v>179</v>
      </c>
      <c r="G45" s="42">
        <f>SUM(G46:G46)</f>
        <v>183</v>
      </c>
      <c r="H45" s="42">
        <f>SUM(H46:H46)</f>
        <v>0</v>
      </c>
      <c r="I45" s="42">
        <f>SUM(I46:I46)</f>
        <v>256</v>
      </c>
      <c r="J45" s="1088">
        <f>SUM(J46:J46)</f>
        <v>0</v>
      </c>
      <c r="K45" s="1581">
        <f>SUM(K46:K46)</f>
        <v>0</v>
      </c>
      <c r="L45" s="1104">
        <f>SUM(L46:L46)</f>
        <v>0</v>
      </c>
      <c r="M45" s="1544">
        <f>SUM(M46:M46)</f>
        <v>0</v>
      </c>
    </row>
    <row r="46" spans="1:13" ht="33.75">
      <c r="A46" s="676">
        <v>39</v>
      </c>
      <c r="B46" s="95"/>
      <c r="C46" s="178"/>
      <c r="D46" s="178"/>
      <c r="E46" s="178"/>
      <c r="F46" s="445" t="s">
        <v>241</v>
      </c>
      <c r="G46" s="43">
        <v>183</v>
      </c>
      <c r="H46" s="43"/>
      <c r="I46" s="43">
        <v>256</v>
      </c>
      <c r="J46" s="1089"/>
      <c r="K46" s="1580"/>
      <c r="L46" s="1099"/>
      <c r="M46" s="1543"/>
    </row>
    <row r="47" spans="1:13" s="21" customFormat="1" ht="39.75" customHeight="1" thickBot="1">
      <c r="A47" s="676">
        <v>40</v>
      </c>
      <c r="B47" s="300"/>
      <c r="C47" s="179"/>
      <c r="D47" s="180"/>
      <c r="E47" s="180"/>
      <c r="F47" s="181" t="s">
        <v>180</v>
      </c>
      <c r="G47" s="316">
        <f>SUM(G8,G35,G45)</f>
        <v>21113333</v>
      </c>
      <c r="H47" s="316">
        <f>SUM(H8,H35,H45)</f>
        <v>23478871</v>
      </c>
      <c r="I47" s="316">
        <f>SUM(I8,I35,I45)</f>
        <v>26433021</v>
      </c>
      <c r="J47" s="1090">
        <f>SUM(J8,J35,J45)</f>
        <v>27848814</v>
      </c>
      <c r="K47" s="1582">
        <f>SUM(K8,K35,K45)</f>
        <v>31012811</v>
      </c>
      <c r="L47" s="1105">
        <f>SUM(L8,L35,L45)</f>
        <v>2831943</v>
      </c>
      <c r="M47" s="1545">
        <f>SUM(M8,M35,M45)</f>
        <v>33844754</v>
      </c>
    </row>
    <row r="48" spans="1:13" s="21" customFormat="1" ht="39.75" customHeight="1" thickBot="1" thickTop="1">
      <c r="A48" s="676">
        <v>41</v>
      </c>
      <c r="B48" s="301"/>
      <c r="C48" s="182"/>
      <c r="D48" s="183"/>
      <c r="E48" s="183"/>
      <c r="F48" s="184" t="s">
        <v>181</v>
      </c>
      <c r="G48" s="799">
        <f>+G47-'2.Onki'!G35</f>
        <v>1177920</v>
      </c>
      <c r="H48" s="799">
        <f>+H47-'2.Onki'!H35</f>
        <v>-14073403</v>
      </c>
      <c r="I48" s="799">
        <f>+I47-'2.Onki'!I35</f>
        <v>4465865</v>
      </c>
      <c r="J48" s="1091">
        <f>+J47-'2.Onki'!J35</f>
        <v>-18254179</v>
      </c>
      <c r="K48" s="1583">
        <f>+K47-'2.Onki'!K35</f>
        <v>-19923142</v>
      </c>
      <c r="L48" s="1106">
        <f>+L47-'2.Onki'!L35</f>
        <v>0</v>
      </c>
      <c r="M48" s="1546">
        <f>+M47-'2.Onki'!M35</f>
        <v>-19923142</v>
      </c>
    </row>
    <row r="49" spans="1:13" s="21" customFormat="1" ht="36" customHeight="1">
      <c r="A49" s="676">
        <v>42</v>
      </c>
      <c r="B49" s="20"/>
      <c r="C49" s="1488"/>
      <c r="D49" s="157"/>
      <c r="E49" s="157">
        <v>14</v>
      </c>
      <c r="F49" s="153" t="s">
        <v>182</v>
      </c>
      <c r="G49" s="317">
        <f aca="true" t="shared" si="3" ref="G49:L49">SUM(G51,G60)+G50</f>
        <v>13278366</v>
      </c>
      <c r="H49" s="317">
        <f t="shared" si="3"/>
        <v>14293174</v>
      </c>
      <c r="I49" s="317">
        <f t="shared" si="3"/>
        <v>14967054</v>
      </c>
      <c r="J49" s="1092">
        <f t="shared" si="3"/>
        <v>18573201</v>
      </c>
      <c r="K49" s="1584">
        <f t="shared" si="3"/>
        <v>20242164</v>
      </c>
      <c r="L49" s="1107">
        <f t="shared" si="3"/>
        <v>0</v>
      </c>
      <c r="M49" s="1547">
        <f>SUM(M51,M60)+M50</f>
        <v>20242164</v>
      </c>
    </row>
    <row r="50" spans="1:13" s="21" customFormat="1" ht="36" customHeight="1">
      <c r="A50" s="676">
        <v>43</v>
      </c>
      <c r="B50" s="20"/>
      <c r="C50" s="1488"/>
      <c r="D50" s="157">
        <v>1</v>
      </c>
      <c r="E50" s="157"/>
      <c r="F50" s="153" t="s">
        <v>245</v>
      </c>
      <c r="G50" s="317">
        <v>143801</v>
      </c>
      <c r="H50" s="317"/>
      <c r="I50" s="317">
        <v>328363</v>
      </c>
      <c r="J50" s="1092"/>
      <c r="K50" s="1584"/>
      <c r="L50" s="1108"/>
      <c r="M50" s="1548">
        <f>SUM(J50:L50)</f>
        <v>0</v>
      </c>
    </row>
    <row r="51" spans="1:13" s="21" customFormat="1" ht="33" customHeight="1">
      <c r="A51" s="676">
        <v>44</v>
      </c>
      <c r="B51" s="302"/>
      <c r="C51" s="176"/>
      <c r="D51" s="177"/>
      <c r="E51" s="177"/>
      <c r="F51" s="185" t="s">
        <v>274</v>
      </c>
      <c r="G51" s="42">
        <f>SUM(G52,G56)</f>
        <v>13087077</v>
      </c>
      <c r="H51" s="42">
        <f>SUM(H52,H56)</f>
        <v>12883374</v>
      </c>
      <c r="I51" s="42">
        <f>SUM(I52,I56)</f>
        <v>13993317</v>
      </c>
      <c r="J51" s="1088">
        <f>SUM(J52,J56)</f>
        <v>17396684</v>
      </c>
      <c r="K51" s="1581">
        <f>SUM(K52,K56)</f>
        <v>19065647</v>
      </c>
      <c r="L51" s="1104">
        <f>SUM(L52,L56)</f>
        <v>0</v>
      </c>
      <c r="M51" s="1544">
        <f>SUM(M52,M56)</f>
        <v>19065647</v>
      </c>
    </row>
    <row r="52" spans="1:13" s="107" customFormat="1" ht="24" customHeight="1">
      <c r="A52" s="676">
        <v>45</v>
      </c>
      <c r="B52" s="95"/>
      <c r="C52" s="141"/>
      <c r="D52" s="104">
        <v>1</v>
      </c>
      <c r="E52" s="104"/>
      <c r="F52" s="142" t="s">
        <v>243</v>
      </c>
      <c r="G52" s="41">
        <f>SUM(G53:G55)</f>
        <v>2879946</v>
      </c>
      <c r="H52" s="41">
        <f>SUM(H53:H55)</f>
        <v>1081085</v>
      </c>
      <c r="I52" s="41">
        <f>SUM(I53:I55)</f>
        <v>2162285</v>
      </c>
      <c r="J52" s="1085">
        <f>SUM(J53:J55)</f>
        <v>1391913</v>
      </c>
      <c r="K52" s="1579">
        <f>SUM(K53:K55)</f>
        <v>2897017</v>
      </c>
      <c r="L52" s="1098">
        <f>SUM(L53:L55)</f>
        <v>0</v>
      </c>
      <c r="M52" s="1539">
        <f>SUM(M53:M55)</f>
        <v>2897017</v>
      </c>
    </row>
    <row r="53" spans="1:13" ht="17.25">
      <c r="A53" s="676">
        <v>46</v>
      </c>
      <c r="B53" s="296" t="s">
        <v>318</v>
      </c>
      <c r="C53" s="104"/>
      <c r="D53" s="104"/>
      <c r="E53" s="104"/>
      <c r="F53" s="40" t="s">
        <v>183</v>
      </c>
      <c r="G53" s="2">
        <v>573305</v>
      </c>
      <c r="H53" s="2">
        <f>29539+9983-8221</f>
        <v>31301</v>
      </c>
      <c r="I53" s="2">
        <v>661871</v>
      </c>
      <c r="J53" s="1086">
        <f>+'3.Inbe '!L173-106203</f>
        <v>226214</v>
      </c>
      <c r="K53" s="1580">
        <v>628126</v>
      </c>
      <c r="L53" s="1479"/>
      <c r="M53" s="1540">
        <f>SUM(K53:L53)</f>
        <v>628126</v>
      </c>
    </row>
    <row r="54" spans="1:13" ht="17.25">
      <c r="A54" s="676">
        <v>47</v>
      </c>
      <c r="B54" s="95">
        <v>17</v>
      </c>
      <c r="C54" s="104"/>
      <c r="D54" s="104"/>
      <c r="E54" s="104"/>
      <c r="F54" s="40" t="s">
        <v>184</v>
      </c>
      <c r="G54" s="2">
        <v>294771</v>
      </c>
      <c r="H54" s="2">
        <v>75474</v>
      </c>
      <c r="I54" s="2">
        <v>360345</v>
      </c>
      <c r="J54" s="1086">
        <f>+'3.Inbe '!L178-95</f>
        <v>80955</v>
      </c>
      <c r="K54" s="1580">
        <v>442201</v>
      </c>
      <c r="L54" s="1479"/>
      <c r="M54" s="1540">
        <f>SUM(K54:L54)</f>
        <v>442201</v>
      </c>
    </row>
    <row r="55" spans="1:13" ht="17.25">
      <c r="A55" s="676">
        <v>48</v>
      </c>
      <c r="B55" s="95">
        <v>18</v>
      </c>
      <c r="C55" s="104"/>
      <c r="D55" s="104"/>
      <c r="E55" s="104"/>
      <c r="F55" s="40" t="s">
        <v>114</v>
      </c>
      <c r="G55" s="2">
        <v>2011870</v>
      </c>
      <c r="H55" s="2">
        <v>974310</v>
      </c>
      <c r="I55" s="2">
        <v>1140069</v>
      </c>
      <c r="J55" s="1086">
        <v>1084744</v>
      </c>
      <c r="K55" s="1580">
        <v>1826690</v>
      </c>
      <c r="L55" s="1479"/>
      <c r="M55" s="1540">
        <f>SUM(K55:L55)</f>
        <v>1826690</v>
      </c>
    </row>
    <row r="56" spans="1:13" s="107" customFormat="1" ht="24" customHeight="1">
      <c r="A56" s="676">
        <v>49</v>
      </c>
      <c r="B56" s="95"/>
      <c r="C56" s="141"/>
      <c r="D56" s="104">
        <v>2</v>
      </c>
      <c r="E56" s="104"/>
      <c r="F56" s="142" t="s">
        <v>242</v>
      </c>
      <c r="G56" s="41">
        <f>SUM(G57:G59)</f>
        <v>10207131</v>
      </c>
      <c r="H56" s="41">
        <f>SUM(H57:H59)</f>
        <v>11802289</v>
      </c>
      <c r="I56" s="41">
        <f>SUM(I57:I59)</f>
        <v>11831032</v>
      </c>
      <c r="J56" s="1085">
        <f>SUM(J57:J59)</f>
        <v>16004771</v>
      </c>
      <c r="K56" s="1579">
        <f>SUM(K57:K59)</f>
        <v>16168630</v>
      </c>
      <c r="L56" s="1098">
        <f>SUM(L57:L59)</f>
        <v>0</v>
      </c>
      <c r="M56" s="1539">
        <f>SUM(M57:M59)</f>
        <v>16168630</v>
      </c>
    </row>
    <row r="57" spans="1:13" s="166" customFormat="1" ht="17.25">
      <c r="A57" s="676">
        <v>50</v>
      </c>
      <c r="B57" s="297" t="s">
        <v>318</v>
      </c>
      <c r="C57" s="104"/>
      <c r="D57" s="104"/>
      <c r="E57" s="104"/>
      <c r="F57" s="186" t="s">
        <v>183</v>
      </c>
      <c r="G57" s="2">
        <v>127144</v>
      </c>
      <c r="H57" s="2">
        <f>2400+2000+8221</f>
        <v>12621</v>
      </c>
      <c r="I57" s="2">
        <v>27970</v>
      </c>
      <c r="J57" s="1086">
        <v>106203</v>
      </c>
      <c r="K57" s="1580">
        <v>129649</v>
      </c>
      <c r="L57" s="1479"/>
      <c r="M57" s="1540">
        <f>SUM(K57:L57)</f>
        <v>129649</v>
      </c>
    </row>
    <row r="58" spans="1:13" s="166" customFormat="1" ht="17.25">
      <c r="A58" s="676">
        <v>51</v>
      </c>
      <c r="B58" s="297" t="s">
        <v>290</v>
      </c>
      <c r="C58" s="104"/>
      <c r="D58" s="104"/>
      <c r="E58" s="104"/>
      <c r="F58" s="40" t="s">
        <v>184</v>
      </c>
      <c r="G58" s="2">
        <v>24251</v>
      </c>
      <c r="H58" s="2">
        <f>16985</f>
        <v>16985</v>
      </c>
      <c r="I58" s="2">
        <v>24177</v>
      </c>
      <c r="J58" s="1086">
        <v>95</v>
      </c>
      <c r="K58" s="1580">
        <v>15781</v>
      </c>
      <c r="L58" s="1479"/>
      <c r="M58" s="1540">
        <f>SUM(K58:L58)</f>
        <v>15781</v>
      </c>
    </row>
    <row r="59" spans="1:13" s="166" customFormat="1" ht="17.25">
      <c r="A59" s="676">
        <v>52</v>
      </c>
      <c r="B59" s="95">
        <v>18</v>
      </c>
      <c r="C59" s="104"/>
      <c r="D59" s="104"/>
      <c r="E59" s="104"/>
      <c r="F59" s="186" t="s">
        <v>308</v>
      </c>
      <c r="G59" s="2">
        <v>10055736</v>
      </c>
      <c r="H59" s="2">
        <v>11772683</v>
      </c>
      <c r="I59" s="2">
        <v>11778885</v>
      </c>
      <c r="J59" s="1086">
        <v>15898473</v>
      </c>
      <c r="K59" s="1587">
        <v>16023200</v>
      </c>
      <c r="L59" s="1479"/>
      <c r="M59" s="1540">
        <f>SUM(K59:L59)</f>
        <v>16023200</v>
      </c>
    </row>
    <row r="60" spans="1:13" s="21" customFormat="1" ht="30" customHeight="1">
      <c r="A60" s="676">
        <v>53</v>
      </c>
      <c r="B60" s="302"/>
      <c r="C60" s="176"/>
      <c r="D60" s="177"/>
      <c r="E60" s="177"/>
      <c r="F60" s="185" t="s">
        <v>275</v>
      </c>
      <c r="G60" s="42">
        <f>SUM(G61:G63)</f>
        <v>47488</v>
      </c>
      <c r="H60" s="42">
        <f>SUM(H61:H63)</f>
        <v>1409800</v>
      </c>
      <c r="I60" s="42">
        <f>SUM(I61:I63)</f>
        <v>645374</v>
      </c>
      <c r="J60" s="1088">
        <f>SUM(J61:J63)</f>
        <v>1176517</v>
      </c>
      <c r="K60" s="1581">
        <f>SUM(K61:K63)</f>
        <v>1176517</v>
      </c>
      <c r="L60" s="1104">
        <f>SUM(L61:L63)</f>
        <v>0</v>
      </c>
      <c r="M60" s="1544">
        <f>SUM(M61:M63)</f>
        <v>1176517</v>
      </c>
    </row>
    <row r="61" spans="1:13" s="107" customFormat="1" ht="24" customHeight="1">
      <c r="A61" s="676">
        <v>54</v>
      </c>
      <c r="B61" s="95">
        <v>18</v>
      </c>
      <c r="C61" s="141"/>
      <c r="D61" s="104">
        <v>2</v>
      </c>
      <c r="E61" s="104"/>
      <c r="F61" s="142" t="s">
        <v>185</v>
      </c>
      <c r="G61" s="41"/>
      <c r="H61" s="41"/>
      <c r="I61" s="41"/>
      <c r="J61" s="1085"/>
      <c r="K61" s="1579"/>
      <c r="L61" s="1102"/>
      <c r="M61" s="1549"/>
    </row>
    <row r="62" spans="1:13" ht="17.25">
      <c r="A62" s="676">
        <v>55</v>
      </c>
      <c r="B62" s="95"/>
      <c r="C62" s="104"/>
      <c r="D62" s="104"/>
      <c r="E62" s="104"/>
      <c r="F62" s="40" t="s">
        <v>185</v>
      </c>
      <c r="G62" s="2"/>
      <c r="H62" s="2">
        <v>780800</v>
      </c>
      <c r="I62" s="2">
        <v>286988</v>
      </c>
      <c r="J62" s="1086">
        <f>601891-40000</f>
        <v>561891</v>
      </c>
      <c r="K62" s="1580">
        <v>561891</v>
      </c>
      <c r="L62" s="1099"/>
      <c r="M62" s="1540">
        <f>SUM(K62:L62)</f>
        <v>561891</v>
      </c>
    </row>
    <row r="63" spans="1:13" ht="17.25">
      <c r="A63" s="676">
        <v>56</v>
      </c>
      <c r="B63" s="95"/>
      <c r="C63" s="104"/>
      <c r="D63" s="104"/>
      <c r="E63" s="104"/>
      <c r="F63" s="187" t="s">
        <v>186</v>
      </c>
      <c r="G63" s="43">
        <v>47488</v>
      </c>
      <c r="H63" s="43">
        <v>629000</v>
      </c>
      <c r="I63" s="43">
        <v>358386</v>
      </c>
      <c r="J63" s="1086">
        <v>614626</v>
      </c>
      <c r="K63" s="1580">
        <v>614626</v>
      </c>
      <c r="L63" s="1099"/>
      <c r="M63" s="1540">
        <f>SUM(K63:L63)</f>
        <v>614626</v>
      </c>
    </row>
    <row r="64" spans="1:13" s="21" customFormat="1" ht="36" customHeight="1" thickBot="1">
      <c r="A64" s="676">
        <v>57</v>
      </c>
      <c r="B64" s="303"/>
      <c r="C64" s="188"/>
      <c r="D64" s="189"/>
      <c r="E64" s="189"/>
      <c r="F64" s="190" t="s">
        <v>187</v>
      </c>
      <c r="G64" s="318">
        <f>SUM(G47,G49)</f>
        <v>34391699</v>
      </c>
      <c r="H64" s="318">
        <f>SUM(H47,H49)</f>
        <v>37772045</v>
      </c>
      <c r="I64" s="318">
        <f>SUM(I47,I49)</f>
        <v>41400075</v>
      </c>
      <c r="J64" s="1093">
        <f>SUM(J47,J49)</f>
        <v>46422015</v>
      </c>
      <c r="K64" s="1585">
        <f>SUM(K47,K49)</f>
        <v>51254975</v>
      </c>
      <c r="L64" s="1109">
        <f>SUM(L47,L49)</f>
        <v>2831943</v>
      </c>
      <c r="M64" s="1550">
        <f>SUM(M47,M49)</f>
        <v>54086918</v>
      </c>
    </row>
  </sheetData>
  <sheetProtection/>
  <mergeCells count="4">
    <mergeCell ref="B2:F2"/>
    <mergeCell ref="B4:M4"/>
    <mergeCell ref="B3:M3"/>
    <mergeCell ref="B1:N1"/>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3" r:id="rId1"/>
  <headerFooter alignWithMargins="0">
    <oddFooter>&amp;C- &amp;P -</oddFooter>
  </headerFooter>
  <rowBreaks count="1" manualBreakCount="1">
    <brk id="42" max="11" man="1"/>
  </rowBreaks>
</worksheet>
</file>

<file path=xl/worksheets/sheet10.xml><?xml version="1.0" encoding="utf-8"?>
<worksheet xmlns="http://schemas.openxmlformats.org/spreadsheetml/2006/main" xmlns:r="http://schemas.openxmlformats.org/officeDocument/2006/relationships">
  <dimension ref="A1:IQ270"/>
  <sheetViews>
    <sheetView view="pageBreakPreview" zoomScaleSheetLayoutView="100" zoomScalePageLayoutView="0" workbookViewId="0" topLeftCell="A1">
      <pane ySplit="9" topLeftCell="A260" activePane="bottomLeft" state="frozen"/>
      <selection pane="topLeft" activeCell="F23" sqref="F23"/>
      <selection pane="bottomLeft" activeCell="B1" sqref="B1:M1"/>
    </sheetView>
  </sheetViews>
  <sheetFormatPr defaultColWidth="9.125" defaultRowHeight="12.75"/>
  <cols>
    <col min="1" max="1" width="3.75390625" style="524" customWidth="1"/>
    <col min="2" max="2" width="5.75390625" style="513" customWidth="1"/>
    <col min="3" max="3" width="5.75390625" style="514" customWidth="1"/>
    <col min="4" max="4" width="59.75390625" style="515" customWidth="1"/>
    <col min="5" max="7" width="10.75390625" style="511" customWidth="1"/>
    <col min="8" max="8" width="6.75390625" style="516" customWidth="1"/>
    <col min="9" max="11" width="14.875" style="511" customWidth="1"/>
    <col min="12" max="12" width="15.75390625" style="511" customWidth="1"/>
    <col min="13" max="13" width="13.75390625" style="522" customWidth="1"/>
    <col min="14" max="16384" width="9.125" style="512" customWidth="1"/>
  </cols>
  <sheetData>
    <row r="1" spans="2:13" ht="17.25">
      <c r="B1" s="2116" t="s">
        <v>1104</v>
      </c>
      <c r="C1" s="2116"/>
      <c r="D1" s="2116"/>
      <c r="E1" s="2116"/>
      <c r="F1" s="2116"/>
      <c r="G1" s="2116"/>
      <c r="H1" s="2116"/>
      <c r="I1" s="2116"/>
      <c r="J1" s="2116"/>
      <c r="K1" s="2116"/>
      <c r="L1" s="2116"/>
      <c r="M1" s="2116"/>
    </row>
    <row r="2" spans="1:251" s="325" customFormat="1" ht="18" customHeight="1">
      <c r="A2" s="523"/>
      <c r="B2" s="2237" t="s">
        <v>733</v>
      </c>
      <c r="C2" s="2237"/>
      <c r="D2" s="2237"/>
      <c r="E2" s="470"/>
      <c r="F2" s="470"/>
      <c r="G2" s="470"/>
      <c r="H2" s="469"/>
      <c r="I2" s="2270"/>
      <c r="J2" s="2270"/>
      <c r="K2" s="2270"/>
      <c r="L2" s="2270"/>
      <c r="M2" s="2270"/>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c r="CA2" s="471"/>
      <c r="CB2" s="471"/>
      <c r="CC2" s="471"/>
      <c r="CD2" s="471"/>
      <c r="CE2" s="471"/>
      <c r="CF2" s="471"/>
      <c r="CG2" s="471"/>
      <c r="CH2" s="471"/>
      <c r="CI2" s="471"/>
      <c r="CJ2" s="471"/>
      <c r="CK2" s="471"/>
      <c r="CL2" s="471"/>
      <c r="CM2" s="471"/>
      <c r="CN2" s="471"/>
      <c r="CO2" s="471"/>
      <c r="CP2" s="471"/>
      <c r="CQ2" s="471"/>
      <c r="CR2" s="471"/>
      <c r="CS2" s="471"/>
      <c r="CT2" s="471"/>
      <c r="CU2" s="471"/>
      <c r="CV2" s="471"/>
      <c r="CW2" s="471"/>
      <c r="CX2" s="471"/>
      <c r="CY2" s="471"/>
      <c r="CZ2" s="471"/>
      <c r="DA2" s="471"/>
      <c r="DB2" s="471"/>
      <c r="DC2" s="471"/>
      <c r="DD2" s="471"/>
      <c r="DE2" s="471"/>
      <c r="DF2" s="471"/>
      <c r="DG2" s="471"/>
      <c r="DH2" s="471"/>
      <c r="DI2" s="471"/>
      <c r="DJ2" s="471"/>
      <c r="DK2" s="471"/>
      <c r="DL2" s="471"/>
      <c r="DM2" s="471"/>
      <c r="DN2" s="471"/>
      <c r="DO2" s="471"/>
      <c r="DP2" s="471"/>
      <c r="DQ2" s="471"/>
      <c r="DR2" s="471"/>
      <c r="DS2" s="471"/>
      <c r="DT2" s="471"/>
      <c r="DU2" s="471"/>
      <c r="DV2" s="471"/>
      <c r="DW2" s="471"/>
      <c r="DX2" s="471"/>
      <c r="DY2" s="471"/>
      <c r="DZ2" s="471"/>
      <c r="EA2" s="471"/>
      <c r="EB2" s="471"/>
      <c r="EC2" s="471"/>
      <c r="ED2" s="471"/>
      <c r="EE2" s="471"/>
      <c r="EF2" s="471"/>
      <c r="EG2" s="471"/>
      <c r="EH2" s="471"/>
      <c r="EI2" s="471"/>
      <c r="EJ2" s="471"/>
      <c r="EK2" s="471"/>
      <c r="EL2" s="471"/>
      <c r="EM2" s="471"/>
      <c r="EN2" s="471"/>
      <c r="EO2" s="471"/>
      <c r="EP2" s="471"/>
      <c r="EQ2" s="471"/>
      <c r="ER2" s="471"/>
      <c r="ES2" s="471"/>
      <c r="ET2" s="471"/>
      <c r="EU2" s="471"/>
      <c r="EV2" s="471"/>
      <c r="EW2" s="471"/>
      <c r="EX2" s="471"/>
      <c r="EY2" s="471"/>
      <c r="EZ2" s="471"/>
      <c r="FA2" s="471"/>
      <c r="FB2" s="471"/>
      <c r="FC2" s="471"/>
      <c r="FD2" s="471"/>
      <c r="FE2" s="471"/>
      <c r="FF2" s="471"/>
      <c r="FG2" s="471"/>
      <c r="FH2" s="471"/>
      <c r="FI2" s="471"/>
      <c r="FJ2" s="471"/>
      <c r="FK2" s="471"/>
      <c r="FL2" s="471"/>
      <c r="FM2" s="471"/>
      <c r="FN2" s="471"/>
      <c r="FO2" s="471"/>
      <c r="FP2" s="471"/>
      <c r="FQ2" s="471"/>
      <c r="FR2" s="471"/>
      <c r="FS2" s="471"/>
      <c r="FT2" s="471"/>
      <c r="FU2" s="471"/>
      <c r="FV2" s="471"/>
      <c r="FW2" s="471"/>
      <c r="FX2" s="471"/>
      <c r="FY2" s="471"/>
      <c r="FZ2" s="471"/>
      <c r="GA2" s="471"/>
      <c r="GB2" s="471"/>
      <c r="GC2" s="471"/>
      <c r="GD2" s="471"/>
      <c r="GE2" s="471"/>
      <c r="GF2" s="471"/>
      <c r="GG2" s="471"/>
      <c r="GH2" s="471"/>
      <c r="GI2" s="471"/>
      <c r="GJ2" s="471"/>
      <c r="GK2" s="471"/>
      <c r="GL2" s="471"/>
      <c r="GM2" s="471"/>
      <c r="GN2" s="471"/>
      <c r="GO2" s="471"/>
      <c r="GP2" s="471"/>
      <c r="GQ2" s="471"/>
      <c r="GR2" s="471"/>
      <c r="GS2" s="471"/>
      <c r="GT2" s="471"/>
      <c r="GU2" s="471"/>
      <c r="GV2" s="471"/>
      <c r="GW2" s="471"/>
      <c r="GX2" s="471"/>
      <c r="GY2" s="471"/>
      <c r="GZ2" s="471"/>
      <c r="HA2" s="471"/>
      <c r="HB2" s="471"/>
      <c r="HC2" s="471"/>
      <c r="HD2" s="471"/>
      <c r="HE2" s="471"/>
      <c r="HF2" s="471"/>
      <c r="HG2" s="471"/>
      <c r="HH2" s="471"/>
      <c r="HI2" s="471"/>
      <c r="HJ2" s="471"/>
      <c r="HK2" s="471"/>
      <c r="HL2" s="471"/>
      <c r="HM2" s="471"/>
      <c r="HN2" s="471"/>
      <c r="HO2" s="471"/>
      <c r="HP2" s="471"/>
      <c r="HQ2" s="471"/>
      <c r="HR2" s="471"/>
      <c r="HS2" s="471"/>
      <c r="HT2" s="471"/>
      <c r="HU2" s="471"/>
      <c r="HV2" s="471"/>
      <c r="HW2" s="471"/>
      <c r="HX2" s="471"/>
      <c r="HY2" s="471"/>
      <c r="HZ2" s="471"/>
      <c r="IA2" s="471"/>
      <c r="IB2" s="471"/>
      <c r="IC2" s="471"/>
      <c r="ID2" s="471"/>
      <c r="IE2" s="471"/>
      <c r="IF2" s="471"/>
      <c r="IG2" s="471"/>
      <c r="IH2" s="471"/>
      <c r="II2" s="471"/>
      <c r="IJ2" s="471"/>
      <c r="IK2" s="471"/>
      <c r="IL2" s="471"/>
      <c r="IM2" s="471"/>
      <c r="IN2" s="471"/>
      <c r="IO2" s="471"/>
      <c r="IP2" s="471"/>
      <c r="IQ2" s="471"/>
    </row>
    <row r="3" spans="1:13" s="325" customFormat="1" ht="18" customHeight="1">
      <c r="A3" s="524"/>
      <c r="B3" s="2241" t="s">
        <v>14</v>
      </c>
      <c r="C3" s="2241"/>
      <c r="D3" s="2241"/>
      <c r="E3" s="2241"/>
      <c r="F3" s="2241"/>
      <c r="G3" s="2241"/>
      <c r="H3" s="2241"/>
      <c r="I3" s="2241"/>
      <c r="J3" s="2241"/>
      <c r="K3" s="2241"/>
      <c r="L3" s="2241"/>
      <c r="M3" s="2241"/>
    </row>
    <row r="4" spans="1:13" s="325" customFormat="1" ht="18" customHeight="1">
      <c r="A4" s="524"/>
      <c r="B4" s="2242" t="s">
        <v>625</v>
      </c>
      <c r="C4" s="2242"/>
      <c r="D4" s="2242"/>
      <c r="E4" s="2242"/>
      <c r="F4" s="2242"/>
      <c r="G4" s="2242"/>
      <c r="H4" s="2242"/>
      <c r="I4" s="2242"/>
      <c r="J4" s="2242"/>
      <c r="K4" s="2242"/>
      <c r="L4" s="2242"/>
      <c r="M4" s="2242"/>
    </row>
    <row r="5" ht="18" customHeight="1">
      <c r="M5" s="517" t="s">
        <v>0</v>
      </c>
    </row>
    <row r="6" spans="1:251" s="101" customFormat="1" ht="18" customHeight="1" thickBot="1">
      <c r="A6" s="524"/>
      <c r="B6" s="544" t="s">
        <v>1</v>
      </c>
      <c r="C6" s="545" t="s">
        <v>3</v>
      </c>
      <c r="D6" s="545" t="s">
        <v>2</v>
      </c>
      <c r="E6" s="545" t="s">
        <v>4</v>
      </c>
      <c r="F6" s="545" t="s">
        <v>5</v>
      </c>
      <c r="G6" s="545" t="s">
        <v>15</v>
      </c>
      <c r="H6" s="545" t="s">
        <v>16</v>
      </c>
      <c r="I6" s="545" t="s">
        <v>17</v>
      </c>
      <c r="J6" s="545" t="s">
        <v>33</v>
      </c>
      <c r="K6" s="545" t="s">
        <v>29</v>
      </c>
      <c r="L6" s="545" t="s">
        <v>22</v>
      </c>
      <c r="M6" s="545" t="s">
        <v>34</v>
      </c>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4"/>
      <c r="BJ6" s="524"/>
      <c r="BK6" s="524"/>
      <c r="BL6" s="524"/>
      <c r="BM6" s="524"/>
      <c r="BN6" s="524"/>
      <c r="BO6" s="524"/>
      <c r="BP6" s="524"/>
      <c r="BQ6" s="524"/>
      <c r="BR6" s="524"/>
      <c r="BS6" s="524"/>
      <c r="BT6" s="524"/>
      <c r="BU6" s="524"/>
      <c r="BV6" s="524"/>
      <c r="BW6" s="524"/>
      <c r="BX6" s="524"/>
      <c r="BY6" s="524"/>
      <c r="BZ6" s="524"/>
      <c r="CA6" s="524"/>
      <c r="CB6" s="524"/>
      <c r="CC6" s="524"/>
      <c r="CD6" s="524"/>
      <c r="CE6" s="524"/>
      <c r="CF6" s="524"/>
      <c r="CG6" s="524"/>
      <c r="CH6" s="524"/>
      <c r="CI6" s="524"/>
      <c r="CJ6" s="524"/>
      <c r="CK6" s="524"/>
      <c r="CL6" s="524"/>
      <c r="CM6" s="524"/>
      <c r="CN6" s="524"/>
      <c r="CO6" s="524"/>
      <c r="CP6" s="524"/>
      <c r="CQ6" s="524"/>
      <c r="CR6" s="524"/>
      <c r="CS6" s="524"/>
      <c r="CT6" s="524"/>
      <c r="CU6" s="524"/>
      <c r="CV6" s="524"/>
      <c r="CW6" s="524"/>
      <c r="CX6" s="524"/>
      <c r="CY6" s="524"/>
      <c r="CZ6" s="524"/>
      <c r="DA6" s="524"/>
      <c r="DB6" s="524"/>
      <c r="DC6" s="524"/>
      <c r="DD6" s="524"/>
      <c r="DE6" s="524"/>
      <c r="DF6" s="524"/>
      <c r="DG6" s="524"/>
      <c r="DH6" s="524"/>
      <c r="DI6" s="524"/>
      <c r="DJ6" s="524"/>
      <c r="DK6" s="524"/>
      <c r="DL6" s="524"/>
      <c r="DM6" s="524"/>
      <c r="DN6" s="524"/>
      <c r="DO6" s="524"/>
      <c r="DP6" s="524"/>
      <c r="DQ6" s="524"/>
      <c r="DR6" s="524"/>
      <c r="DS6" s="524"/>
      <c r="DT6" s="524"/>
      <c r="DU6" s="524"/>
      <c r="DV6" s="524"/>
      <c r="DW6" s="524"/>
      <c r="DX6" s="524"/>
      <c r="DY6" s="524"/>
      <c r="DZ6" s="524"/>
      <c r="EA6" s="524"/>
      <c r="EB6" s="524"/>
      <c r="EC6" s="524"/>
      <c r="ED6" s="524"/>
      <c r="EE6" s="524"/>
      <c r="EF6" s="524"/>
      <c r="EG6" s="524"/>
      <c r="EH6" s="524"/>
      <c r="EI6" s="524"/>
      <c r="EJ6" s="524"/>
      <c r="EK6" s="524"/>
      <c r="EL6" s="524"/>
      <c r="EM6" s="524"/>
      <c r="EN6" s="524"/>
      <c r="EO6" s="524"/>
      <c r="EP6" s="524"/>
      <c r="EQ6" s="524"/>
      <c r="ER6" s="524"/>
      <c r="ES6" s="524"/>
      <c r="ET6" s="524"/>
      <c r="EU6" s="524"/>
      <c r="EV6" s="524"/>
      <c r="EW6" s="524"/>
      <c r="EX6" s="524"/>
      <c r="EY6" s="524"/>
      <c r="EZ6" s="524"/>
      <c r="FA6" s="524"/>
      <c r="FB6" s="524"/>
      <c r="FC6" s="524"/>
      <c r="FD6" s="524"/>
      <c r="FE6" s="524"/>
      <c r="FF6" s="524"/>
      <c r="FG6" s="524"/>
      <c r="FH6" s="524"/>
      <c r="FI6" s="524"/>
      <c r="FJ6" s="524"/>
      <c r="FK6" s="524"/>
      <c r="FL6" s="524"/>
      <c r="FM6" s="524"/>
      <c r="FN6" s="524"/>
      <c r="FO6" s="524"/>
      <c r="FP6" s="524"/>
      <c r="FQ6" s="524"/>
      <c r="FR6" s="524"/>
      <c r="FS6" s="524"/>
      <c r="FT6" s="524"/>
      <c r="FU6" s="524"/>
      <c r="FV6" s="524"/>
      <c r="FW6" s="524"/>
      <c r="FX6" s="524"/>
      <c r="FY6" s="524"/>
      <c r="FZ6" s="524"/>
      <c r="GA6" s="524"/>
      <c r="GB6" s="524"/>
      <c r="GC6" s="524"/>
      <c r="GD6" s="524"/>
      <c r="GE6" s="524"/>
      <c r="GF6" s="524"/>
      <c r="GG6" s="524"/>
      <c r="GH6" s="524"/>
      <c r="GI6" s="524"/>
      <c r="GJ6" s="524"/>
      <c r="GK6" s="524"/>
      <c r="GL6" s="524"/>
      <c r="GM6" s="524"/>
      <c r="GN6" s="524"/>
      <c r="GO6" s="524"/>
      <c r="GP6" s="524"/>
      <c r="GQ6" s="524"/>
      <c r="GR6" s="524"/>
      <c r="GS6" s="524"/>
      <c r="GT6" s="524"/>
      <c r="GU6" s="524"/>
      <c r="GV6" s="524"/>
      <c r="GW6" s="524"/>
      <c r="GX6" s="524"/>
      <c r="GY6" s="524"/>
      <c r="GZ6" s="524"/>
      <c r="HA6" s="524"/>
      <c r="HB6" s="524"/>
      <c r="HC6" s="524"/>
      <c r="HD6" s="524"/>
      <c r="HE6" s="524"/>
      <c r="HF6" s="524"/>
      <c r="HG6" s="524"/>
      <c r="HH6" s="524"/>
      <c r="HI6" s="524"/>
      <c r="HJ6" s="524"/>
      <c r="HK6" s="524"/>
      <c r="HL6" s="524"/>
      <c r="HM6" s="524"/>
      <c r="HN6" s="524"/>
      <c r="HO6" s="524"/>
      <c r="HP6" s="524"/>
      <c r="HQ6" s="524"/>
      <c r="HR6" s="524"/>
      <c r="HS6" s="524"/>
      <c r="HT6" s="524"/>
      <c r="HU6" s="524"/>
      <c r="HV6" s="524"/>
      <c r="HW6" s="524"/>
      <c r="HX6" s="524"/>
      <c r="HY6" s="524"/>
      <c r="HZ6" s="524"/>
      <c r="IA6" s="524"/>
      <c r="IB6" s="524"/>
      <c r="IC6" s="524"/>
      <c r="ID6" s="524"/>
      <c r="IE6" s="524"/>
      <c r="IF6" s="524"/>
      <c r="IG6" s="524"/>
      <c r="IH6" s="524"/>
      <c r="II6" s="524"/>
      <c r="IJ6" s="524"/>
      <c r="IK6" s="524"/>
      <c r="IL6" s="524"/>
      <c r="IM6" s="524"/>
      <c r="IN6" s="524"/>
      <c r="IO6" s="524"/>
      <c r="IP6" s="524"/>
      <c r="IQ6" s="524"/>
    </row>
    <row r="7" spans="2:13" ht="30" customHeight="1">
      <c r="B7" s="2252" t="s">
        <v>18</v>
      </c>
      <c r="C7" s="2255" t="s">
        <v>19</v>
      </c>
      <c r="D7" s="2258" t="s">
        <v>6</v>
      </c>
      <c r="E7" s="2249" t="s">
        <v>21</v>
      </c>
      <c r="F7" s="2249" t="s">
        <v>640</v>
      </c>
      <c r="G7" s="2267" t="s">
        <v>740</v>
      </c>
      <c r="H7" s="2264" t="s">
        <v>276</v>
      </c>
      <c r="I7" s="2243" t="s">
        <v>537</v>
      </c>
      <c r="J7" s="2244"/>
      <c r="K7" s="2244"/>
      <c r="L7" s="2245"/>
      <c r="M7" s="2246" t="s">
        <v>589</v>
      </c>
    </row>
    <row r="8" spans="2:13" ht="45.75" customHeight="1">
      <c r="B8" s="2253"/>
      <c r="C8" s="2256"/>
      <c r="D8" s="2259"/>
      <c r="E8" s="2250"/>
      <c r="F8" s="2250"/>
      <c r="G8" s="2268"/>
      <c r="H8" s="2265"/>
      <c r="I8" s="516" t="s">
        <v>36</v>
      </c>
      <c r="J8" s="2261" t="s">
        <v>148</v>
      </c>
      <c r="K8" s="2261"/>
      <c r="L8" s="2262" t="s">
        <v>115</v>
      </c>
      <c r="M8" s="2247"/>
    </row>
    <row r="9" spans="2:13" ht="53.25" customHeight="1" thickBot="1">
      <c r="B9" s="2254"/>
      <c r="C9" s="2257"/>
      <c r="D9" s="2260"/>
      <c r="E9" s="2251"/>
      <c r="F9" s="2251"/>
      <c r="G9" s="2269"/>
      <c r="H9" s="2266"/>
      <c r="I9" s="725" t="s">
        <v>39</v>
      </c>
      <c r="J9" s="546" t="s">
        <v>213</v>
      </c>
      <c r="K9" s="546" t="s">
        <v>149</v>
      </c>
      <c r="L9" s="2263"/>
      <c r="M9" s="2248"/>
    </row>
    <row r="10" spans="1:13" ht="23.25" customHeight="1">
      <c r="A10" s="525">
        <v>1</v>
      </c>
      <c r="B10" s="724">
        <v>18</v>
      </c>
      <c r="C10" s="716" t="s">
        <v>30</v>
      </c>
      <c r="D10" s="1775"/>
      <c r="E10" s="518"/>
      <c r="F10" s="536"/>
      <c r="G10" s="1459"/>
      <c r="H10" s="752"/>
      <c r="I10" s="726"/>
      <c r="J10" s="547"/>
      <c r="K10" s="547"/>
      <c r="L10" s="548"/>
      <c r="M10" s="537"/>
    </row>
    <row r="11" spans="1:13" ht="33" customHeight="1">
      <c r="A11" s="525">
        <v>2</v>
      </c>
      <c r="B11" s="724"/>
      <c r="C11" s="543">
        <v>1</v>
      </c>
      <c r="D11" s="1013" t="s">
        <v>803</v>
      </c>
      <c r="E11" s="540">
        <f>F11+G11+L15+M12</f>
        <v>25604</v>
      </c>
      <c r="F11" s="541">
        <v>5652</v>
      </c>
      <c r="G11" s="1460">
        <v>4318</v>
      </c>
      <c r="H11" s="753" t="s">
        <v>23</v>
      </c>
      <c r="I11" s="1290"/>
      <c r="J11" s="1291"/>
      <c r="K11" s="1291"/>
      <c r="L11" s="1292"/>
      <c r="M11" s="537"/>
    </row>
    <row r="12" spans="1:13" s="1431" customFormat="1" ht="19.5" customHeight="1">
      <c r="A12" s="525">
        <v>3</v>
      </c>
      <c r="B12" s="1424"/>
      <c r="C12" s="1425"/>
      <c r="D12" s="594" t="s">
        <v>283</v>
      </c>
      <c r="E12" s="1422"/>
      <c r="F12" s="1426"/>
      <c r="G12" s="1461"/>
      <c r="H12" s="1427"/>
      <c r="I12" s="1432"/>
      <c r="J12" s="1433">
        <f>5936+5000</f>
        <v>10936</v>
      </c>
      <c r="K12" s="1433"/>
      <c r="L12" s="1434">
        <f>SUM(I12:K12)</f>
        <v>10936</v>
      </c>
      <c r="M12" s="1429"/>
    </row>
    <row r="13" spans="1:13" s="1431" customFormat="1" ht="19.5" customHeight="1">
      <c r="A13" s="525">
        <v>4</v>
      </c>
      <c r="B13" s="1424"/>
      <c r="C13" s="1425"/>
      <c r="D13" s="483" t="s">
        <v>938</v>
      </c>
      <c r="E13" s="1422"/>
      <c r="F13" s="1426"/>
      <c r="G13" s="1461"/>
      <c r="H13" s="1427"/>
      <c r="I13" s="1432"/>
      <c r="J13" s="1560">
        <v>15634</v>
      </c>
      <c r="K13" s="1560"/>
      <c r="L13" s="1668">
        <f>SUM(I13:K13)</f>
        <v>15634</v>
      </c>
      <c r="M13" s="1429"/>
    </row>
    <row r="14" spans="1:13" ht="18" customHeight="1">
      <c r="A14" s="525">
        <v>5</v>
      </c>
      <c r="B14" s="538"/>
      <c r="C14" s="543"/>
      <c r="D14" s="1146" t="s">
        <v>725</v>
      </c>
      <c r="E14" s="540"/>
      <c r="F14" s="541"/>
      <c r="G14" s="1460"/>
      <c r="H14" s="753"/>
      <c r="I14" s="1713"/>
      <c r="J14" s="1300"/>
      <c r="K14" s="549"/>
      <c r="L14" s="1241">
        <f>SUM(I14:K14)</f>
        <v>0</v>
      </c>
      <c r="M14" s="542"/>
    </row>
    <row r="15" spans="1:13" ht="18" customHeight="1">
      <c r="A15" s="525">
        <v>6</v>
      </c>
      <c r="B15" s="538"/>
      <c r="C15" s="543"/>
      <c r="D15" s="483" t="s">
        <v>1091</v>
      </c>
      <c r="E15" s="540"/>
      <c r="F15" s="541"/>
      <c r="G15" s="1460"/>
      <c r="H15" s="753"/>
      <c r="I15" s="1560"/>
      <c r="J15" s="1560">
        <f>SUM(J13:J14)</f>
        <v>15634</v>
      </c>
      <c r="K15" s="549"/>
      <c r="L15" s="1238">
        <f>SUM(I15:K15)</f>
        <v>15634</v>
      </c>
      <c r="M15" s="542"/>
    </row>
    <row r="16" spans="1:13" ht="31.5" customHeight="1">
      <c r="A16" s="525">
        <v>7</v>
      </c>
      <c r="B16" s="538"/>
      <c r="C16" s="543">
        <v>2</v>
      </c>
      <c r="D16" s="1013" t="s">
        <v>915</v>
      </c>
      <c r="E16" s="540">
        <f>F16+G16+L19+M17</f>
        <v>1000</v>
      </c>
      <c r="F16" s="541"/>
      <c r="G16" s="1460"/>
      <c r="H16" s="753" t="s">
        <v>23</v>
      </c>
      <c r="I16" s="727"/>
      <c r="J16" s="1560"/>
      <c r="K16" s="549"/>
      <c r="L16" s="1293"/>
      <c r="M16" s="542"/>
    </row>
    <row r="17" spans="1:13" ht="19.5" customHeight="1">
      <c r="A17" s="525">
        <v>8</v>
      </c>
      <c r="B17" s="538"/>
      <c r="C17" s="543"/>
      <c r="D17" s="483" t="s">
        <v>938</v>
      </c>
      <c r="E17" s="540"/>
      <c r="F17" s="541"/>
      <c r="G17" s="1460"/>
      <c r="H17" s="753"/>
      <c r="I17" s="1562">
        <v>1000</v>
      </c>
      <c r="J17" s="1560">
        <v>1000</v>
      </c>
      <c r="K17" s="549"/>
      <c r="L17" s="1238">
        <f>SUM(I17:K17)</f>
        <v>2000</v>
      </c>
      <c r="M17" s="542"/>
    </row>
    <row r="18" spans="1:13" ht="18" customHeight="1">
      <c r="A18" s="525">
        <v>9</v>
      </c>
      <c r="B18" s="538"/>
      <c r="C18" s="543"/>
      <c r="D18" s="1146" t="s">
        <v>689</v>
      </c>
      <c r="E18" s="540"/>
      <c r="F18" s="541"/>
      <c r="G18" s="1460"/>
      <c r="H18" s="753"/>
      <c r="I18" s="1713">
        <v>-1000</v>
      </c>
      <c r="J18" s="1300"/>
      <c r="K18" s="549"/>
      <c r="L18" s="1241">
        <f>SUM(I18:K18)</f>
        <v>-1000</v>
      </c>
      <c r="M18" s="542"/>
    </row>
    <row r="19" spans="1:13" ht="18" customHeight="1">
      <c r="A19" s="525">
        <v>10</v>
      </c>
      <c r="B19" s="538"/>
      <c r="C19" s="543"/>
      <c r="D19" s="483" t="s">
        <v>1091</v>
      </c>
      <c r="E19" s="540"/>
      <c r="F19" s="541"/>
      <c r="G19" s="1460"/>
      <c r="H19" s="753"/>
      <c r="I19" s="1562">
        <f>SUM(I17:I18)</f>
        <v>0</v>
      </c>
      <c r="J19" s="1562">
        <f>SUM(J17:J18)</f>
        <v>1000</v>
      </c>
      <c r="K19" s="549"/>
      <c r="L19" s="1238">
        <f>SUM(I19:K19)</f>
        <v>1000</v>
      </c>
      <c r="M19" s="542"/>
    </row>
    <row r="20" spans="1:13" ht="29.25" customHeight="1">
      <c r="A20" s="525">
        <v>11</v>
      </c>
      <c r="B20" s="538"/>
      <c r="C20" s="543">
        <v>3</v>
      </c>
      <c r="D20" s="1013" t="s">
        <v>467</v>
      </c>
      <c r="E20" s="540">
        <f>F20+G20+L24+M21</f>
        <v>74372</v>
      </c>
      <c r="F20" s="540">
        <f>18391+26497</f>
        <v>44888</v>
      </c>
      <c r="G20" s="1460">
        <v>29084</v>
      </c>
      <c r="H20" s="753" t="s">
        <v>23</v>
      </c>
      <c r="I20" s="727"/>
      <c r="J20" s="549"/>
      <c r="K20" s="549"/>
      <c r="L20" s="1293"/>
      <c r="M20" s="542"/>
    </row>
    <row r="21" spans="1:13" s="1431" customFormat="1" ht="19.5" customHeight="1">
      <c r="A21" s="525">
        <v>12</v>
      </c>
      <c r="B21" s="1424"/>
      <c r="C21" s="1425"/>
      <c r="D21" s="594" t="s">
        <v>283</v>
      </c>
      <c r="E21" s="1422"/>
      <c r="F21" s="1422"/>
      <c r="G21" s="1461"/>
      <c r="H21" s="753"/>
      <c r="I21" s="1428"/>
      <c r="J21" s="1422">
        <v>400</v>
      </c>
      <c r="K21" s="1422"/>
      <c r="L21" s="1423">
        <f>SUM(I21:K21)</f>
        <v>400</v>
      </c>
      <c r="M21" s="1429"/>
    </row>
    <row r="22" spans="1:13" s="1431" customFormat="1" ht="19.5" customHeight="1">
      <c r="A22" s="525">
        <v>13</v>
      </c>
      <c r="B22" s="1424"/>
      <c r="C22" s="1425"/>
      <c r="D22" s="483" t="s">
        <v>938</v>
      </c>
      <c r="E22" s="1422"/>
      <c r="F22" s="1422"/>
      <c r="G22" s="1461"/>
      <c r="H22" s="753"/>
      <c r="I22" s="1428"/>
      <c r="J22" s="1561">
        <v>400</v>
      </c>
      <c r="K22" s="1561"/>
      <c r="L22" s="1669">
        <f>SUM(I22:K22)</f>
        <v>400</v>
      </c>
      <c r="M22" s="1429"/>
    </row>
    <row r="23" spans="1:13" ht="18" customHeight="1">
      <c r="A23" s="525">
        <v>14</v>
      </c>
      <c r="B23" s="538"/>
      <c r="C23" s="543"/>
      <c r="D23" s="1146" t="s">
        <v>674</v>
      </c>
      <c r="E23" s="540"/>
      <c r="F23" s="540"/>
      <c r="G23" s="1460"/>
      <c r="H23" s="753"/>
      <c r="I23" s="728"/>
      <c r="J23" s="540"/>
      <c r="K23" s="540"/>
      <c r="L23" s="1241">
        <f>SUM(I23:K23)</f>
        <v>0</v>
      </c>
      <c r="M23" s="542"/>
    </row>
    <row r="24" spans="1:13" ht="18" customHeight="1">
      <c r="A24" s="525">
        <v>15</v>
      </c>
      <c r="B24" s="538"/>
      <c r="C24" s="543"/>
      <c r="D24" s="483" t="s">
        <v>1091</v>
      </c>
      <c r="E24" s="540"/>
      <c r="F24" s="540"/>
      <c r="G24" s="1460"/>
      <c r="H24" s="753"/>
      <c r="I24" s="728"/>
      <c r="J24" s="540">
        <f>SUM(J22:J23)</f>
        <v>400</v>
      </c>
      <c r="K24" s="540"/>
      <c r="L24" s="1238">
        <f>SUM(I24:K24)</f>
        <v>400</v>
      </c>
      <c r="M24" s="542"/>
    </row>
    <row r="25" spans="1:13" ht="22.5" customHeight="1">
      <c r="A25" s="525">
        <v>16</v>
      </c>
      <c r="B25" s="538"/>
      <c r="C25" s="539">
        <v>4</v>
      </c>
      <c r="D25" s="328" t="s">
        <v>468</v>
      </c>
      <c r="E25" s="540">
        <f>F25+G25+L29+M26</f>
        <v>9675</v>
      </c>
      <c r="F25" s="540"/>
      <c r="G25" s="1460">
        <v>2388</v>
      </c>
      <c r="H25" s="753" t="s">
        <v>23</v>
      </c>
      <c r="I25" s="728"/>
      <c r="J25" s="540"/>
      <c r="K25" s="540"/>
      <c r="L25" s="1293"/>
      <c r="M25" s="542"/>
    </row>
    <row r="26" spans="1:13" s="1431" customFormat="1" ht="19.5" customHeight="1">
      <c r="A26" s="525">
        <v>17</v>
      </c>
      <c r="B26" s="1424"/>
      <c r="C26" s="1435"/>
      <c r="D26" s="594" t="s">
        <v>283</v>
      </c>
      <c r="E26" s="1422"/>
      <c r="F26" s="1422"/>
      <c r="G26" s="1461"/>
      <c r="H26" s="753"/>
      <c r="I26" s="1428"/>
      <c r="J26" s="1422">
        <v>7287</v>
      </c>
      <c r="K26" s="1422"/>
      <c r="L26" s="1423">
        <f>SUM(I26:K26)</f>
        <v>7287</v>
      </c>
      <c r="M26" s="1429"/>
    </row>
    <row r="27" spans="1:13" s="1431" customFormat="1" ht="19.5" customHeight="1">
      <c r="A27" s="525">
        <v>18</v>
      </c>
      <c r="B27" s="1424"/>
      <c r="C27" s="1435"/>
      <c r="D27" s="483" t="s">
        <v>938</v>
      </c>
      <c r="E27" s="1422"/>
      <c r="F27" s="1422"/>
      <c r="G27" s="1461"/>
      <c r="H27" s="753"/>
      <c r="I27" s="1428"/>
      <c r="J27" s="1561">
        <v>7287</v>
      </c>
      <c r="K27" s="1561"/>
      <c r="L27" s="1669">
        <f>SUM(I27:K27)</f>
        <v>7287</v>
      </c>
      <c r="M27" s="1429"/>
    </row>
    <row r="28" spans="1:13" ht="18" customHeight="1">
      <c r="A28" s="525">
        <v>19</v>
      </c>
      <c r="B28" s="538"/>
      <c r="C28" s="539"/>
      <c r="D28" s="1146" t="s">
        <v>674</v>
      </c>
      <c r="E28" s="540"/>
      <c r="F28" s="540"/>
      <c r="G28" s="1460"/>
      <c r="H28" s="753"/>
      <c r="I28" s="728"/>
      <c r="J28" s="540"/>
      <c r="K28" s="540"/>
      <c r="L28" s="1241">
        <f>SUM(I28:K28)</f>
        <v>0</v>
      </c>
      <c r="M28" s="542"/>
    </row>
    <row r="29" spans="1:13" ht="18" customHeight="1">
      <c r="A29" s="525">
        <v>20</v>
      </c>
      <c r="B29" s="538"/>
      <c r="C29" s="539"/>
      <c r="D29" s="483" t="s">
        <v>1091</v>
      </c>
      <c r="E29" s="540"/>
      <c r="F29" s="540"/>
      <c r="G29" s="1460"/>
      <c r="H29" s="753"/>
      <c r="I29" s="728"/>
      <c r="J29" s="1561">
        <f>SUM(J27:J28)</f>
        <v>7287</v>
      </c>
      <c r="K29" s="540"/>
      <c r="L29" s="1238">
        <f>SUM(I29:K29)</f>
        <v>7287</v>
      </c>
      <c r="M29" s="542"/>
    </row>
    <row r="30" spans="1:13" ht="29.25" customHeight="1">
      <c r="A30" s="525">
        <v>21</v>
      </c>
      <c r="B30" s="538"/>
      <c r="C30" s="543">
        <v>5</v>
      </c>
      <c r="D30" s="1013" t="s">
        <v>469</v>
      </c>
      <c r="E30" s="540">
        <f>F30+G30+L34+M31</f>
        <v>3862</v>
      </c>
      <c r="F30" s="541">
        <v>305</v>
      </c>
      <c r="G30" s="1460">
        <v>3557</v>
      </c>
      <c r="H30" s="753" t="s">
        <v>23</v>
      </c>
      <c r="I30" s="727"/>
      <c r="J30" s="549"/>
      <c r="K30" s="549"/>
      <c r="L30" s="550"/>
      <c r="M30" s="542"/>
    </row>
    <row r="31" spans="1:13" s="1431" customFormat="1" ht="19.5" customHeight="1">
      <c r="A31" s="525">
        <v>22</v>
      </c>
      <c r="B31" s="1424"/>
      <c r="C31" s="1425"/>
      <c r="D31" s="594" t="s">
        <v>283</v>
      </c>
      <c r="E31" s="1422"/>
      <c r="F31" s="1426"/>
      <c r="G31" s="1461"/>
      <c r="H31" s="1427"/>
      <c r="I31" s="1432"/>
      <c r="J31" s="1433">
        <v>398</v>
      </c>
      <c r="K31" s="1433"/>
      <c r="L31" s="1434">
        <f>SUM(I31:K31)</f>
        <v>398</v>
      </c>
      <c r="M31" s="1429"/>
    </row>
    <row r="32" spans="1:13" s="1431" customFormat="1" ht="19.5" customHeight="1">
      <c r="A32" s="525">
        <v>23</v>
      </c>
      <c r="B32" s="1424"/>
      <c r="C32" s="1425"/>
      <c r="D32" s="483" t="s">
        <v>938</v>
      </c>
      <c r="E32" s="1422"/>
      <c r="F32" s="1426"/>
      <c r="G32" s="1461"/>
      <c r="H32" s="1427"/>
      <c r="I32" s="1432"/>
      <c r="J32" s="1560">
        <v>398</v>
      </c>
      <c r="K32" s="1560"/>
      <c r="L32" s="1668">
        <f>SUM(I32:K32)</f>
        <v>398</v>
      </c>
      <c r="M32" s="1429"/>
    </row>
    <row r="33" spans="1:13" ht="18" customHeight="1">
      <c r="A33" s="525">
        <v>24</v>
      </c>
      <c r="B33" s="538"/>
      <c r="C33" s="543"/>
      <c r="D33" s="1146" t="s">
        <v>689</v>
      </c>
      <c r="E33" s="540"/>
      <c r="F33" s="541"/>
      <c r="G33" s="1460"/>
      <c r="H33" s="753"/>
      <c r="I33" s="727"/>
      <c r="J33" s="1300">
        <v>-398</v>
      </c>
      <c r="K33" s="549"/>
      <c r="L33" s="1241">
        <f>SUM(I33:K33)</f>
        <v>-398</v>
      </c>
      <c r="M33" s="542"/>
    </row>
    <row r="34" spans="1:13" ht="18" customHeight="1">
      <c r="A34" s="525">
        <v>25</v>
      </c>
      <c r="B34" s="538"/>
      <c r="C34" s="543"/>
      <c r="D34" s="483" t="s">
        <v>1091</v>
      </c>
      <c r="E34" s="540"/>
      <c r="F34" s="541"/>
      <c r="G34" s="1460"/>
      <c r="H34" s="753"/>
      <c r="I34" s="727"/>
      <c r="J34" s="1560">
        <f>SUM(J32:J33)</f>
        <v>0</v>
      </c>
      <c r="K34" s="549"/>
      <c r="L34" s="1238">
        <f>SUM(I34:K34)</f>
        <v>0</v>
      </c>
      <c r="M34" s="542"/>
    </row>
    <row r="35" spans="1:13" ht="22.5" customHeight="1">
      <c r="A35" s="525">
        <v>26</v>
      </c>
      <c r="B35" s="538"/>
      <c r="C35" s="539">
        <v>6</v>
      </c>
      <c r="D35" s="1764" t="s">
        <v>477</v>
      </c>
      <c r="E35" s="540">
        <f>F35+G35+L39+M36</f>
        <v>3630</v>
      </c>
      <c r="F35" s="541">
        <f>3210+110+100+100</f>
        <v>3520</v>
      </c>
      <c r="G35" s="1460">
        <v>100</v>
      </c>
      <c r="H35" s="753" t="s">
        <v>23</v>
      </c>
      <c r="I35" s="727"/>
      <c r="J35" s="549"/>
      <c r="K35" s="549"/>
      <c r="L35" s="550"/>
      <c r="M35" s="542"/>
    </row>
    <row r="36" spans="1:13" s="1431" customFormat="1" ht="18" customHeight="1">
      <c r="A36" s="525">
        <v>27</v>
      </c>
      <c r="B36" s="1424"/>
      <c r="C36" s="1425"/>
      <c r="D36" s="594" t="s">
        <v>283</v>
      </c>
      <c r="E36" s="1422"/>
      <c r="F36" s="1426"/>
      <c r="G36" s="1461"/>
      <c r="H36" s="1427"/>
      <c r="I36" s="1432"/>
      <c r="J36" s="1433">
        <v>100</v>
      </c>
      <c r="K36" s="1433"/>
      <c r="L36" s="1434">
        <f>SUM(I36:K36)</f>
        <v>100</v>
      </c>
      <c r="M36" s="1429"/>
    </row>
    <row r="37" spans="1:13" s="1431" customFormat="1" ht="18" customHeight="1">
      <c r="A37" s="525">
        <v>28</v>
      </c>
      <c r="B37" s="1424"/>
      <c r="C37" s="1425"/>
      <c r="D37" s="483" t="s">
        <v>938</v>
      </c>
      <c r="E37" s="1422"/>
      <c r="F37" s="1426"/>
      <c r="G37" s="1461"/>
      <c r="H37" s="1427"/>
      <c r="I37" s="1432"/>
      <c r="J37" s="1560">
        <v>10</v>
      </c>
      <c r="K37" s="1560"/>
      <c r="L37" s="1668">
        <f>SUM(I37:K37)</f>
        <v>10</v>
      </c>
      <c r="M37" s="1429"/>
    </row>
    <row r="38" spans="1:13" ht="18" customHeight="1">
      <c r="A38" s="525">
        <v>29</v>
      </c>
      <c r="B38" s="538"/>
      <c r="C38" s="543"/>
      <c r="D38" s="1146" t="s">
        <v>725</v>
      </c>
      <c r="E38" s="540"/>
      <c r="F38" s="541"/>
      <c r="G38" s="1460"/>
      <c r="H38" s="753"/>
      <c r="I38" s="727"/>
      <c r="J38" s="1300"/>
      <c r="K38" s="549"/>
      <c r="L38" s="1241">
        <f>SUM(I38:K38)</f>
        <v>0</v>
      </c>
      <c r="M38" s="542"/>
    </row>
    <row r="39" spans="1:13" ht="18" customHeight="1">
      <c r="A39" s="525">
        <v>30</v>
      </c>
      <c r="B39" s="538"/>
      <c r="C39" s="543"/>
      <c r="D39" s="483" t="s">
        <v>1091</v>
      </c>
      <c r="E39" s="540"/>
      <c r="F39" s="541"/>
      <c r="G39" s="1460"/>
      <c r="H39" s="753"/>
      <c r="I39" s="727"/>
      <c r="J39" s="1560">
        <f>SUM(J37:J38)</f>
        <v>10</v>
      </c>
      <c r="K39" s="549"/>
      <c r="L39" s="1238">
        <f>SUM(I39:K39)</f>
        <v>10</v>
      </c>
      <c r="M39" s="542"/>
    </row>
    <row r="40" spans="1:13" ht="22.5" customHeight="1">
      <c r="A40" s="525">
        <v>31</v>
      </c>
      <c r="B40" s="538"/>
      <c r="C40" s="539">
        <v>7</v>
      </c>
      <c r="D40" s="1764" t="s">
        <v>478</v>
      </c>
      <c r="E40" s="540">
        <f>F40+G40+L44+M41</f>
        <v>188770</v>
      </c>
      <c r="F40" s="541">
        <f>84090+35890+22900</f>
        <v>142880</v>
      </c>
      <c r="G40" s="1460">
        <v>22900</v>
      </c>
      <c r="H40" s="753" t="s">
        <v>23</v>
      </c>
      <c r="I40" s="727"/>
      <c r="J40" s="549"/>
      <c r="K40" s="549"/>
      <c r="L40" s="550"/>
      <c r="M40" s="542"/>
    </row>
    <row r="41" spans="1:13" s="1431" customFormat="1" ht="18" customHeight="1">
      <c r="A41" s="525">
        <v>32</v>
      </c>
      <c r="B41" s="1424"/>
      <c r="C41" s="1425"/>
      <c r="D41" s="594" t="s">
        <v>283</v>
      </c>
      <c r="E41" s="1422"/>
      <c r="F41" s="1426"/>
      <c r="G41" s="1461"/>
      <c r="H41" s="1427"/>
      <c r="I41" s="1432"/>
      <c r="J41" s="1433">
        <v>22900</v>
      </c>
      <c r="K41" s="1433"/>
      <c r="L41" s="1434">
        <f>SUM(I41:K41)</f>
        <v>22900</v>
      </c>
      <c r="M41" s="1429"/>
    </row>
    <row r="42" spans="1:13" s="1431" customFormat="1" ht="18" customHeight="1">
      <c r="A42" s="525">
        <v>33</v>
      </c>
      <c r="B42" s="1424"/>
      <c r="C42" s="1425"/>
      <c r="D42" s="483" t="s">
        <v>938</v>
      </c>
      <c r="E42" s="1422"/>
      <c r="F42" s="1426"/>
      <c r="G42" s="1461"/>
      <c r="H42" s="1427"/>
      <c r="I42" s="1432"/>
      <c r="J42" s="1560">
        <v>22990</v>
      </c>
      <c r="K42" s="1560"/>
      <c r="L42" s="1668">
        <f>SUM(I42:K42)</f>
        <v>22990</v>
      </c>
      <c r="M42" s="1429"/>
    </row>
    <row r="43" spans="1:13" ht="18" customHeight="1">
      <c r="A43" s="525">
        <v>34</v>
      </c>
      <c r="B43" s="538"/>
      <c r="C43" s="543"/>
      <c r="D43" s="1146" t="s">
        <v>725</v>
      </c>
      <c r="E43" s="540"/>
      <c r="F43" s="541"/>
      <c r="G43" s="1460"/>
      <c r="H43" s="753"/>
      <c r="I43" s="727"/>
      <c r="J43" s="1300"/>
      <c r="K43" s="549"/>
      <c r="L43" s="1241">
        <f>SUM(I43:K43)</f>
        <v>0</v>
      </c>
      <c r="M43" s="542"/>
    </row>
    <row r="44" spans="1:13" ht="18" customHeight="1">
      <c r="A44" s="525">
        <v>35</v>
      </c>
      <c r="B44" s="538"/>
      <c r="C44" s="543"/>
      <c r="D44" s="483" t="s">
        <v>1091</v>
      </c>
      <c r="E44" s="540"/>
      <c r="F44" s="541"/>
      <c r="G44" s="1460"/>
      <c r="H44" s="753"/>
      <c r="I44" s="727"/>
      <c r="J44" s="1560">
        <f>SUM(J42:J43)</f>
        <v>22990</v>
      </c>
      <c r="K44" s="549"/>
      <c r="L44" s="1238">
        <f>SUM(I44:K44)</f>
        <v>22990</v>
      </c>
      <c r="M44" s="542"/>
    </row>
    <row r="45" spans="1:13" ht="22.5" customHeight="1">
      <c r="A45" s="525">
        <v>36</v>
      </c>
      <c r="B45" s="538"/>
      <c r="C45" s="539">
        <v>8</v>
      </c>
      <c r="D45" s="1764" t="s">
        <v>479</v>
      </c>
      <c r="E45" s="540">
        <f>F45+G45+L49+M46</f>
        <v>100090</v>
      </c>
      <c r="F45" s="541">
        <f>100050+10+10</f>
        <v>100070</v>
      </c>
      <c r="G45" s="1460">
        <v>10</v>
      </c>
      <c r="H45" s="753" t="s">
        <v>23</v>
      </c>
      <c r="I45" s="727"/>
      <c r="J45" s="549"/>
      <c r="K45" s="549"/>
      <c r="L45" s="550"/>
      <c r="M45" s="542"/>
    </row>
    <row r="46" spans="1:13" s="1431" customFormat="1" ht="19.5" customHeight="1">
      <c r="A46" s="525">
        <v>37</v>
      </c>
      <c r="B46" s="1424"/>
      <c r="C46" s="1425"/>
      <c r="D46" s="594" t="s">
        <v>283</v>
      </c>
      <c r="E46" s="1422"/>
      <c r="F46" s="1426"/>
      <c r="G46" s="1461"/>
      <c r="H46" s="1427"/>
      <c r="I46" s="1432"/>
      <c r="J46" s="1433">
        <v>10</v>
      </c>
      <c r="K46" s="1433"/>
      <c r="L46" s="1434">
        <f>SUM(I46:K46)</f>
        <v>10</v>
      </c>
      <c r="M46" s="1429"/>
    </row>
    <row r="47" spans="1:13" s="1431" customFormat="1" ht="19.5" customHeight="1">
      <c r="A47" s="525">
        <v>38</v>
      </c>
      <c r="B47" s="1424"/>
      <c r="C47" s="1425"/>
      <c r="D47" s="483" t="s">
        <v>938</v>
      </c>
      <c r="E47" s="1422"/>
      <c r="F47" s="1426"/>
      <c r="G47" s="1461"/>
      <c r="H47" s="1427"/>
      <c r="I47" s="1432"/>
      <c r="J47" s="1560">
        <v>10</v>
      </c>
      <c r="K47" s="1560"/>
      <c r="L47" s="1668">
        <f>SUM(I47:K47)</f>
        <v>10</v>
      </c>
      <c r="M47" s="1429"/>
    </row>
    <row r="48" spans="1:13" ht="18" customHeight="1">
      <c r="A48" s="525">
        <v>39</v>
      </c>
      <c r="B48" s="538"/>
      <c r="C48" s="543"/>
      <c r="D48" s="1146" t="s">
        <v>674</v>
      </c>
      <c r="E48" s="540"/>
      <c r="F48" s="541"/>
      <c r="G48" s="1460"/>
      <c r="H48" s="753"/>
      <c r="I48" s="727"/>
      <c r="J48" s="549"/>
      <c r="K48" s="549"/>
      <c r="L48" s="1241">
        <f>SUM(I48:K48)</f>
        <v>0</v>
      </c>
      <c r="M48" s="542"/>
    </row>
    <row r="49" spans="1:13" ht="18" customHeight="1">
      <c r="A49" s="525">
        <v>40</v>
      </c>
      <c r="B49" s="538"/>
      <c r="C49" s="543"/>
      <c r="D49" s="483" t="s">
        <v>1091</v>
      </c>
      <c r="E49" s="540"/>
      <c r="F49" s="541"/>
      <c r="G49" s="1460"/>
      <c r="H49" s="753"/>
      <c r="I49" s="727"/>
      <c r="J49" s="1560">
        <f>SUM(J47:J48)</f>
        <v>10</v>
      </c>
      <c r="K49" s="549"/>
      <c r="L49" s="1238">
        <f>SUM(I49:K49)</f>
        <v>10</v>
      </c>
      <c r="M49" s="542"/>
    </row>
    <row r="50" spans="1:13" ht="22.5" customHeight="1">
      <c r="A50" s="525">
        <v>41</v>
      </c>
      <c r="B50" s="538"/>
      <c r="C50" s="539">
        <v>9</v>
      </c>
      <c r="D50" s="1764" t="s">
        <v>480</v>
      </c>
      <c r="E50" s="540">
        <f>F50+G50+L54+M51</f>
        <v>859910</v>
      </c>
      <c r="F50" s="541">
        <f>379950+119990+119990</f>
        <v>619930</v>
      </c>
      <c r="G50" s="1460">
        <v>119990</v>
      </c>
      <c r="H50" s="753" t="s">
        <v>23</v>
      </c>
      <c r="I50" s="727"/>
      <c r="J50" s="549"/>
      <c r="K50" s="549"/>
      <c r="L50" s="550"/>
      <c r="M50" s="542"/>
    </row>
    <row r="51" spans="1:13" s="1431" customFormat="1" ht="18" customHeight="1">
      <c r="A51" s="525">
        <v>42</v>
      </c>
      <c r="B51" s="1424"/>
      <c r="C51" s="1425"/>
      <c r="D51" s="594" t="s">
        <v>283</v>
      </c>
      <c r="E51" s="1422"/>
      <c r="F51" s="1426"/>
      <c r="G51" s="1461"/>
      <c r="H51" s="1427"/>
      <c r="I51" s="1432"/>
      <c r="J51" s="1433">
        <v>119990</v>
      </c>
      <c r="K51" s="1433"/>
      <c r="L51" s="1434">
        <f>SUM(I51:K51)</f>
        <v>119990</v>
      </c>
      <c r="M51" s="1429"/>
    </row>
    <row r="52" spans="1:13" s="1431" customFormat="1" ht="18" customHeight="1">
      <c r="A52" s="525">
        <v>43</v>
      </c>
      <c r="B52" s="1424"/>
      <c r="C52" s="1425"/>
      <c r="D52" s="483" t="s">
        <v>938</v>
      </c>
      <c r="E52" s="1422"/>
      <c r="F52" s="1426"/>
      <c r="G52" s="1461"/>
      <c r="H52" s="1427"/>
      <c r="I52" s="1432"/>
      <c r="J52" s="1560">
        <v>119990</v>
      </c>
      <c r="K52" s="1560"/>
      <c r="L52" s="1668">
        <f>SUM(I52:K52)</f>
        <v>119990</v>
      </c>
      <c r="M52" s="1429"/>
    </row>
    <row r="53" spans="1:13" ht="18" customHeight="1">
      <c r="A53" s="525">
        <v>44</v>
      </c>
      <c r="B53" s="538"/>
      <c r="C53" s="543"/>
      <c r="D53" s="1146" t="s">
        <v>674</v>
      </c>
      <c r="E53" s="540"/>
      <c r="F53" s="541"/>
      <c r="G53" s="1460"/>
      <c r="H53" s="753"/>
      <c r="I53" s="727"/>
      <c r="J53" s="549"/>
      <c r="K53" s="549"/>
      <c r="L53" s="1241">
        <f>SUM(I53:K53)</f>
        <v>0</v>
      </c>
      <c r="M53" s="542"/>
    </row>
    <row r="54" spans="1:13" ht="18" customHeight="1">
      <c r="A54" s="525">
        <v>45</v>
      </c>
      <c r="B54" s="538"/>
      <c r="C54" s="543"/>
      <c r="D54" s="483" t="s">
        <v>1091</v>
      </c>
      <c r="E54" s="540"/>
      <c r="F54" s="541"/>
      <c r="G54" s="1460"/>
      <c r="H54" s="753"/>
      <c r="I54" s="727"/>
      <c r="J54" s="1560">
        <f>SUM(J52:J53)</f>
        <v>119990</v>
      </c>
      <c r="K54" s="549"/>
      <c r="L54" s="1238">
        <f>SUM(I54:K54)</f>
        <v>119990</v>
      </c>
      <c r="M54" s="542"/>
    </row>
    <row r="55" spans="1:13" ht="22.5" customHeight="1">
      <c r="A55" s="525">
        <v>46</v>
      </c>
      <c r="B55" s="538"/>
      <c r="C55" s="539">
        <v>10</v>
      </c>
      <c r="D55" s="1764" t="s">
        <v>507</v>
      </c>
      <c r="E55" s="540">
        <f>F55+G55+L59+M56</f>
        <v>302000</v>
      </c>
      <c r="F55" s="541"/>
      <c r="G55" s="1460"/>
      <c r="H55" s="753" t="s">
        <v>23</v>
      </c>
      <c r="I55" s="727"/>
      <c r="J55" s="549"/>
      <c r="K55" s="549"/>
      <c r="L55" s="550"/>
      <c r="M55" s="542"/>
    </row>
    <row r="56" spans="1:13" s="1431" customFormat="1" ht="18" customHeight="1">
      <c r="A56" s="525">
        <v>47</v>
      </c>
      <c r="B56" s="1424"/>
      <c r="C56" s="1425"/>
      <c r="D56" s="594" t="s">
        <v>283</v>
      </c>
      <c r="E56" s="1422"/>
      <c r="F56" s="1426"/>
      <c r="G56" s="1461"/>
      <c r="H56" s="1427"/>
      <c r="I56" s="1432"/>
      <c r="J56" s="1433">
        <f>50326+201326+50348</f>
        <v>302000</v>
      </c>
      <c r="K56" s="1433"/>
      <c r="L56" s="1434">
        <f>SUM(I56:K56)</f>
        <v>302000</v>
      </c>
      <c r="M56" s="1429"/>
    </row>
    <row r="57" spans="1:13" s="1431" customFormat="1" ht="18" customHeight="1">
      <c r="A57" s="525">
        <v>48</v>
      </c>
      <c r="B57" s="1424"/>
      <c r="C57" s="1425"/>
      <c r="D57" s="483" t="s">
        <v>938</v>
      </c>
      <c r="E57" s="1422"/>
      <c r="F57" s="1426"/>
      <c r="G57" s="1461"/>
      <c r="H57" s="1427"/>
      <c r="I57" s="1432"/>
      <c r="J57" s="1560">
        <v>302000</v>
      </c>
      <c r="K57" s="1560"/>
      <c r="L57" s="1668">
        <f>SUM(I57:K57)</f>
        <v>302000</v>
      </c>
      <c r="M57" s="1429"/>
    </row>
    <row r="58" spans="1:13" ht="18" customHeight="1">
      <c r="A58" s="525">
        <v>49</v>
      </c>
      <c r="B58" s="538"/>
      <c r="C58" s="543"/>
      <c r="D58" s="1146" t="s">
        <v>674</v>
      </c>
      <c r="E58" s="540"/>
      <c r="F58" s="541"/>
      <c r="G58" s="1460"/>
      <c r="H58" s="753"/>
      <c r="I58" s="727"/>
      <c r="J58" s="549"/>
      <c r="K58" s="549"/>
      <c r="L58" s="1241">
        <f>SUM(I58:K58)</f>
        <v>0</v>
      </c>
      <c r="M58" s="542"/>
    </row>
    <row r="59" spans="1:13" ht="18" customHeight="1">
      <c r="A59" s="525">
        <v>50</v>
      </c>
      <c r="B59" s="538"/>
      <c r="C59" s="543"/>
      <c r="D59" s="483" t="s">
        <v>1091</v>
      </c>
      <c r="E59" s="540"/>
      <c r="F59" s="541"/>
      <c r="G59" s="1460"/>
      <c r="H59" s="753"/>
      <c r="I59" s="727"/>
      <c r="J59" s="1560">
        <f>SUM(J57:J58)</f>
        <v>302000</v>
      </c>
      <c r="K59" s="549"/>
      <c r="L59" s="1238">
        <f>SUM(I59:K59)</f>
        <v>302000</v>
      </c>
      <c r="M59" s="542"/>
    </row>
    <row r="60" spans="1:13" ht="22.5" customHeight="1">
      <c r="A60" s="525">
        <v>51</v>
      </c>
      <c r="B60" s="538"/>
      <c r="C60" s="539">
        <v>11</v>
      </c>
      <c r="D60" s="1764" t="s">
        <v>481</v>
      </c>
      <c r="E60" s="540">
        <f>F60+G60+L64+M61</f>
        <v>4600</v>
      </c>
      <c r="F60" s="541">
        <f>100+1500</f>
        <v>1600</v>
      </c>
      <c r="G60" s="1460">
        <v>2000</v>
      </c>
      <c r="H60" s="753" t="s">
        <v>23</v>
      </c>
      <c r="I60" s="727"/>
      <c r="J60" s="549"/>
      <c r="K60" s="549"/>
      <c r="L60" s="550"/>
      <c r="M60" s="542"/>
    </row>
    <row r="61" spans="1:13" s="1431" customFormat="1" ht="18" customHeight="1">
      <c r="A61" s="525">
        <v>52</v>
      </c>
      <c r="B61" s="1424"/>
      <c r="C61" s="1425"/>
      <c r="D61" s="594" t="s">
        <v>283</v>
      </c>
      <c r="E61" s="1422"/>
      <c r="F61" s="1426"/>
      <c r="G61" s="1461"/>
      <c r="H61" s="1427"/>
      <c r="I61" s="1432"/>
      <c r="J61" s="1433">
        <v>1000</v>
      </c>
      <c r="K61" s="1433"/>
      <c r="L61" s="1434">
        <f>SUM(I61:K61)</f>
        <v>1000</v>
      </c>
      <c r="M61" s="1429"/>
    </row>
    <row r="62" spans="1:13" s="1431" customFormat="1" ht="18" customHeight="1">
      <c r="A62" s="525">
        <v>53</v>
      </c>
      <c r="B62" s="1424"/>
      <c r="C62" s="1425"/>
      <c r="D62" s="483" t="s">
        <v>938</v>
      </c>
      <c r="E62" s="1422"/>
      <c r="F62" s="1426"/>
      <c r="G62" s="1461"/>
      <c r="H62" s="1427"/>
      <c r="I62" s="1432"/>
      <c r="J62" s="1560">
        <v>1000</v>
      </c>
      <c r="K62" s="1560"/>
      <c r="L62" s="1668">
        <f>SUM(I62:K62)</f>
        <v>1000</v>
      </c>
      <c r="M62" s="1429"/>
    </row>
    <row r="63" spans="1:13" ht="18" customHeight="1">
      <c r="A63" s="525">
        <v>54</v>
      </c>
      <c r="B63" s="538"/>
      <c r="C63" s="543"/>
      <c r="D63" s="1146" t="s">
        <v>674</v>
      </c>
      <c r="E63" s="540"/>
      <c r="F63" s="541"/>
      <c r="G63" s="1460"/>
      <c r="H63" s="753"/>
      <c r="I63" s="727"/>
      <c r="J63" s="549"/>
      <c r="K63" s="549"/>
      <c r="L63" s="1241">
        <f>SUM(I63:K63)</f>
        <v>0</v>
      </c>
      <c r="M63" s="542"/>
    </row>
    <row r="64" spans="1:13" ht="18" customHeight="1">
      <c r="A64" s="525">
        <v>55</v>
      </c>
      <c r="B64" s="538"/>
      <c r="C64" s="543"/>
      <c r="D64" s="483" t="s">
        <v>1091</v>
      </c>
      <c r="E64" s="540"/>
      <c r="F64" s="541"/>
      <c r="G64" s="1460"/>
      <c r="H64" s="753"/>
      <c r="I64" s="727"/>
      <c r="J64" s="1560">
        <f>SUM(J62:J63)</f>
        <v>1000</v>
      </c>
      <c r="K64" s="549"/>
      <c r="L64" s="1238">
        <f>SUM(I64:K64)</f>
        <v>1000</v>
      </c>
      <c r="M64" s="542"/>
    </row>
    <row r="65" spans="1:13" ht="22.5" customHeight="1">
      <c r="A65" s="525">
        <v>56</v>
      </c>
      <c r="B65" s="538"/>
      <c r="C65" s="539">
        <v>12</v>
      </c>
      <c r="D65" s="1764" t="s">
        <v>482</v>
      </c>
      <c r="E65" s="540">
        <f>F65+G65+L69+M66</f>
        <v>475100</v>
      </c>
      <c r="F65" s="541">
        <f>82900+195200</f>
        <v>278100</v>
      </c>
      <c r="G65" s="1460">
        <v>98000</v>
      </c>
      <c r="H65" s="753" t="s">
        <v>23</v>
      </c>
      <c r="I65" s="727"/>
      <c r="J65" s="549"/>
      <c r="K65" s="549"/>
      <c r="L65" s="550"/>
      <c r="M65" s="542"/>
    </row>
    <row r="66" spans="1:13" s="1431" customFormat="1" ht="18" customHeight="1">
      <c r="A66" s="525">
        <v>57</v>
      </c>
      <c r="B66" s="1424"/>
      <c r="C66" s="1425"/>
      <c r="D66" s="594" t="s">
        <v>283</v>
      </c>
      <c r="E66" s="1422"/>
      <c r="F66" s="1426"/>
      <c r="G66" s="1461"/>
      <c r="H66" s="1427"/>
      <c r="I66" s="1432"/>
      <c r="J66" s="1433">
        <v>99000</v>
      </c>
      <c r="K66" s="1433"/>
      <c r="L66" s="1434">
        <f>SUM(I66:K66)</f>
        <v>99000</v>
      </c>
      <c r="M66" s="1429"/>
    </row>
    <row r="67" spans="1:13" s="1431" customFormat="1" ht="18" customHeight="1">
      <c r="A67" s="525">
        <v>58</v>
      </c>
      <c r="B67" s="1424"/>
      <c r="C67" s="1425"/>
      <c r="D67" s="483" t="s">
        <v>938</v>
      </c>
      <c r="E67" s="1422"/>
      <c r="F67" s="1426"/>
      <c r="G67" s="1461"/>
      <c r="H67" s="1427"/>
      <c r="I67" s="1432"/>
      <c r="J67" s="1560">
        <v>99000</v>
      </c>
      <c r="K67" s="1560"/>
      <c r="L67" s="1668">
        <f>SUM(I67:K67)</f>
        <v>99000</v>
      </c>
      <c r="M67" s="1429"/>
    </row>
    <row r="68" spans="1:13" ht="18" customHeight="1">
      <c r="A68" s="525">
        <v>59</v>
      </c>
      <c r="B68" s="538"/>
      <c r="C68" s="543"/>
      <c r="D68" s="1146" t="s">
        <v>674</v>
      </c>
      <c r="E68" s="540"/>
      <c r="F68" s="541"/>
      <c r="G68" s="1460"/>
      <c r="H68" s="753"/>
      <c r="I68" s="727"/>
      <c r="J68" s="549"/>
      <c r="K68" s="549"/>
      <c r="L68" s="1241">
        <f>SUM(I68:K68)</f>
        <v>0</v>
      </c>
      <c r="M68" s="542"/>
    </row>
    <row r="69" spans="1:13" ht="18" customHeight="1">
      <c r="A69" s="525">
        <v>60</v>
      </c>
      <c r="B69" s="538"/>
      <c r="C69" s="543"/>
      <c r="D69" s="483" t="s">
        <v>1091</v>
      </c>
      <c r="E69" s="540"/>
      <c r="F69" s="541"/>
      <c r="G69" s="1460"/>
      <c r="H69" s="753"/>
      <c r="I69" s="727"/>
      <c r="J69" s="1560">
        <f>SUM(J67:J68)</f>
        <v>99000</v>
      </c>
      <c r="K69" s="549"/>
      <c r="L69" s="1238">
        <f>SUM(I69:K69)</f>
        <v>99000</v>
      </c>
      <c r="M69" s="542"/>
    </row>
    <row r="70" spans="1:13" ht="29.25" customHeight="1">
      <c r="A70" s="525">
        <v>61</v>
      </c>
      <c r="B70" s="538"/>
      <c r="C70" s="543">
        <v>13</v>
      </c>
      <c r="D70" s="1013" t="s">
        <v>470</v>
      </c>
      <c r="E70" s="540">
        <f>F70+G70+L74+M71</f>
        <v>19000</v>
      </c>
      <c r="F70" s="541"/>
      <c r="G70" s="1460">
        <v>0</v>
      </c>
      <c r="H70" s="753" t="s">
        <v>23</v>
      </c>
      <c r="I70" s="727"/>
      <c r="J70" s="549"/>
      <c r="K70" s="549"/>
      <c r="L70" s="550"/>
      <c r="M70" s="542"/>
    </row>
    <row r="71" spans="1:13" s="1431" customFormat="1" ht="18" customHeight="1">
      <c r="A71" s="525">
        <v>62</v>
      </c>
      <c r="B71" s="1424"/>
      <c r="C71" s="1425"/>
      <c r="D71" s="594" t="s">
        <v>283</v>
      </c>
      <c r="E71" s="1422"/>
      <c r="F71" s="1426"/>
      <c r="G71" s="1461"/>
      <c r="H71" s="1427"/>
      <c r="I71" s="1432"/>
      <c r="J71" s="1433">
        <v>19000</v>
      </c>
      <c r="K71" s="1433"/>
      <c r="L71" s="1434">
        <f>SUM(I71:K71)</f>
        <v>19000</v>
      </c>
      <c r="M71" s="1429"/>
    </row>
    <row r="72" spans="1:13" s="1431" customFormat="1" ht="18" customHeight="1">
      <c r="A72" s="525">
        <v>63</v>
      </c>
      <c r="B72" s="1424"/>
      <c r="C72" s="1425"/>
      <c r="D72" s="483" t="s">
        <v>938</v>
      </c>
      <c r="E72" s="1422"/>
      <c r="F72" s="1426"/>
      <c r="G72" s="1461"/>
      <c r="H72" s="1427"/>
      <c r="I72" s="1432"/>
      <c r="J72" s="1560">
        <v>19000</v>
      </c>
      <c r="K72" s="1560"/>
      <c r="L72" s="1668">
        <f>SUM(I72:K72)</f>
        <v>19000</v>
      </c>
      <c r="M72" s="1429"/>
    </row>
    <row r="73" spans="1:13" ht="18" customHeight="1">
      <c r="A73" s="525">
        <v>64</v>
      </c>
      <c r="B73" s="538"/>
      <c r="C73" s="543"/>
      <c r="D73" s="1146" t="s">
        <v>674</v>
      </c>
      <c r="E73" s="540"/>
      <c r="F73" s="541"/>
      <c r="G73" s="1460"/>
      <c r="H73" s="753"/>
      <c r="I73" s="727"/>
      <c r="J73" s="549"/>
      <c r="K73" s="549"/>
      <c r="L73" s="1241">
        <f>SUM(I73:K73)</f>
        <v>0</v>
      </c>
      <c r="M73" s="542"/>
    </row>
    <row r="74" spans="1:13" ht="18" customHeight="1">
      <c r="A74" s="525">
        <v>65</v>
      </c>
      <c r="B74" s="538"/>
      <c r="C74" s="543"/>
      <c r="D74" s="483" t="s">
        <v>1091</v>
      </c>
      <c r="E74" s="540"/>
      <c r="F74" s="541"/>
      <c r="G74" s="1460"/>
      <c r="H74" s="753"/>
      <c r="I74" s="727"/>
      <c r="J74" s="1560">
        <f>SUM(J72:J73)</f>
        <v>19000</v>
      </c>
      <c r="K74" s="549"/>
      <c r="L74" s="1238">
        <f>SUM(I74:K74)</f>
        <v>19000</v>
      </c>
      <c r="M74" s="542"/>
    </row>
    <row r="75" spans="1:13" ht="22.5" customHeight="1">
      <c r="A75" s="525">
        <v>66</v>
      </c>
      <c r="B75" s="538"/>
      <c r="C75" s="539">
        <v>14</v>
      </c>
      <c r="D75" s="328" t="s">
        <v>390</v>
      </c>
      <c r="E75" s="540">
        <f>F75+G75+L79+M76</f>
        <v>49452</v>
      </c>
      <c r="F75" s="541">
        <f>8127+11064</f>
        <v>19191</v>
      </c>
      <c r="G75" s="1460">
        <v>7463</v>
      </c>
      <c r="H75" s="753" t="s">
        <v>23</v>
      </c>
      <c r="I75" s="727"/>
      <c r="J75" s="549"/>
      <c r="K75" s="549"/>
      <c r="L75" s="550"/>
      <c r="M75" s="542"/>
    </row>
    <row r="76" spans="1:13" s="1431" customFormat="1" ht="18" customHeight="1">
      <c r="A76" s="525">
        <v>67</v>
      </c>
      <c r="B76" s="1424"/>
      <c r="C76" s="1435"/>
      <c r="D76" s="594" t="s">
        <v>283</v>
      </c>
      <c r="E76" s="1422"/>
      <c r="F76" s="1426"/>
      <c r="G76" s="1461"/>
      <c r="H76" s="1427"/>
      <c r="I76" s="1432">
        <v>1154</v>
      </c>
      <c r="J76" s="1433">
        <f>16910-1154</f>
        <v>15756</v>
      </c>
      <c r="K76" s="1433"/>
      <c r="L76" s="1434">
        <f>SUM(I76:K76)</f>
        <v>16910</v>
      </c>
      <c r="M76" s="1429"/>
    </row>
    <row r="77" spans="1:13" s="1431" customFormat="1" ht="18" customHeight="1">
      <c r="A77" s="525">
        <v>68</v>
      </c>
      <c r="B77" s="1424"/>
      <c r="C77" s="1435"/>
      <c r="D77" s="483" t="s">
        <v>938</v>
      </c>
      <c r="E77" s="1422"/>
      <c r="F77" s="1426"/>
      <c r="G77" s="1461"/>
      <c r="H77" s="1427"/>
      <c r="I77" s="1562">
        <v>0</v>
      </c>
      <c r="J77" s="1560">
        <v>22400</v>
      </c>
      <c r="K77" s="1560"/>
      <c r="L77" s="1668">
        <f>SUM(I77:K77)</f>
        <v>22400</v>
      </c>
      <c r="M77" s="1429"/>
    </row>
    <row r="78" spans="1:13" ht="18" customHeight="1">
      <c r="A78" s="525">
        <v>69</v>
      </c>
      <c r="B78" s="538"/>
      <c r="C78" s="539"/>
      <c r="D78" s="1146" t="s">
        <v>689</v>
      </c>
      <c r="E78" s="540"/>
      <c r="F78" s="541"/>
      <c r="G78" s="1460"/>
      <c r="H78" s="753"/>
      <c r="I78" s="1713">
        <v>1154</v>
      </c>
      <c r="J78" s="1300">
        <f>398-1154</f>
        <v>-756</v>
      </c>
      <c r="K78" s="549"/>
      <c r="L78" s="1241">
        <f>SUM(I78:K78)</f>
        <v>398</v>
      </c>
      <c r="M78" s="542"/>
    </row>
    <row r="79" spans="1:13" ht="18" customHeight="1">
      <c r="A79" s="525">
        <v>70</v>
      </c>
      <c r="B79" s="538"/>
      <c r="C79" s="539"/>
      <c r="D79" s="483" t="s">
        <v>1091</v>
      </c>
      <c r="E79" s="540"/>
      <c r="F79" s="541"/>
      <c r="G79" s="1460"/>
      <c r="H79" s="753"/>
      <c r="I79" s="1562">
        <f>SUM(I77:I78)</f>
        <v>1154</v>
      </c>
      <c r="J79" s="1562">
        <f>SUM(J77:J78)</f>
        <v>21644</v>
      </c>
      <c r="K79" s="549"/>
      <c r="L79" s="1238">
        <f>SUM(I79:K79)</f>
        <v>22798</v>
      </c>
      <c r="M79" s="542"/>
    </row>
    <row r="80" spans="1:13" ht="29.25" customHeight="1">
      <c r="A80" s="525">
        <v>71</v>
      </c>
      <c r="B80" s="538"/>
      <c r="C80" s="543">
        <v>15</v>
      </c>
      <c r="D80" s="1013" t="s">
        <v>483</v>
      </c>
      <c r="E80" s="540">
        <f>F80+G80+L84+M81</f>
        <v>21891</v>
      </c>
      <c r="F80" s="541"/>
      <c r="G80" s="1460">
        <v>0</v>
      </c>
      <c r="H80" s="753" t="s">
        <v>22</v>
      </c>
      <c r="I80" s="727"/>
      <c r="J80" s="549"/>
      <c r="K80" s="549"/>
      <c r="L80" s="550"/>
      <c r="M80" s="542"/>
    </row>
    <row r="81" spans="1:13" s="1431" customFormat="1" ht="18" customHeight="1">
      <c r="A81" s="525">
        <v>72</v>
      </c>
      <c r="B81" s="1424"/>
      <c r="C81" s="1425"/>
      <c r="D81" s="594" t="s">
        <v>283</v>
      </c>
      <c r="E81" s="1422"/>
      <c r="F81" s="1426"/>
      <c r="G81" s="1461"/>
      <c r="H81" s="1427"/>
      <c r="I81" s="1432"/>
      <c r="J81" s="1433">
        <v>21891</v>
      </c>
      <c r="K81" s="1433"/>
      <c r="L81" s="1434">
        <f>SUM(I81:K81)</f>
        <v>21891</v>
      </c>
      <c r="M81" s="1429"/>
    </row>
    <row r="82" spans="1:13" s="1431" customFormat="1" ht="18" customHeight="1">
      <c r="A82" s="525">
        <v>73</v>
      </c>
      <c r="B82" s="1424"/>
      <c r="C82" s="1425"/>
      <c r="D82" s="483" t="s">
        <v>938</v>
      </c>
      <c r="E82" s="1422"/>
      <c r="F82" s="1426"/>
      <c r="G82" s="1461"/>
      <c r="H82" s="1427"/>
      <c r="I82" s="1432"/>
      <c r="J82" s="1560">
        <v>21891</v>
      </c>
      <c r="K82" s="1560"/>
      <c r="L82" s="1668">
        <f>SUM(I82:K82)</f>
        <v>21891</v>
      </c>
      <c r="M82" s="1429"/>
    </row>
    <row r="83" spans="1:13" ht="18" customHeight="1">
      <c r="A83" s="525">
        <v>74</v>
      </c>
      <c r="B83" s="538"/>
      <c r="C83" s="543"/>
      <c r="D83" s="1146" t="s">
        <v>674</v>
      </c>
      <c r="E83" s="540"/>
      <c r="F83" s="541"/>
      <c r="G83" s="1460"/>
      <c r="H83" s="753"/>
      <c r="I83" s="727"/>
      <c r="J83" s="549"/>
      <c r="K83" s="549"/>
      <c r="L83" s="1241">
        <f>SUM(I83:K83)</f>
        <v>0</v>
      </c>
      <c r="M83" s="542"/>
    </row>
    <row r="84" spans="1:13" ht="18" customHeight="1">
      <c r="A84" s="525">
        <v>75</v>
      </c>
      <c r="B84" s="538"/>
      <c r="C84" s="543"/>
      <c r="D84" s="483" t="s">
        <v>1091</v>
      </c>
      <c r="E84" s="540"/>
      <c r="F84" s="541"/>
      <c r="G84" s="1460"/>
      <c r="H84" s="753"/>
      <c r="I84" s="727"/>
      <c r="J84" s="1560">
        <f>SUM(J82:J83)</f>
        <v>21891</v>
      </c>
      <c r="K84" s="549"/>
      <c r="L84" s="1238">
        <f>SUM(I84:K84)</f>
        <v>21891</v>
      </c>
      <c r="M84" s="542"/>
    </row>
    <row r="85" spans="1:13" ht="29.25" customHeight="1">
      <c r="A85" s="525">
        <v>76</v>
      </c>
      <c r="B85" s="538"/>
      <c r="C85" s="543">
        <v>16</v>
      </c>
      <c r="D85" s="1013" t="s">
        <v>484</v>
      </c>
      <c r="E85" s="540">
        <f>F85+G85+L89+M86</f>
        <v>22860</v>
      </c>
      <c r="F85" s="541"/>
      <c r="G85" s="1460">
        <v>0</v>
      </c>
      <c r="H85" s="753" t="s">
        <v>22</v>
      </c>
      <c r="I85" s="727"/>
      <c r="J85" s="549"/>
      <c r="K85" s="549"/>
      <c r="L85" s="550"/>
      <c r="M85" s="542"/>
    </row>
    <row r="86" spans="1:13" s="1431" customFormat="1" ht="18" customHeight="1">
      <c r="A86" s="525">
        <v>77</v>
      </c>
      <c r="B86" s="1424"/>
      <c r="C86" s="1425"/>
      <c r="D86" s="594" t="s">
        <v>283</v>
      </c>
      <c r="E86" s="1422"/>
      <c r="F86" s="1426"/>
      <c r="G86" s="1461"/>
      <c r="H86" s="1427"/>
      <c r="I86" s="1432"/>
      <c r="J86" s="1433">
        <v>22860</v>
      </c>
      <c r="K86" s="1433"/>
      <c r="L86" s="1434">
        <f>SUM(I86:K86)</f>
        <v>22860</v>
      </c>
      <c r="M86" s="1429"/>
    </row>
    <row r="87" spans="1:13" s="1431" customFormat="1" ht="18" customHeight="1">
      <c r="A87" s="525">
        <v>78</v>
      </c>
      <c r="B87" s="1424"/>
      <c r="C87" s="1425"/>
      <c r="D87" s="483" t="s">
        <v>938</v>
      </c>
      <c r="E87" s="1422"/>
      <c r="F87" s="1426"/>
      <c r="G87" s="1461"/>
      <c r="H87" s="1427"/>
      <c r="I87" s="1432"/>
      <c r="J87" s="1560">
        <v>22860</v>
      </c>
      <c r="K87" s="1560"/>
      <c r="L87" s="1668">
        <f>SUM(I87:K87)</f>
        <v>22860</v>
      </c>
      <c r="M87" s="1429"/>
    </row>
    <row r="88" spans="1:13" ht="18" customHeight="1">
      <c r="A88" s="525">
        <v>79</v>
      </c>
      <c r="B88" s="538"/>
      <c r="C88" s="543"/>
      <c r="D88" s="1146" t="s">
        <v>674</v>
      </c>
      <c r="E88" s="540"/>
      <c r="F88" s="541"/>
      <c r="G88" s="1460"/>
      <c r="H88" s="753"/>
      <c r="I88" s="727"/>
      <c r="J88" s="549"/>
      <c r="K88" s="549"/>
      <c r="L88" s="1241">
        <f>SUM(I88:K88)</f>
        <v>0</v>
      </c>
      <c r="M88" s="542"/>
    </row>
    <row r="89" spans="1:13" ht="18" customHeight="1">
      <c r="A89" s="525">
        <v>80</v>
      </c>
      <c r="B89" s="538"/>
      <c r="C89" s="543"/>
      <c r="D89" s="483" t="s">
        <v>1091</v>
      </c>
      <c r="E89" s="540"/>
      <c r="F89" s="541"/>
      <c r="G89" s="1460"/>
      <c r="H89" s="753"/>
      <c r="I89" s="727"/>
      <c r="J89" s="1563">
        <f>SUM(J87:J88)</f>
        <v>22860</v>
      </c>
      <c r="K89" s="549"/>
      <c r="L89" s="1238">
        <f>SUM(I89:K89)</f>
        <v>22860</v>
      </c>
      <c r="M89" s="542"/>
    </row>
    <row r="90" spans="1:13" ht="51.75" customHeight="1">
      <c r="A90" s="525">
        <v>81</v>
      </c>
      <c r="B90" s="538"/>
      <c r="C90" s="543">
        <v>17</v>
      </c>
      <c r="D90" s="1013" t="s">
        <v>485</v>
      </c>
      <c r="E90" s="540">
        <f>F90+G90+L94+M91</f>
        <v>20955</v>
      </c>
      <c r="F90" s="541"/>
      <c r="G90" s="1460">
        <v>0</v>
      </c>
      <c r="H90" s="753" t="s">
        <v>22</v>
      </c>
      <c r="I90" s="727"/>
      <c r="J90" s="549"/>
      <c r="K90" s="549"/>
      <c r="L90" s="550"/>
      <c r="M90" s="542"/>
    </row>
    <row r="91" spans="1:13" s="1431" customFormat="1" ht="18" customHeight="1">
      <c r="A91" s="525">
        <v>82</v>
      </c>
      <c r="B91" s="1424"/>
      <c r="C91" s="1425"/>
      <c r="D91" s="594" t="s">
        <v>283</v>
      </c>
      <c r="E91" s="1422"/>
      <c r="F91" s="1426"/>
      <c r="G91" s="1461"/>
      <c r="H91" s="1427"/>
      <c r="I91" s="1432"/>
      <c r="J91" s="1433">
        <v>20955</v>
      </c>
      <c r="K91" s="1433"/>
      <c r="L91" s="1434">
        <f>SUM(I91:K91)</f>
        <v>20955</v>
      </c>
      <c r="M91" s="1429"/>
    </row>
    <row r="92" spans="1:13" s="1431" customFormat="1" ht="18" customHeight="1">
      <c r="A92" s="525">
        <v>83</v>
      </c>
      <c r="B92" s="1424"/>
      <c r="C92" s="1425"/>
      <c r="D92" s="483" t="s">
        <v>938</v>
      </c>
      <c r="E92" s="1422"/>
      <c r="F92" s="1426"/>
      <c r="G92" s="1461"/>
      <c r="H92" s="1427"/>
      <c r="I92" s="1432"/>
      <c r="J92" s="1560">
        <v>20955</v>
      </c>
      <c r="K92" s="1560"/>
      <c r="L92" s="1668">
        <f>SUM(I92:K92)</f>
        <v>20955</v>
      </c>
      <c r="M92" s="1429"/>
    </row>
    <row r="93" spans="1:13" ht="18" customHeight="1">
      <c r="A93" s="525">
        <v>84</v>
      </c>
      <c r="B93" s="538"/>
      <c r="C93" s="543"/>
      <c r="D93" s="1146" t="s">
        <v>674</v>
      </c>
      <c r="E93" s="540"/>
      <c r="F93" s="541"/>
      <c r="G93" s="1460"/>
      <c r="H93" s="753"/>
      <c r="I93" s="727"/>
      <c r="J93" s="549"/>
      <c r="K93" s="549"/>
      <c r="L93" s="1241">
        <f>SUM(I93:K93)</f>
        <v>0</v>
      </c>
      <c r="M93" s="542"/>
    </row>
    <row r="94" spans="1:13" ht="18" customHeight="1">
      <c r="A94" s="525">
        <v>85</v>
      </c>
      <c r="B94" s="538"/>
      <c r="C94" s="543"/>
      <c r="D94" s="483" t="s">
        <v>1091</v>
      </c>
      <c r="E94" s="540"/>
      <c r="F94" s="541"/>
      <c r="G94" s="1460"/>
      <c r="H94" s="753"/>
      <c r="I94" s="727"/>
      <c r="J94" s="1560">
        <f>SUM(J92:J93)</f>
        <v>20955</v>
      </c>
      <c r="K94" s="549"/>
      <c r="L94" s="1238">
        <f>SUM(I94:K94)</f>
        <v>20955</v>
      </c>
      <c r="M94" s="542"/>
    </row>
    <row r="95" spans="1:13" ht="63" customHeight="1">
      <c r="A95" s="525">
        <v>86</v>
      </c>
      <c r="B95" s="538"/>
      <c r="C95" s="543">
        <v>18</v>
      </c>
      <c r="D95" s="1013" t="s">
        <v>626</v>
      </c>
      <c r="E95" s="540">
        <f>F95+G95+L99+M96</f>
        <v>3175</v>
      </c>
      <c r="F95" s="541"/>
      <c r="G95" s="1460">
        <v>0</v>
      </c>
      <c r="H95" s="753" t="s">
        <v>22</v>
      </c>
      <c r="I95" s="727"/>
      <c r="J95" s="549"/>
      <c r="K95" s="549"/>
      <c r="L95" s="550"/>
      <c r="M95" s="542"/>
    </row>
    <row r="96" spans="1:13" s="1431" customFormat="1" ht="18" customHeight="1">
      <c r="A96" s="525">
        <v>87</v>
      </c>
      <c r="B96" s="1424"/>
      <c r="C96" s="1425"/>
      <c r="D96" s="594" t="s">
        <v>283</v>
      </c>
      <c r="E96" s="1422"/>
      <c r="F96" s="1426"/>
      <c r="G96" s="1461"/>
      <c r="H96" s="1427"/>
      <c r="I96" s="1432"/>
      <c r="J96" s="1433">
        <v>3175</v>
      </c>
      <c r="K96" s="1433"/>
      <c r="L96" s="1434">
        <f>SUM(I96:K96)</f>
        <v>3175</v>
      </c>
      <c r="M96" s="1429"/>
    </row>
    <row r="97" spans="1:13" s="1431" customFormat="1" ht="18" customHeight="1">
      <c r="A97" s="525">
        <v>88</v>
      </c>
      <c r="B97" s="1424"/>
      <c r="C97" s="1425"/>
      <c r="D97" s="483" t="s">
        <v>938</v>
      </c>
      <c r="E97" s="1422"/>
      <c r="F97" s="1426"/>
      <c r="G97" s="1461"/>
      <c r="H97" s="1427"/>
      <c r="I97" s="1432"/>
      <c r="J97" s="1560">
        <v>3175</v>
      </c>
      <c r="K97" s="1560"/>
      <c r="L97" s="1668">
        <f>SUM(I97:K97)</f>
        <v>3175</v>
      </c>
      <c r="M97" s="1429"/>
    </row>
    <row r="98" spans="1:13" ht="18" customHeight="1">
      <c r="A98" s="525">
        <v>89</v>
      </c>
      <c r="B98" s="538"/>
      <c r="C98" s="543"/>
      <c r="D98" s="1146" t="s">
        <v>674</v>
      </c>
      <c r="E98" s="540"/>
      <c r="F98" s="541"/>
      <c r="G98" s="1460"/>
      <c r="H98" s="753"/>
      <c r="I98" s="727"/>
      <c r="J98" s="549"/>
      <c r="K98" s="549"/>
      <c r="L98" s="1241">
        <f>SUM(I98:K98)</f>
        <v>0</v>
      </c>
      <c r="M98" s="542"/>
    </row>
    <row r="99" spans="1:13" ht="18" customHeight="1">
      <c r="A99" s="525">
        <v>90</v>
      </c>
      <c r="B99" s="538"/>
      <c r="C99" s="543"/>
      <c r="D99" s="483" t="s">
        <v>1091</v>
      </c>
      <c r="E99" s="540"/>
      <c r="F99" s="541"/>
      <c r="G99" s="1460"/>
      <c r="H99" s="753"/>
      <c r="I99" s="727"/>
      <c r="J99" s="1560">
        <f>SUM(J97:J98)</f>
        <v>3175</v>
      </c>
      <c r="K99" s="549"/>
      <c r="L99" s="1238">
        <f>SUM(I99:K99)</f>
        <v>3175</v>
      </c>
      <c r="M99" s="542"/>
    </row>
    <row r="100" spans="1:13" ht="51.75" customHeight="1">
      <c r="A100" s="525">
        <v>91</v>
      </c>
      <c r="B100" s="538"/>
      <c r="C100" s="543">
        <v>19</v>
      </c>
      <c r="D100" s="1013" t="s">
        <v>627</v>
      </c>
      <c r="E100" s="540">
        <f>F100+G100+L104+M101</f>
        <v>6350</v>
      </c>
      <c r="F100" s="541"/>
      <c r="G100" s="1460"/>
      <c r="H100" s="753" t="s">
        <v>22</v>
      </c>
      <c r="I100" s="727"/>
      <c r="J100" s="549"/>
      <c r="K100" s="549"/>
      <c r="L100" s="550"/>
      <c r="M100" s="542"/>
    </row>
    <row r="101" spans="1:13" s="1431" customFormat="1" ht="18" customHeight="1">
      <c r="A101" s="525">
        <v>92</v>
      </c>
      <c r="B101" s="1424"/>
      <c r="C101" s="1425"/>
      <c r="D101" s="594" t="s">
        <v>283</v>
      </c>
      <c r="E101" s="1422"/>
      <c r="F101" s="1426"/>
      <c r="G101" s="1461"/>
      <c r="H101" s="1427"/>
      <c r="I101" s="1432"/>
      <c r="J101" s="1433">
        <v>6350</v>
      </c>
      <c r="K101" s="1433"/>
      <c r="L101" s="1434">
        <f>SUM(I101:K101)</f>
        <v>6350</v>
      </c>
      <c r="M101" s="1429"/>
    </row>
    <row r="102" spans="1:13" s="1431" customFormat="1" ht="18" customHeight="1">
      <c r="A102" s="525">
        <v>93</v>
      </c>
      <c r="B102" s="1424"/>
      <c r="C102" s="1425"/>
      <c r="D102" s="483" t="s">
        <v>938</v>
      </c>
      <c r="E102" s="1422"/>
      <c r="F102" s="1426"/>
      <c r="G102" s="1461"/>
      <c r="H102" s="1427"/>
      <c r="I102" s="1432"/>
      <c r="J102" s="1560">
        <v>6350</v>
      </c>
      <c r="K102" s="1560"/>
      <c r="L102" s="1668">
        <f>SUM(I102:K102)</f>
        <v>6350</v>
      </c>
      <c r="M102" s="1429"/>
    </row>
    <row r="103" spans="1:13" ht="18" customHeight="1">
      <c r="A103" s="525">
        <v>94</v>
      </c>
      <c r="B103" s="538"/>
      <c r="C103" s="543"/>
      <c r="D103" s="1146" t="s">
        <v>674</v>
      </c>
      <c r="E103" s="540"/>
      <c r="F103" s="541"/>
      <c r="G103" s="1460"/>
      <c r="H103" s="753"/>
      <c r="I103" s="727"/>
      <c r="J103" s="549"/>
      <c r="K103" s="549"/>
      <c r="L103" s="1241">
        <f>SUM(I103:K103)</f>
        <v>0</v>
      </c>
      <c r="M103" s="542"/>
    </row>
    <row r="104" spans="1:13" ht="18" customHeight="1">
      <c r="A104" s="525">
        <v>95</v>
      </c>
      <c r="B104" s="538"/>
      <c r="C104" s="543"/>
      <c r="D104" s="483" t="s">
        <v>1091</v>
      </c>
      <c r="E104" s="540"/>
      <c r="F104" s="541"/>
      <c r="G104" s="1460"/>
      <c r="H104" s="753"/>
      <c r="I104" s="727"/>
      <c r="J104" s="1560">
        <f>SUM(J102:J103)</f>
        <v>6350</v>
      </c>
      <c r="K104" s="549"/>
      <c r="L104" s="1238">
        <f>SUM(I104:K104)</f>
        <v>6350</v>
      </c>
      <c r="M104" s="542"/>
    </row>
    <row r="105" spans="1:13" ht="29.25" customHeight="1">
      <c r="A105" s="525">
        <v>96</v>
      </c>
      <c r="B105" s="538"/>
      <c r="C105" s="543">
        <v>20</v>
      </c>
      <c r="D105" s="1013" t="s">
        <v>628</v>
      </c>
      <c r="E105" s="540">
        <f>F105+G105+L109+M106</f>
        <v>104775</v>
      </c>
      <c r="F105" s="541"/>
      <c r="G105" s="1460"/>
      <c r="H105" s="753" t="s">
        <v>22</v>
      </c>
      <c r="I105" s="727"/>
      <c r="J105" s="549"/>
      <c r="K105" s="549"/>
      <c r="L105" s="550"/>
      <c r="M105" s="542"/>
    </row>
    <row r="106" spans="1:13" s="1431" customFormat="1" ht="18" customHeight="1">
      <c r="A106" s="525">
        <v>97</v>
      </c>
      <c r="B106" s="1424"/>
      <c r="C106" s="1425"/>
      <c r="D106" s="594" t="s">
        <v>283</v>
      </c>
      <c r="E106" s="1422"/>
      <c r="F106" s="1426"/>
      <c r="G106" s="1461"/>
      <c r="H106" s="1427"/>
      <c r="I106" s="1432"/>
      <c r="J106" s="1433">
        <v>72082</v>
      </c>
      <c r="K106" s="1433"/>
      <c r="L106" s="1434">
        <f>SUM(I106:K106)</f>
        <v>72082</v>
      </c>
      <c r="M106" s="542">
        <v>32693</v>
      </c>
    </row>
    <row r="107" spans="1:13" s="1431" customFormat="1" ht="18" customHeight="1">
      <c r="A107" s="525">
        <v>98</v>
      </c>
      <c r="B107" s="1424"/>
      <c r="C107" s="1425"/>
      <c r="D107" s="483" t="s">
        <v>938</v>
      </c>
      <c r="E107" s="1422"/>
      <c r="F107" s="1426"/>
      <c r="G107" s="1461"/>
      <c r="H107" s="1427"/>
      <c r="I107" s="1432"/>
      <c r="J107" s="1560">
        <v>72082</v>
      </c>
      <c r="K107" s="1560"/>
      <c r="L107" s="1668">
        <f>SUM(I107:K107)</f>
        <v>72082</v>
      </c>
      <c r="M107" s="542"/>
    </row>
    <row r="108" spans="1:13" ht="18" customHeight="1">
      <c r="A108" s="525">
        <v>99</v>
      </c>
      <c r="B108" s="538"/>
      <c r="C108" s="543"/>
      <c r="D108" s="1146" t="s">
        <v>674</v>
      </c>
      <c r="E108" s="540"/>
      <c r="F108" s="541"/>
      <c r="G108" s="1460"/>
      <c r="H108" s="753"/>
      <c r="I108" s="727"/>
      <c r="J108" s="549"/>
      <c r="K108" s="549"/>
      <c r="L108" s="1241">
        <f>SUM(I108:K108)</f>
        <v>0</v>
      </c>
      <c r="M108" s="542"/>
    </row>
    <row r="109" spans="1:13" ht="18" customHeight="1">
      <c r="A109" s="525">
        <v>100</v>
      </c>
      <c r="B109" s="538"/>
      <c r="C109" s="543"/>
      <c r="D109" s="483" t="s">
        <v>1091</v>
      </c>
      <c r="E109" s="540"/>
      <c r="F109" s="541"/>
      <c r="G109" s="1460"/>
      <c r="H109" s="753"/>
      <c r="I109" s="727"/>
      <c r="J109" s="1560">
        <f>SUM(J107:J108)</f>
        <v>72082</v>
      </c>
      <c r="K109" s="549"/>
      <c r="L109" s="1238">
        <f>SUM(I109:K109)</f>
        <v>72082</v>
      </c>
      <c r="M109" s="542"/>
    </row>
    <row r="110" spans="1:13" ht="51.75" customHeight="1">
      <c r="A110" s="525">
        <v>101</v>
      </c>
      <c r="B110" s="538"/>
      <c r="C110" s="543">
        <v>21</v>
      </c>
      <c r="D110" s="1013" t="s">
        <v>629</v>
      </c>
      <c r="E110" s="540">
        <f>F110+G110+L114+M111</f>
        <v>12700</v>
      </c>
      <c r="F110" s="541"/>
      <c r="G110" s="1460"/>
      <c r="H110" s="753" t="s">
        <v>22</v>
      </c>
      <c r="I110" s="727"/>
      <c r="J110" s="549"/>
      <c r="K110" s="549"/>
      <c r="L110" s="550"/>
      <c r="M110" s="542"/>
    </row>
    <row r="111" spans="1:13" s="1431" customFormat="1" ht="18" customHeight="1">
      <c r="A111" s="525">
        <v>102</v>
      </c>
      <c r="B111" s="1424"/>
      <c r="C111" s="1425"/>
      <c r="D111" s="594" t="s">
        <v>283</v>
      </c>
      <c r="E111" s="1422"/>
      <c r="F111" s="1426"/>
      <c r="G111" s="1461"/>
      <c r="H111" s="1427"/>
      <c r="I111" s="1432"/>
      <c r="J111" s="1433">
        <v>12700</v>
      </c>
      <c r="K111" s="1433"/>
      <c r="L111" s="1434">
        <f>SUM(I111:K111)</f>
        <v>12700</v>
      </c>
      <c r="M111" s="1429"/>
    </row>
    <row r="112" spans="1:13" s="1431" customFormat="1" ht="18" customHeight="1">
      <c r="A112" s="525">
        <v>103</v>
      </c>
      <c r="B112" s="1424"/>
      <c r="C112" s="1425"/>
      <c r="D112" s="483" t="s">
        <v>938</v>
      </c>
      <c r="E112" s="1422"/>
      <c r="F112" s="1426"/>
      <c r="G112" s="1461"/>
      <c r="H112" s="1427"/>
      <c r="I112" s="1432"/>
      <c r="J112" s="1560">
        <v>12700</v>
      </c>
      <c r="K112" s="1560"/>
      <c r="L112" s="1668">
        <f>SUM(I112:K112)</f>
        <v>12700</v>
      </c>
      <c r="M112" s="1429"/>
    </row>
    <row r="113" spans="1:13" ht="18" customHeight="1">
      <c r="A113" s="525">
        <v>104</v>
      </c>
      <c r="B113" s="538"/>
      <c r="C113" s="543"/>
      <c r="D113" s="1146" t="s">
        <v>674</v>
      </c>
      <c r="E113" s="540"/>
      <c r="F113" s="541"/>
      <c r="G113" s="1460"/>
      <c r="H113" s="753"/>
      <c r="I113" s="727"/>
      <c r="J113" s="549"/>
      <c r="K113" s="549"/>
      <c r="L113" s="1241">
        <f>SUM(I113:K113)</f>
        <v>0</v>
      </c>
      <c r="M113" s="542"/>
    </row>
    <row r="114" spans="1:13" ht="18" customHeight="1">
      <c r="A114" s="525">
        <v>105</v>
      </c>
      <c r="B114" s="538"/>
      <c r="C114" s="543"/>
      <c r="D114" s="483" t="s">
        <v>1091</v>
      </c>
      <c r="E114" s="540"/>
      <c r="F114" s="541"/>
      <c r="G114" s="1460"/>
      <c r="H114" s="753"/>
      <c r="I114" s="727"/>
      <c r="J114" s="1560">
        <f>SUM(J112:J113)</f>
        <v>12700</v>
      </c>
      <c r="K114" s="549"/>
      <c r="L114" s="1238">
        <f>SUM(I114:K114)</f>
        <v>12700</v>
      </c>
      <c r="M114" s="542"/>
    </row>
    <row r="115" spans="1:13" ht="22.5" customHeight="1">
      <c r="A115" s="525">
        <v>106</v>
      </c>
      <c r="B115" s="538"/>
      <c r="C115" s="539">
        <v>22</v>
      </c>
      <c r="D115" s="328" t="s">
        <v>630</v>
      </c>
      <c r="E115" s="540">
        <f>F115+G115+L119+M116</f>
        <v>50000</v>
      </c>
      <c r="F115" s="541"/>
      <c r="G115" s="1460"/>
      <c r="H115" s="753" t="s">
        <v>22</v>
      </c>
      <c r="I115" s="727"/>
      <c r="J115" s="549"/>
      <c r="K115" s="549"/>
      <c r="L115" s="550"/>
      <c r="M115" s="542"/>
    </row>
    <row r="116" spans="1:13" s="1431" customFormat="1" ht="18" customHeight="1">
      <c r="A116" s="525">
        <v>107</v>
      </c>
      <c r="B116" s="1424"/>
      <c r="C116" s="1425"/>
      <c r="D116" s="594" t="s">
        <v>283</v>
      </c>
      <c r="E116" s="1422"/>
      <c r="F116" s="1426"/>
      <c r="G116" s="1461"/>
      <c r="H116" s="1427"/>
      <c r="I116" s="1432"/>
      <c r="J116" s="1433">
        <v>50000</v>
      </c>
      <c r="K116" s="1433"/>
      <c r="L116" s="1434">
        <f>SUM(I116:K116)</f>
        <v>50000</v>
      </c>
      <c r="M116" s="1429"/>
    </row>
    <row r="117" spans="1:13" s="1431" customFormat="1" ht="18" customHeight="1">
      <c r="A117" s="525">
        <v>108</v>
      </c>
      <c r="B117" s="1424"/>
      <c r="C117" s="1425"/>
      <c r="D117" s="483" t="s">
        <v>938</v>
      </c>
      <c r="E117" s="1422"/>
      <c r="F117" s="1426"/>
      <c r="G117" s="1461"/>
      <c r="H117" s="1427"/>
      <c r="I117" s="1432"/>
      <c r="J117" s="1560">
        <v>50000</v>
      </c>
      <c r="K117" s="1560"/>
      <c r="L117" s="1668">
        <f>SUM(I117:K117)</f>
        <v>50000</v>
      </c>
      <c r="M117" s="1429"/>
    </row>
    <row r="118" spans="1:13" ht="18" customHeight="1">
      <c r="A118" s="525">
        <v>109</v>
      </c>
      <c r="B118" s="538"/>
      <c r="C118" s="543"/>
      <c r="D118" s="1146" t="s">
        <v>674</v>
      </c>
      <c r="E118" s="540"/>
      <c r="F118" s="541"/>
      <c r="G118" s="1460"/>
      <c r="H118" s="753"/>
      <c r="I118" s="727"/>
      <c r="J118" s="549"/>
      <c r="K118" s="549"/>
      <c r="L118" s="1241">
        <f>SUM(I118:K118)</f>
        <v>0</v>
      </c>
      <c r="M118" s="542"/>
    </row>
    <row r="119" spans="1:13" ht="18" customHeight="1">
      <c r="A119" s="525">
        <v>110</v>
      </c>
      <c r="B119" s="538"/>
      <c r="C119" s="543"/>
      <c r="D119" s="483" t="s">
        <v>1091</v>
      </c>
      <c r="E119" s="540"/>
      <c r="F119" s="541"/>
      <c r="G119" s="1460"/>
      <c r="H119" s="753"/>
      <c r="I119" s="727"/>
      <c r="J119" s="1560">
        <f>SUM(J117:J118)</f>
        <v>50000</v>
      </c>
      <c r="K119" s="549"/>
      <c r="L119" s="1238">
        <f>SUM(I119:K119)</f>
        <v>50000</v>
      </c>
      <c r="M119" s="542"/>
    </row>
    <row r="120" spans="1:23" ht="22.5" customHeight="1">
      <c r="A120" s="525">
        <v>111</v>
      </c>
      <c r="B120" s="538"/>
      <c r="C120" s="539">
        <v>23</v>
      </c>
      <c r="D120" s="1765" t="s">
        <v>359</v>
      </c>
      <c r="E120" s="540">
        <f>F120+G120+L124+M121</f>
        <v>2687</v>
      </c>
      <c r="F120" s="541">
        <v>858</v>
      </c>
      <c r="G120" s="1460">
        <v>0</v>
      </c>
      <c r="H120" s="753" t="s">
        <v>23</v>
      </c>
      <c r="I120" s="727"/>
      <c r="J120" s="549"/>
      <c r="K120" s="549"/>
      <c r="L120" s="550"/>
      <c r="M120" s="542"/>
      <c r="N120" s="526"/>
      <c r="O120" s="526"/>
      <c r="P120" s="526"/>
      <c r="Q120" s="526"/>
      <c r="R120" s="526"/>
      <c r="S120" s="526"/>
      <c r="T120" s="526"/>
      <c r="U120" s="526"/>
      <c r="V120" s="526"/>
      <c r="W120" s="526"/>
    </row>
    <row r="121" spans="1:23" s="1431" customFormat="1" ht="18" customHeight="1">
      <c r="A121" s="525">
        <v>112</v>
      </c>
      <c r="B121" s="1424"/>
      <c r="C121" s="1425"/>
      <c r="D121" s="594" t="s">
        <v>283</v>
      </c>
      <c r="E121" s="1422"/>
      <c r="F121" s="1426"/>
      <c r="G121" s="1461"/>
      <c r="H121" s="1427"/>
      <c r="I121" s="1432">
        <v>29</v>
      </c>
      <c r="J121" s="1433">
        <f>1829-29</f>
        <v>1800</v>
      </c>
      <c r="K121" s="1433"/>
      <c r="L121" s="1434">
        <f>SUM(I121:K121)</f>
        <v>1829</v>
      </c>
      <c r="M121" s="1429"/>
      <c r="N121" s="1430"/>
      <c r="O121" s="1430"/>
      <c r="P121" s="1430"/>
      <c r="Q121" s="1430"/>
      <c r="R121" s="1430"/>
      <c r="S121" s="1430"/>
      <c r="T121" s="1430"/>
      <c r="U121" s="1430"/>
      <c r="V121" s="1430"/>
      <c r="W121" s="1430"/>
    </row>
    <row r="122" spans="1:23" s="1431" customFormat="1" ht="18" customHeight="1">
      <c r="A122" s="525">
        <v>113</v>
      </c>
      <c r="B122" s="1424"/>
      <c r="C122" s="1425"/>
      <c r="D122" s="483" t="s">
        <v>938</v>
      </c>
      <c r="E122" s="1422"/>
      <c r="F122" s="1426"/>
      <c r="G122" s="1461"/>
      <c r="H122" s="1427"/>
      <c r="I122" s="1562">
        <v>29</v>
      </c>
      <c r="J122" s="1560">
        <v>1800</v>
      </c>
      <c r="K122" s="1560"/>
      <c r="L122" s="1668">
        <f>SUM(I122:K122)</f>
        <v>1829</v>
      </c>
      <c r="M122" s="1429"/>
      <c r="N122" s="1430"/>
      <c r="O122" s="1430"/>
      <c r="P122" s="1430"/>
      <c r="Q122" s="1430"/>
      <c r="R122" s="1430"/>
      <c r="S122" s="1430"/>
      <c r="T122" s="1430"/>
      <c r="U122" s="1430"/>
      <c r="V122" s="1430"/>
      <c r="W122" s="1430"/>
    </row>
    <row r="123" spans="1:23" ht="18" customHeight="1">
      <c r="A123" s="525">
        <v>114</v>
      </c>
      <c r="B123" s="538"/>
      <c r="C123" s="543"/>
      <c r="D123" s="1146" t="s">
        <v>674</v>
      </c>
      <c r="E123" s="540"/>
      <c r="F123" s="541"/>
      <c r="G123" s="1460"/>
      <c r="H123" s="753"/>
      <c r="I123" s="727"/>
      <c r="J123" s="549"/>
      <c r="K123" s="549"/>
      <c r="L123" s="1241">
        <f>SUM(I123:K123)</f>
        <v>0</v>
      </c>
      <c r="M123" s="542"/>
      <c r="N123" s="526"/>
      <c r="O123" s="526"/>
      <c r="P123" s="526"/>
      <c r="Q123" s="526"/>
      <c r="R123" s="526"/>
      <c r="S123" s="526"/>
      <c r="T123" s="526"/>
      <c r="U123" s="526"/>
      <c r="V123" s="526"/>
      <c r="W123" s="526"/>
    </row>
    <row r="124" spans="1:23" ht="18" customHeight="1">
      <c r="A124" s="525">
        <v>115</v>
      </c>
      <c r="B124" s="538"/>
      <c r="C124" s="543"/>
      <c r="D124" s="483" t="s">
        <v>1091</v>
      </c>
      <c r="E124" s="540"/>
      <c r="F124" s="541"/>
      <c r="G124" s="1460"/>
      <c r="H124" s="753"/>
      <c r="I124" s="1562">
        <f>SUM(I122:I123)</f>
        <v>29</v>
      </c>
      <c r="J124" s="1562">
        <f>SUM(J122:J123)</f>
        <v>1800</v>
      </c>
      <c r="K124" s="1562"/>
      <c r="L124" s="1562">
        <f>SUM(L122:L123)</f>
        <v>1829</v>
      </c>
      <c r="M124" s="542"/>
      <c r="N124" s="526"/>
      <c r="O124" s="526"/>
      <c r="P124" s="526"/>
      <c r="Q124" s="526"/>
      <c r="R124" s="526"/>
      <c r="S124" s="526"/>
      <c r="T124" s="526"/>
      <c r="U124" s="526"/>
      <c r="V124" s="526"/>
      <c r="W124" s="526"/>
    </row>
    <row r="125" spans="1:13" ht="22.5" customHeight="1">
      <c r="A125" s="525">
        <v>116</v>
      </c>
      <c r="B125" s="538"/>
      <c r="C125" s="539">
        <v>24</v>
      </c>
      <c r="D125" s="1765" t="s">
        <v>471</v>
      </c>
      <c r="E125" s="540">
        <f>F125+G125+L129+M126</f>
        <v>4886</v>
      </c>
      <c r="F125" s="541">
        <v>1753</v>
      </c>
      <c r="G125" s="1460">
        <v>950</v>
      </c>
      <c r="H125" s="753" t="s">
        <v>23</v>
      </c>
      <c r="I125" s="727"/>
      <c r="J125" s="549"/>
      <c r="K125" s="549"/>
      <c r="L125" s="550"/>
      <c r="M125" s="542"/>
    </row>
    <row r="126" spans="1:13" s="1431" customFormat="1" ht="18" customHeight="1">
      <c r="A126" s="525">
        <v>117</v>
      </c>
      <c r="B126" s="1424"/>
      <c r="C126" s="1425"/>
      <c r="D126" s="594" t="s">
        <v>283</v>
      </c>
      <c r="E126" s="1422"/>
      <c r="F126" s="1426"/>
      <c r="G126" s="1461"/>
      <c r="H126" s="1427"/>
      <c r="I126" s="1432"/>
      <c r="J126" s="1433">
        <v>2183</v>
      </c>
      <c r="K126" s="1433"/>
      <c r="L126" s="1434">
        <f>SUM(I126:K126)</f>
        <v>2183</v>
      </c>
      <c r="M126" s="1429"/>
    </row>
    <row r="127" spans="1:13" s="1431" customFormat="1" ht="18" customHeight="1">
      <c r="A127" s="525">
        <v>118</v>
      </c>
      <c r="B127" s="1424"/>
      <c r="C127" s="1425"/>
      <c r="D127" s="483" t="s">
        <v>938</v>
      </c>
      <c r="E127" s="1422"/>
      <c r="F127" s="1426"/>
      <c r="G127" s="1461"/>
      <c r="H127" s="1427"/>
      <c r="I127" s="1432"/>
      <c r="J127" s="1560">
        <v>2183</v>
      </c>
      <c r="K127" s="1560"/>
      <c r="L127" s="1668">
        <f>SUM(I127:K127)</f>
        <v>2183</v>
      </c>
      <c r="M127" s="1429"/>
    </row>
    <row r="128" spans="1:13" ht="18" customHeight="1">
      <c r="A128" s="525">
        <v>119</v>
      </c>
      <c r="B128" s="538"/>
      <c r="C128" s="543"/>
      <c r="D128" s="1146" t="s">
        <v>674</v>
      </c>
      <c r="E128" s="540"/>
      <c r="F128" s="541"/>
      <c r="G128" s="1460"/>
      <c r="H128" s="753"/>
      <c r="I128" s="727"/>
      <c r="J128" s="549"/>
      <c r="K128" s="549"/>
      <c r="L128" s="1241">
        <f>SUM(I128:K128)</f>
        <v>0</v>
      </c>
      <c r="M128" s="542"/>
    </row>
    <row r="129" spans="1:13" ht="18" customHeight="1">
      <c r="A129" s="525">
        <v>120</v>
      </c>
      <c r="B129" s="538"/>
      <c r="C129" s="543"/>
      <c r="D129" s="483" t="s">
        <v>1091</v>
      </c>
      <c r="E129" s="540"/>
      <c r="F129" s="541"/>
      <c r="G129" s="1460"/>
      <c r="H129" s="753"/>
      <c r="I129" s="727"/>
      <c r="J129" s="1560">
        <f>SUM(J127:J128)</f>
        <v>2183</v>
      </c>
      <c r="K129" s="549"/>
      <c r="L129" s="1238">
        <f>SUM(I129:K129)</f>
        <v>2183</v>
      </c>
      <c r="M129" s="542"/>
    </row>
    <row r="130" spans="1:13" ht="22.5" customHeight="1">
      <c r="A130" s="525">
        <v>121</v>
      </c>
      <c r="B130" s="538"/>
      <c r="C130" s="539">
        <v>25</v>
      </c>
      <c r="D130" s="328" t="s">
        <v>475</v>
      </c>
      <c r="E130" s="540">
        <f>F130+G130+L134+M131</f>
        <v>500</v>
      </c>
      <c r="F130" s="541"/>
      <c r="G130" s="1460"/>
      <c r="H130" s="753" t="s">
        <v>23</v>
      </c>
      <c r="I130" s="727"/>
      <c r="J130" s="549"/>
      <c r="K130" s="549"/>
      <c r="L130" s="550"/>
      <c r="M130" s="542"/>
    </row>
    <row r="131" spans="1:13" s="1431" customFormat="1" ht="18" customHeight="1">
      <c r="A131" s="525">
        <v>122</v>
      </c>
      <c r="B131" s="1424"/>
      <c r="C131" s="1425"/>
      <c r="D131" s="594" t="s">
        <v>283</v>
      </c>
      <c r="E131" s="1422"/>
      <c r="F131" s="1426"/>
      <c r="G131" s="1461"/>
      <c r="H131" s="1427"/>
      <c r="I131" s="1432"/>
      <c r="J131" s="1433">
        <v>500</v>
      </c>
      <c r="K131" s="1433"/>
      <c r="L131" s="1434">
        <f>SUM(I131:K131)</f>
        <v>500</v>
      </c>
      <c r="M131" s="1429"/>
    </row>
    <row r="132" spans="1:13" s="1431" customFormat="1" ht="18" customHeight="1">
      <c r="A132" s="525">
        <v>123</v>
      </c>
      <c r="B132" s="1424"/>
      <c r="C132" s="1425"/>
      <c r="D132" s="483" t="s">
        <v>938</v>
      </c>
      <c r="E132" s="1422"/>
      <c r="F132" s="1426"/>
      <c r="G132" s="1461"/>
      <c r="H132" s="1427"/>
      <c r="I132" s="1432"/>
      <c r="J132" s="1560">
        <v>500</v>
      </c>
      <c r="K132" s="1560"/>
      <c r="L132" s="1668">
        <f>SUM(I132:K132)</f>
        <v>500</v>
      </c>
      <c r="M132" s="1429"/>
    </row>
    <row r="133" spans="1:13" ht="18" customHeight="1">
      <c r="A133" s="525">
        <v>124</v>
      </c>
      <c r="B133" s="538"/>
      <c r="C133" s="543"/>
      <c r="D133" s="1146" t="s">
        <v>674</v>
      </c>
      <c r="E133" s="540"/>
      <c r="F133" s="541"/>
      <c r="G133" s="1460"/>
      <c r="H133" s="753"/>
      <c r="I133" s="727"/>
      <c r="J133" s="549"/>
      <c r="K133" s="549"/>
      <c r="L133" s="1241">
        <f>SUM(I133:K133)</f>
        <v>0</v>
      </c>
      <c r="M133" s="542"/>
    </row>
    <row r="134" spans="1:13" ht="18" customHeight="1">
      <c r="A134" s="525">
        <v>125</v>
      </c>
      <c r="B134" s="538"/>
      <c r="C134" s="543"/>
      <c r="D134" s="483" t="s">
        <v>1091</v>
      </c>
      <c r="E134" s="540"/>
      <c r="F134" s="541"/>
      <c r="G134" s="1460"/>
      <c r="H134" s="753"/>
      <c r="I134" s="727"/>
      <c r="J134" s="1560">
        <f>SUM(J132:J133)</f>
        <v>500</v>
      </c>
      <c r="K134" s="549"/>
      <c r="L134" s="1238">
        <f>SUM(I134:K134)</f>
        <v>500</v>
      </c>
      <c r="M134" s="542"/>
    </row>
    <row r="135" spans="1:13" ht="33.75" customHeight="1">
      <c r="A135" s="525">
        <v>126</v>
      </c>
      <c r="B135" s="538"/>
      <c r="C135" s="543">
        <v>26</v>
      </c>
      <c r="D135" s="1013" t="s">
        <v>631</v>
      </c>
      <c r="E135" s="540">
        <f>F135+G135+L139+M136</f>
        <v>230</v>
      </c>
      <c r="F135" s="541"/>
      <c r="G135" s="1460"/>
      <c r="H135" s="753" t="s">
        <v>23</v>
      </c>
      <c r="I135" s="727"/>
      <c r="J135" s="549"/>
      <c r="K135" s="549"/>
      <c r="L135" s="550"/>
      <c r="M135" s="542"/>
    </row>
    <row r="136" spans="1:13" s="1431" customFormat="1" ht="18" customHeight="1">
      <c r="A136" s="525">
        <v>127</v>
      </c>
      <c r="B136" s="1424"/>
      <c r="C136" s="1425"/>
      <c r="D136" s="594" t="s">
        <v>283</v>
      </c>
      <c r="E136" s="1422"/>
      <c r="F136" s="1426"/>
      <c r="G136" s="1461"/>
      <c r="H136" s="1427"/>
      <c r="I136" s="1432"/>
      <c r="J136" s="1433">
        <v>230</v>
      </c>
      <c r="K136" s="1433"/>
      <c r="L136" s="1434">
        <f>SUM(I136:K136)</f>
        <v>230</v>
      </c>
      <c r="M136" s="1429"/>
    </row>
    <row r="137" spans="1:13" s="1431" customFormat="1" ht="18" customHeight="1">
      <c r="A137" s="525">
        <v>128</v>
      </c>
      <c r="B137" s="1424"/>
      <c r="C137" s="1425"/>
      <c r="D137" s="483" t="s">
        <v>938</v>
      </c>
      <c r="E137" s="1422"/>
      <c r="F137" s="1426"/>
      <c r="G137" s="1461"/>
      <c r="H137" s="1427"/>
      <c r="I137" s="1432"/>
      <c r="J137" s="1560">
        <v>230</v>
      </c>
      <c r="K137" s="1560"/>
      <c r="L137" s="1668">
        <f>SUM(I137:K137)</f>
        <v>230</v>
      </c>
      <c r="M137" s="1429"/>
    </row>
    <row r="138" spans="1:13" ht="18" customHeight="1">
      <c r="A138" s="525">
        <v>129</v>
      </c>
      <c r="B138" s="538"/>
      <c r="C138" s="543"/>
      <c r="D138" s="1146" t="s">
        <v>674</v>
      </c>
      <c r="E138" s="540"/>
      <c r="F138" s="541"/>
      <c r="G138" s="1460"/>
      <c r="H138" s="753"/>
      <c r="I138" s="727"/>
      <c r="J138" s="549"/>
      <c r="K138" s="549"/>
      <c r="L138" s="1241">
        <f>SUM(I138:K138)</f>
        <v>0</v>
      </c>
      <c r="M138" s="542"/>
    </row>
    <row r="139" spans="1:13" ht="18" customHeight="1">
      <c r="A139" s="525">
        <v>130</v>
      </c>
      <c r="B139" s="538"/>
      <c r="C139" s="543"/>
      <c r="D139" s="483" t="s">
        <v>1091</v>
      </c>
      <c r="E139" s="540"/>
      <c r="F139" s="541"/>
      <c r="G139" s="1460"/>
      <c r="H139" s="753"/>
      <c r="I139" s="727"/>
      <c r="J139" s="1560">
        <f>SUM(J137:J138)</f>
        <v>230</v>
      </c>
      <c r="K139" s="549"/>
      <c r="L139" s="1238">
        <f>SUM(I139:K139)</f>
        <v>230</v>
      </c>
      <c r="M139" s="542"/>
    </row>
    <row r="140" spans="1:251" ht="22.5" customHeight="1">
      <c r="A140" s="525">
        <v>131</v>
      </c>
      <c r="B140" s="538"/>
      <c r="C140" s="539">
        <v>27</v>
      </c>
      <c r="D140" s="328" t="s">
        <v>472</v>
      </c>
      <c r="E140" s="540">
        <f>F140+G140+L144+M141</f>
        <v>7120</v>
      </c>
      <c r="F140" s="541"/>
      <c r="G140" s="1460">
        <v>69</v>
      </c>
      <c r="H140" s="753" t="s">
        <v>23</v>
      </c>
      <c r="I140" s="728"/>
      <c r="J140" s="540"/>
      <c r="K140" s="540"/>
      <c r="L140" s="551"/>
      <c r="M140" s="542"/>
      <c r="N140" s="526"/>
      <c r="O140" s="526"/>
      <c r="P140" s="526"/>
      <c r="Q140" s="526"/>
      <c r="R140" s="526"/>
      <c r="S140" s="526"/>
      <c r="T140" s="526"/>
      <c r="U140" s="526"/>
      <c r="V140" s="526"/>
      <c r="W140" s="526"/>
      <c r="X140" s="526"/>
      <c r="Y140" s="526"/>
      <c r="Z140" s="526"/>
      <c r="AA140" s="526"/>
      <c r="AB140" s="526"/>
      <c r="AC140" s="526"/>
      <c r="AD140" s="526"/>
      <c r="AE140" s="526"/>
      <c r="AF140" s="526"/>
      <c r="AG140" s="526"/>
      <c r="AH140" s="526"/>
      <c r="AI140" s="526"/>
      <c r="AJ140" s="526"/>
      <c r="AK140" s="526"/>
      <c r="AL140" s="526"/>
      <c r="AM140" s="526"/>
      <c r="AN140" s="526"/>
      <c r="AO140" s="526"/>
      <c r="AP140" s="526"/>
      <c r="AQ140" s="526"/>
      <c r="AR140" s="526"/>
      <c r="AS140" s="526"/>
      <c r="AT140" s="526"/>
      <c r="AU140" s="526"/>
      <c r="AV140" s="526"/>
      <c r="AW140" s="526"/>
      <c r="AX140" s="526"/>
      <c r="AY140" s="526"/>
      <c r="AZ140" s="526"/>
      <c r="BA140" s="526"/>
      <c r="BB140" s="526"/>
      <c r="BC140" s="526"/>
      <c r="BD140" s="526"/>
      <c r="BE140" s="526"/>
      <c r="BF140" s="526"/>
      <c r="BG140" s="526"/>
      <c r="BH140" s="526"/>
      <c r="BI140" s="526"/>
      <c r="BJ140" s="526"/>
      <c r="BK140" s="526"/>
      <c r="BL140" s="526"/>
      <c r="BM140" s="526"/>
      <c r="BN140" s="526"/>
      <c r="BO140" s="526"/>
      <c r="BP140" s="526"/>
      <c r="BQ140" s="526"/>
      <c r="BR140" s="526"/>
      <c r="BS140" s="526"/>
      <c r="BT140" s="526"/>
      <c r="BU140" s="526"/>
      <c r="BV140" s="526"/>
      <c r="BW140" s="526"/>
      <c r="BX140" s="526"/>
      <c r="BY140" s="526"/>
      <c r="BZ140" s="526"/>
      <c r="CA140" s="526"/>
      <c r="CB140" s="526"/>
      <c r="CC140" s="526"/>
      <c r="CD140" s="526"/>
      <c r="CE140" s="526"/>
      <c r="CF140" s="526"/>
      <c r="CG140" s="526"/>
      <c r="CH140" s="526"/>
      <c r="CI140" s="526"/>
      <c r="CJ140" s="526"/>
      <c r="CK140" s="526"/>
      <c r="CL140" s="526"/>
      <c r="CM140" s="526"/>
      <c r="CN140" s="526"/>
      <c r="CO140" s="526"/>
      <c r="CP140" s="526"/>
      <c r="CQ140" s="526"/>
      <c r="CR140" s="526"/>
      <c r="CS140" s="526"/>
      <c r="CT140" s="526"/>
      <c r="CU140" s="526"/>
      <c r="CV140" s="526"/>
      <c r="CW140" s="526"/>
      <c r="CX140" s="526"/>
      <c r="CY140" s="526"/>
      <c r="CZ140" s="526"/>
      <c r="DA140" s="526"/>
      <c r="DB140" s="526"/>
      <c r="DC140" s="526"/>
      <c r="DD140" s="526"/>
      <c r="DE140" s="526"/>
      <c r="DF140" s="526"/>
      <c r="DG140" s="526"/>
      <c r="DH140" s="526"/>
      <c r="DI140" s="526"/>
      <c r="DJ140" s="526"/>
      <c r="DK140" s="526"/>
      <c r="DL140" s="526"/>
      <c r="DM140" s="526"/>
      <c r="DN140" s="526"/>
      <c r="DO140" s="526"/>
      <c r="DP140" s="526"/>
      <c r="DQ140" s="526"/>
      <c r="DR140" s="526"/>
      <c r="DS140" s="526"/>
      <c r="DT140" s="526"/>
      <c r="DU140" s="526"/>
      <c r="DV140" s="526"/>
      <c r="DW140" s="526"/>
      <c r="DX140" s="526"/>
      <c r="DY140" s="526"/>
      <c r="DZ140" s="526"/>
      <c r="EA140" s="526"/>
      <c r="EB140" s="526"/>
      <c r="EC140" s="526"/>
      <c r="ED140" s="526"/>
      <c r="EE140" s="526"/>
      <c r="EF140" s="526"/>
      <c r="EG140" s="526"/>
      <c r="EH140" s="526"/>
      <c r="EI140" s="526"/>
      <c r="EJ140" s="526"/>
      <c r="EK140" s="526"/>
      <c r="EL140" s="526"/>
      <c r="EM140" s="526"/>
      <c r="EN140" s="526"/>
      <c r="EO140" s="526"/>
      <c r="EP140" s="526"/>
      <c r="EQ140" s="526"/>
      <c r="ER140" s="526"/>
      <c r="ES140" s="526"/>
      <c r="ET140" s="526"/>
      <c r="EU140" s="526"/>
      <c r="EV140" s="526"/>
      <c r="EW140" s="526"/>
      <c r="EX140" s="526"/>
      <c r="EY140" s="526"/>
      <c r="EZ140" s="526"/>
      <c r="FA140" s="526"/>
      <c r="FB140" s="526"/>
      <c r="FC140" s="526"/>
      <c r="FD140" s="526"/>
      <c r="FE140" s="526"/>
      <c r="FF140" s="526"/>
      <c r="FG140" s="526"/>
      <c r="FH140" s="526"/>
      <c r="FI140" s="526"/>
      <c r="FJ140" s="526"/>
      <c r="FK140" s="526"/>
      <c r="FL140" s="526"/>
      <c r="FM140" s="526"/>
      <c r="FN140" s="526"/>
      <c r="FO140" s="526"/>
      <c r="FP140" s="526"/>
      <c r="FQ140" s="526"/>
      <c r="FR140" s="526"/>
      <c r="FS140" s="526"/>
      <c r="FT140" s="526"/>
      <c r="FU140" s="526"/>
      <c r="FV140" s="526"/>
      <c r="FW140" s="526"/>
      <c r="FX140" s="526"/>
      <c r="FY140" s="526"/>
      <c r="FZ140" s="526"/>
      <c r="GA140" s="526"/>
      <c r="GB140" s="526"/>
      <c r="GC140" s="526"/>
      <c r="GD140" s="526"/>
      <c r="GE140" s="526"/>
      <c r="GF140" s="526"/>
      <c r="GG140" s="526"/>
      <c r="GH140" s="526"/>
      <c r="GI140" s="526"/>
      <c r="GJ140" s="526"/>
      <c r="GK140" s="526"/>
      <c r="GL140" s="526"/>
      <c r="GM140" s="526"/>
      <c r="GN140" s="526"/>
      <c r="GO140" s="526"/>
      <c r="GP140" s="526"/>
      <c r="GQ140" s="526"/>
      <c r="GR140" s="526"/>
      <c r="GS140" s="526"/>
      <c r="GT140" s="526"/>
      <c r="GU140" s="526"/>
      <c r="GV140" s="526"/>
      <c r="GW140" s="526"/>
      <c r="GX140" s="526"/>
      <c r="GY140" s="526"/>
      <c r="GZ140" s="526"/>
      <c r="HA140" s="526"/>
      <c r="HB140" s="526"/>
      <c r="HC140" s="526"/>
      <c r="HD140" s="526"/>
      <c r="HE140" s="526"/>
      <c r="HF140" s="526"/>
      <c r="HG140" s="526"/>
      <c r="HH140" s="526"/>
      <c r="HI140" s="526"/>
      <c r="HJ140" s="526"/>
      <c r="HK140" s="526"/>
      <c r="HL140" s="526"/>
      <c r="HM140" s="526"/>
      <c r="HN140" s="526"/>
      <c r="HO140" s="526"/>
      <c r="HP140" s="526"/>
      <c r="HQ140" s="526"/>
      <c r="HR140" s="526"/>
      <c r="HS140" s="526"/>
      <c r="HT140" s="526"/>
      <c r="HU140" s="526"/>
      <c r="HV140" s="526"/>
      <c r="HW140" s="526"/>
      <c r="HX140" s="526"/>
      <c r="HY140" s="526"/>
      <c r="HZ140" s="526"/>
      <c r="IA140" s="526"/>
      <c r="IB140" s="526"/>
      <c r="IC140" s="526"/>
      <c r="ID140" s="526"/>
      <c r="IE140" s="526"/>
      <c r="IF140" s="526"/>
      <c r="IG140" s="526"/>
      <c r="IH140" s="526"/>
      <c r="II140" s="526"/>
      <c r="IJ140" s="526"/>
      <c r="IK140" s="526"/>
      <c r="IL140" s="526"/>
      <c r="IM140" s="526"/>
      <c r="IN140" s="526"/>
      <c r="IO140" s="526"/>
      <c r="IP140" s="526"/>
      <c r="IQ140" s="526"/>
    </row>
    <row r="141" spans="1:251" s="1431" customFormat="1" ht="18" customHeight="1">
      <c r="A141" s="525">
        <v>132</v>
      </c>
      <c r="B141" s="1424"/>
      <c r="C141" s="1425"/>
      <c r="D141" s="594" t="s">
        <v>283</v>
      </c>
      <c r="E141" s="1422"/>
      <c r="F141" s="1426"/>
      <c r="G141" s="1461"/>
      <c r="H141" s="1427"/>
      <c r="I141" s="1428"/>
      <c r="J141" s="1422">
        <v>7082</v>
      </c>
      <c r="K141" s="1422"/>
      <c r="L141" s="1423">
        <f>SUM(I141:K141)</f>
        <v>7082</v>
      </c>
      <c r="M141" s="1429"/>
      <c r="N141" s="1430"/>
      <c r="O141" s="1430"/>
      <c r="P141" s="1430"/>
      <c r="Q141" s="1430"/>
      <c r="R141" s="1430"/>
      <c r="S141" s="1430"/>
      <c r="T141" s="1430"/>
      <c r="U141" s="1430"/>
      <c r="V141" s="1430"/>
      <c r="W141" s="1430"/>
      <c r="X141" s="1430"/>
      <c r="Y141" s="1430"/>
      <c r="Z141" s="1430"/>
      <c r="AA141" s="1430"/>
      <c r="AB141" s="1430"/>
      <c r="AC141" s="1430"/>
      <c r="AD141" s="1430"/>
      <c r="AE141" s="1430"/>
      <c r="AF141" s="1430"/>
      <c r="AG141" s="1430"/>
      <c r="AH141" s="1430"/>
      <c r="AI141" s="1430"/>
      <c r="AJ141" s="1430"/>
      <c r="AK141" s="1430"/>
      <c r="AL141" s="1430"/>
      <c r="AM141" s="1430"/>
      <c r="AN141" s="1430"/>
      <c r="AO141" s="1430"/>
      <c r="AP141" s="1430"/>
      <c r="AQ141" s="1430"/>
      <c r="AR141" s="1430"/>
      <c r="AS141" s="1430"/>
      <c r="AT141" s="1430"/>
      <c r="AU141" s="1430"/>
      <c r="AV141" s="1430"/>
      <c r="AW141" s="1430"/>
      <c r="AX141" s="1430"/>
      <c r="AY141" s="1430"/>
      <c r="AZ141" s="1430"/>
      <c r="BA141" s="1430"/>
      <c r="BB141" s="1430"/>
      <c r="BC141" s="1430"/>
      <c r="BD141" s="1430"/>
      <c r="BE141" s="1430"/>
      <c r="BF141" s="1430"/>
      <c r="BG141" s="1430"/>
      <c r="BH141" s="1430"/>
      <c r="BI141" s="1430"/>
      <c r="BJ141" s="1430"/>
      <c r="BK141" s="1430"/>
      <c r="BL141" s="1430"/>
      <c r="BM141" s="1430"/>
      <c r="BN141" s="1430"/>
      <c r="BO141" s="1430"/>
      <c r="BP141" s="1430"/>
      <c r="BQ141" s="1430"/>
      <c r="BR141" s="1430"/>
      <c r="BS141" s="1430"/>
      <c r="BT141" s="1430"/>
      <c r="BU141" s="1430"/>
      <c r="BV141" s="1430"/>
      <c r="BW141" s="1430"/>
      <c r="BX141" s="1430"/>
      <c r="BY141" s="1430"/>
      <c r="BZ141" s="1430"/>
      <c r="CA141" s="1430"/>
      <c r="CB141" s="1430"/>
      <c r="CC141" s="1430"/>
      <c r="CD141" s="1430"/>
      <c r="CE141" s="1430"/>
      <c r="CF141" s="1430"/>
      <c r="CG141" s="1430"/>
      <c r="CH141" s="1430"/>
      <c r="CI141" s="1430"/>
      <c r="CJ141" s="1430"/>
      <c r="CK141" s="1430"/>
      <c r="CL141" s="1430"/>
      <c r="CM141" s="1430"/>
      <c r="CN141" s="1430"/>
      <c r="CO141" s="1430"/>
      <c r="CP141" s="1430"/>
      <c r="CQ141" s="1430"/>
      <c r="CR141" s="1430"/>
      <c r="CS141" s="1430"/>
      <c r="CT141" s="1430"/>
      <c r="CU141" s="1430"/>
      <c r="CV141" s="1430"/>
      <c r="CW141" s="1430"/>
      <c r="CX141" s="1430"/>
      <c r="CY141" s="1430"/>
      <c r="CZ141" s="1430"/>
      <c r="DA141" s="1430"/>
      <c r="DB141" s="1430"/>
      <c r="DC141" s="1430"/>
      <c r="DD141" s="1430"/>
      <c r="DE141" s="1430"/>
      <c r="DF141" s="1430"/>
      <c r="DG141" s="1430"/>
      <c r="DH141" s="1430"/>
      <c r="DI141" s="1430"/>
      <c r="DJ141" s="1430"/>
      <c r="DK141" s="1430"/>
      <c r="DL141" s="1430"/>
      <c r="DM141" s="1430"/>
      <c r="DN141" s="1430"/>
      <c r="DO141" s="1430"/>
      <c r="DP141" s="1430"/>
      <c r="DQ141" s="1430"/>
      <c r="DR141" s="1430"/>
      <c r="DS141" s="1430"/>
      <c r="DT141" s="1430"/>
      <c r="DU141" s="1430"/>
      <c r="DV141" s="1430"/>
      <c r="DW141" s="1430"/>
      <c r="DX141" s="1430"/>
      <c r="DY141" s="1430"/>
      <c r="DZ141" s="1430"/>
      <c r="EA141" s="1430"/>
      <c r="EB141" s="1430"/>
      <c r="EC141" s="1430"/>
      <c r="ED141" s="1430"/>
      <c r="EE141" s="1430"/>
      <c r="EF141" s="1430"/>
      <c r="EG141" s="1430"/>
      <c r="EH141" s="1430"/>
      <c r="EI141" s="1430"/>
      <c r="EJ141" s="1430"/>
      <c r="EK141" s="1430"/>
      <c r="EL141" s="1430"/>
      <c r="EM141" s="1430"/>
      <c r="EN141" s="1430"/>
      <c r="EO141" s="1430"/>
      <c r="EP141" s="1430"/>
      <c r="EQ141" s="1430"/>
      <c r="ER141" s="1430"/>
      <c r="ES141" s="1430"/>
      <c r="ET141" s="1430"/>
      <c r="EU141" s="1430"/>
      <c r="EV141" s="1430"/>
      <c r="EW141" s="1430"/>
      <c r="EX141" s="1430"/>
      <c r="EY141" s="1430"/>
      <c r="EZ141" s="1430"/>
      <c r="FA141" s="1430"/>
      <c r="FB141" s="1430"/>
      <c r="FC141" s="1430"/>
      <c r="FD141" s="1430"/>
      <c r="FE141" s="1430"/>
      <c r="FF141" s="1430"/>
      <c r="FG141" s="1430"/>
      <c r="FH141" s="1430"/>
      <c r="FI141" s="1430"/>
      <c r="FJ141" s="1430"/>
      <c r="FK141" s="1430"/>
      <c r="FL141" s="1430"/>
      <c r="FM141" s="1430"/>
      <c r="FN141" s="1430"/>
      <c r="FO141" s="1430"/>
      <c r="FP141" s="1430"/>
      <c r="FQ141" s="1430"/>
      <c r="FR141" s="1430"/>
      <c r="FS141" s="1430"/>
      <c r="FT141" s="1430"/>
      <c r="FU141" s="1430"/>
      <c r="FV141" s="1430"/>
      <c r="FW141" s="1430"/>
      <c r="FX141" s="1430"/>
      <c r="FY141" s="1430"/>
      <c r="FZ141" s="1430"/>
      <c r="GA141" s="1430"/>
      <c r="GB141" s="1430"/>
      <c r="GC141" s="1430"/>
      <c r="GD141" s="1430"/>
      <c r="GE141" s="1430"/>
      <c r="GF141" s="1430"/>
      <c r="GG141" s="1430"/>
      <c r="GH141" s="1430"/>
      <c r="GI141" s="1430"/>
      <c r="GJ141" s="1430"/>
      <c r="GK141" s="1430"/>
      <c r="GL141" s="1430"/>
      <c r="GM141" s="1430"/>
      <c r="GN141" s="1430"/>
      <c r="GO141" s="1430"/>
      <c r="GP141" s="1430"/>
      <c r="GQ141" s="1430"/>
      <c r="GR141" s="1430"/>
      <c r="GS141" s="1430"/>
      <c r="GT141" s="1430"/>
      <c r="GU141" s="1430"/>
      <c r="GV141" s="1430"/>
      <c r="GW141" s="1430"/>
      <c r="GX141" s="1430"/>
      <c r="GY141" s="1430"/>
      <c r="GZ141" s="1430"/>
      <c r="HA141" s="1430"/>
      <c r="HB141" s="1430"/>
      <c r="HC141" s="1430"/>
      <c r="HD141" s="1430"/>
      <c r="HE141" s="1430"/>
      <c r="HF141" s="1430"/>
      <c r="HG141" s="1430"/>
      <c r="HH141" s="1430"/>
      <c r="HI141" s="1430"/>
      <c r="HJ141" s="1430"/>
      <c r="HK141" s="1430"/>
      <c r="HL141" s="1430"/>
      <c r="HM141" s="1430"/>
      <c r="HN141" s="1430"/>
      <c r="HO141" s="1430"/>
      <c r="HP141" s="1430"/>
      <c r="HQ141" s="1430"/>
      <c r="HR141" s="1430"/>
      <c r="HS141" s="1430"/>
      <c r="HT141" s="1430"/>
      <c r="HU141" s="1430"/>
      <c r="HV141" s="1430"/>
      <c r="HW141" s="1430"/>
      <c r="HX141" s="1430"/>
      <c r="HY141" s="1430"/>
      <c r="HZ141" s="1430"/>
      <c r="IA141" s="1430"/>
      <c r="IB141" s="1430"/>
      <c r="IC141" s="1430"/>
      <c r="ID141" s="1430"/>
      <c r="IE141" s="1430"/>
      <c r="IF141" s="1430"/>
      <c r="IG141" s="1430"/>
      <c r="IH141" s="1430"/>
      <c r="II141" s="1430"/>
      <c r="IJ141" s="1430"/>
      <c r="IK141" s="1430"/>
      <c r="IL141" s="1430"/>
      <c r="IM141" s="1430"/>
      <c r="IN141" s="1430"/>
      <c r="IO141" s="1430"/>
      <c r="IP141" s="1430"/>
      <c r="IQ141" s="1430"/>
    </row>
    <row r="142" spans="1:251" s="1431" customFormat="1" ht="18" customHeight="1">
      <c r="A142" s="525">
        <v>133</v>
      </c>
      <c r="B142" s="1424"/>
      <c r="C142" s="1425"/>
      <c r="D142" s="483" t="s">
        <v>938</v>
      </c>
      <c r="E142" s="1422"/>
      <c r="F142" s="1426"/>
      <c r="G142" s="1461"/>
      <c r="H142" s="1427"/>
      <c r="I142" s="1428"/>
      <c r="J142" s="1561">
        <v>7051</v>
      </c>
      <c r="K142" s="1561"/>
      <c r="L142" s="1669">
        <f>SUM(I142:K142)</f>
        <v>7051</v>
      </c>
      <c r="M142" s="1429"/>
      <c r="N142" s="1430"/>
      <c r="O142" s="1430"/>
      <c r="P142" s="1430"/>
      <c r="Q142" s="1430"/>
      <c r="R142" s="1430"/>
      <c r="S142" s="1430"/>
      <c r="T142" s="1430"/>
      <c r="U142" s="1430"/>
      <c r="V142" s="1430"/>
      <c r="W142" s="1430"/>
      <c r="X142" s="1430"/>
      <c r="Y142" s="1430"/>
      <c r="Z142" s="1430"/>
      <c r="AA142" s="1430"/>
      <c r="AB142" s="1430"/>
      <c r="AC142" s="1430"/>
      <c r="AD142" s="1430"/>
      <c r="AE142" s="1430"/>
      <c r="AF142" s="1430"/>
      <c r="AG142" s="1430"/>
      <c r="AH142" s="1430"/>
      <c r="AI142" s="1430"/>
      <c r="AJ142" s="1430"/>
      <c r="AK142" s="1430"/>
      <c r="AL142" s="1430"/>
      <c r="AM142" s="1430"/>
      <c r="AN142" s="1430"/>
      <c r="AO142" s="1430"/>
      <c r="AP142" s="1430"/>
      <c r="AQ142" s="1430"/>
      <c r="AR142" s="1430"/>
      <c r="AS142" s="1430"/>
      <c r="AT142" s="1430"/>
      <c r="AU142" s="1430"/>
      <c r="AV142" s="1430"/>
      <c r="AW142" s="1430"/>
      <c r="AX142" s="1430"/>
      <c r="AY142" s="1430"/>
      <c r="AZ142" s="1430"/>
      <c r="BA142" s="1430"/>
      <c r="BB142" s="1430"/>
      <c r="BC142" s="1430"/>
      <c r="BD142" s="1430"/>
      <c r="BE142" s="1430"/>
      <c r="BF142" s="1430"/>
      <c r="BG142" s="1430"/>
      <c r="BH142" s="1430"/>
      <c r="BI142" s="1430"/>
      <c r="BJ142" s="1430"/>
      <c r="BK142" s="1430"/>
      <c r="BL142" s="1430"/>
      <c r="BM142" s="1430"/>
      <c r="BN142" s="1430"/>
      <c r="BO142" s="1430"/>
      <c r="BP142" s="1430"/>
      <c r="BQ142" s="1430"/>
      <c r="BR142" s="1430"/>
      <c r="BS142" s="1430"/>
      <c r="BT142" s="1430"/>
      <c r="BU142" s="1430"/>
      <c r="BV142" s="1430"/>
      <c r="BW142" s="1430"/>
      <c r="BX142" s="1430"/>
      <c r="BY142" s="1430"/>
      <c r="BZ142" s="1430"/>
      <c r="CA142" s="1430"/>
      <c r="CB142" s="1430"/>
      <c r="CC142" s="1430"/>
      <c r="CD142" s="1430"/>
      <c r="CE142" s="1430"/>
      <c r="CF142" s="1430"/>
      <c r="CG142" s="1430"/>
      <c r="CH142" s="1430"/>
      <c r="CI142" s="1430"/>
      <c r="CJ142" s="1430"/>
      <c r="CK142" s="1430"/>
      <c r="CL142" s="1430"/>
      <c r="CM142" s="1430"/>
      <c r="CN142" s="1430"/>
      <c r="CO142" s="1430"/>
      <c r="CP142" s="1430"/>
      <c r="CQ142" s="1430"/>
      <c r="CR142" s="1430"/>
      <c r="CS142" s="1430"/>
      <c r="CT142" s="1430"/>
      <c r="CU142" s="1430"/>
      <c r="CV142" s="1430"/>
      <c r="CW142" s="1430"/>
      <c r="CX142" s="1430"/>
      <c r="CY142" s="1430"/>
      <c r="CZ142" s="1430"/>
      <c r="DA142" s="1430"/>
      <c r="DB142" s="1430"/>
      <c r="DC142" s="1430"/>
      <c r="DD142" s="1430"/>
      <c r="DE142" s="1430"/>
      <c r="DF142" s="1430"/>
      <c r="DG142" s="1430"/>
      <c r="DH142" s="1430"/>
      <c r="DI142" s="1430"/>
      <c r="DJ142" s="1430"/>
      <c r="DK142" s="1430"/>
      <c r="DL142" s="1430"/>
      <c r="DM142" s="1430"/>
      <c r="DN142" s="1430"/>
      <c r="DO142" s="1430"/>
      <c r="DP142" s="1430"/>
      <c r="DQ142" s="1430"/>
      <c r="DR142" s="1430"/>
      <c r="DS142" s="1430"/>
      <c r="DT142" s="1430"/>
      <c r="DU142" s="1430"/>
      <c r="DV142" s="1430"/>
      <c r="DW142" s="1430"/>
      <c r="DX142" s="1430"/>
      <c r="DY142" s="1430"/>
      <c r="DZ142" s="1430"/>
      <c r="EA142" s="1430"/>
      <c r="EB142" s="1430"/>
      <c r="EC142" s="1430"/>
      <c r="ED142" s="1430"/>
      <c r="EE142" s="1430"/>
      <c r="EF142" s="1430"/>
      <c r="EG142" s="1430"/>
      <c r="EH142" s="1430"/>
      <c r="EI142" s="1430"/>
      <c r="EJ142" s="1430"/>
      <c r="EK142" s="1430"/>
      <c r="EL142" s="1430"/>
      <c r="EM142" s="1430"/>
      <c r="EN142" s="1430"/>
      <c r="EO142" s="1430"/>
      <c r="EP142" s="1430"/>
      <c r="EQ142" s="1430"/>
      <c r="ER142" s="1430"/>
      <c r="ES142" s="1430"/>
      <c r="ET142" s="1430"/>
      <c r="EU142" s="1430"/>
      <c r="EV142" s="1430"/>
      <c r="EW142" s="1430"/>
      <c r="EX142" s="1430"/>
      <c r="EY142" s="1430"/>
      <c r="EZ142" s="1430"/>
      <c r="FA142" s="1430"/>
      <c r="FB142" s="1430"/>
      <c r="FC142" s="1430"/>
      <c r="FD142" s="1430"/>
      <c r="FE142" s="1430"/>
      <c r="FF142" s="1430"/>
      <c r="FG142" s="1430"/>
      <c r="FH142" s="1430"/>
      <c r="FI142" s="1430"/>
      <c r="FJ142" s="1430"/>
      <c r="FK142" s="1430"/>
      <c r="FL142" s="1430"/>
      <c r="FM142" s="1430"/>
      <c r="FN142" s="1430"/>
      <c r="FO142" s="1430"/>
      <c r="FP142" s="1430"/>
      <c r="FQ142" s="1430"/>
      <c r="FR142" s="1430"/>
      <c r="FS142" s="1430"/>
      <c r="FT142" s="1430"/>
      <c r="FU142" s="1430"/>
      <c r="FV142" s="1430"/>
      <c r="FW142" s="1430"/>
      <c r="FX142" s="1430"/>
      <c r="FY142" s="1430"/>
      <c r="FZ142" s="1430"/>
      <c r="GA142" s="1430"/>
      <c r="GB142" s="1430"/>
      <c r="GC142" s="1430"/>
      <c r="GD142" s="1430"/>
      <c r="GE142" s="1430"/>
      <c r="GF142" s="1430"/>
      <c r="GG142" s="1430"/>
      <c r="GH142" s="1430"/>
      <c r="GI142" s="1430"/>
      <c r="GJ142" s="1430"/>
      <c r="GK142" s="1430"/>
      <c r="GL142" s="1430"/>
      <c r="GM142" s="1430"/>
      <c r="GN142" s="1430"/>
      <c r="GO142" s="1430"/>
      <c r="GP142" s="1430"/>
      <c r="GQ142" s="1430"/>
      <c r="GR142" s="1430"/>
      <c r="GS142" s="1430"/>
      <c r="GT142" s="1430"/>
      <c r="GU142" s="1430"/>
      <c r="GV142" s="1430"/>
      <c r="GW142" s="1430"/>
      <c r="GX142" s="1430"/>
      <c r="GY142" s="1430"/>
      <c r="GZ142" s="1430"/>
      <c r="HA142" s="1430"/>
      <c r="HB142" s="1430"/>
      <c r="HC142" s="1430"/>
      <c r="HD142" s="1430"/>
      <c r="HE142" s="1430"/>
      <c r="HF142" s="1430"/>
      <c r="HG142" s="1430"/>
      <c r="HH142" s="1430"/>
      <c r="HI142" s="1430"/>
      <c r="HJ142" s="1430"/>
      <c r="HK142" s="1430"/>
      <c r="HL142" s="1430"/>
      <c r="HM142" s="1430"/>
      <c r="HN142" s="1430"/>
      <c r="HO142" s="1430"/>
      <c r="HP142" s="1430"/>
      <c r="HQ142" s="1430"/>
      <c r="HR142" s="1430"/>
      <c r="HS142" s="1430"/>
      <c r="HT142" s="1430"/>
      <c r="HU142" s="1430"/>
      <c r="HV142" s="1430"/>
      <c r="HW142" s="1430"/>
      <c r="HX142" s="1430"/>
      <c r="HY142" s="1430"/>
      <c r="HZ142" s="1430"/>
      <c r="IA142" s="1430"/>
      <c r="IB142" s="1430"/>
      <c r="IC142" s="1430"/>
      <c r="ID142" s="1430"/>
      <c r="IE142" s="1430"/>
      <c r="IF142" s="1430"/>
      <c r="IG142" s="1430"/>
      <c r="IH142" s="1430"/>
      <c r="II142" s="1430"/>
      <c r="IJ142" s="1430"/>
      <c r="IK142" s="1430"/>
      <c r="IL142" s="1430"/>
      <c r="IM142" s="1430"/>
      <c r="IN142" s="1430"/>
      <c r="IO142" s="1430"/>
      <c r="IP142" s="1430"/>
      <c r="IQ142" s="1430"/>
    </row>
    <row r="143" spans="1:251" ht="18" customHeight="1">
      <c r="A143" s="525">
        <v>134</v>
      </c>
      <c r="B143" s="538"/>
      <c r="C143" s="543"/>
      <c r="D143" s="1146" t="s">
        <v>725</v>
      </c>
      <c r="E143" s="540"/>
      <c r="F143" s="541"/>
      <c r="G143" s="1460"/>
      <c r="H143" s="753"/>
      <c r="I143" s="728"/>
      <c r="J143" s="1458"/>
      <c r="K143" s="540"/>
      <c r="L143" s="1241">
        <f>SUM(I143:K143)</f>
        <v>0</v>
      </c>
      <c r="M143" s="542"/>
      <c r="N143" s="526"/>
      <c r="O143" s="526"/>
      <c r="P143" s="526"/>
      <c r="Q143" s="526"/>
      <c r="R143" s="526"/>
      <c r="S143" s="526"/>
      <c r="T143" s="526"/>
      <c r="U143" s="526"/>
      <c r="V143" s="526"/>
      <c r="W143" s="526"/>
      <c r="X143" s="526"/>
      <c r="Y143" s="526"/>
      <c r="Z143" s="526"/>
      <c r="AA143" s="526"/>
      <c r="AB143" s="526"/>
      <c r="AC143" s="526"/>
      <c r="AD143" s="526"/>
      <c r="AE143" s="526"/>
      <c r="AF143" s="526"/>
      <c r="AG143" s="526"/>
      <c r="AH143" s="526"/>
      <c r="AI143" s="526"/>
      <c r="AJ143" s="526"/>
      <c r="AK143" s="526"/>
      <c r="AL143" s="526"/>
      <c r="AM143" s="526"/>
      <c r="AN143" s="526"/>
      <c r="AO143" s="526"/>
      <c r="AP143" s="526"/>
      <c r="AQ143" s="526"/>
      <c r="AR143" s="526"/>
      <c r="AS143" s="526"/>
      <c r="AT143" s="526"/>
      <c r="AU143" s="526"/>
      <c r="AV143" s="526"/>
      <c r="AW143" s="526"/>
      <c r="AX143" s="526"/>
      <c r="AY143" s="526"/>
      <c r="AZ143" s="526"/>
      <c r="BA143" s="526"/>
      <c r="BB143" s="526"/>
      <c r="BC143" s="526"/>
      <c r="BD143" s="526"/>
      <c r="BE143" s="526"/>
      <c r="BF143" s="526"/>
      <c r="BG143" s="526"/>
      <c r="BH143" s="526"/>
      <c r="BI143" s="526"/>
      <c r="BJ143" s="526"/>
      <c r="BK143" s="526"/>
      <c r="BL143" s="526"/>
      <c r="BM143" s="526"/>
      <c r="BN143" s="526"/>
      <c r="BO143" s="526"/>
      <c r="BP143" s="526"/>
      <c r="BQ143" s="526"/>
      <c r="BR143" s="526"/>
      <c r="BS143" s="526"/>
      <c r="BT143" s="526"/>
      <c r="BU143" s="526"/>
      <c r="BV143" s="526"/>
      <c r="BW143" s="526"/>
      <c r="BX143" s="526"/>
      <c r="BY143" s="526"/>
      <c r="BZ143" s="526"/>
      <c r="CA143" s="526"/>
      <c r="CB143" s="526"/>
      <c r="CC143" s="526"/>
      <c r="CD143" s="526"/>
      <c r="CE143" s="526"/>
      <c r="CF143" s="526"/>
      <c r="CG143" s="526"/>
      <c r="CH143" s="526"/>
      <c r="CI143" s="526"/>
      <c r="CJ143" s="526"/>
      <c r="CK143" s="526"/>
      <c r="CL143" s="526"/>
      <c r="CM143" s="526"/>
      <c r="CN143" s="526"/>
      <c r="CO143" s="526"/>
      <c r="CP143" s="526"/>
      <c r="CQ143" s="526"/>
      <c r="CR143" s="526"/>
      <c r="CS143" s="526"/>
      <c r="CT143" s="526"/>
      <c r="CU143" s="526"/>
      <c r="CV143" s="526"/>
      <c r="CW143" s="526"/>
      <c r="CX143" s="526"/>
      <c r="CY143" s="526"/>
      <c r="CZ143" s="526"/>
      <c r="DA143" s="526"/>
      <c r="DB143" s="526"/>
      <c r="DC143" s="526"/>
      <c r="DD143" s="526"/>
      <c r="DE143" s="526"/>
      <c r="DF143" s="526"/>
      <c r="DG143" s="526"/>
      <c r="DH143" s="526"/>
      <c r="DI143" s="526"/>
      <c r="DJ143" s="526"/>
      <c r="DK143" s="526"/>
      <c r="DL143" s="526"/>
      <c r="DM143" s="526"/>
      <c r="DN143" s="526"/>
      <c r="DO143" s="526"/>
      <c r="DP143" s="526"/>
      <c r="DQ143" s="526"/>
      <c r="DR143" s="526"/>
      <c r="DS143" s="526"/>
      <c r="DT143" s="526"/>
      <c r="DU143" s="526"/>
      <c r="DV143" s="526"/>
      <c r="DW143" s="526"/>
      <c r="DX143" s="526"/>
      <c r="DY143" s="526"/>
      <c r="DZ143" s="526"/>
      <c r="EA143" s="526"/>
      <c r="EB143" s="526"/>
      <c r="EC143" s="526"/>
      <c r="ED143" s="526"/>
      <c r="EE143" s="526"/>
      <c r="EF143" s="526"/>
      <c r="EG143" s="526"/>
      <c r="EH143" s="526"/>
      <c r="EI143" s="526"/>
      <c r="EJ143" s="526"/>
      <c r="EK143" s="526"/>
      <c r="EL143" s="526"/>
      <c r="EM143" s="526"/>
      <c r="EN143" s="526"/>
      <c r="EO143" s="526"/>
      <c r="EP143" s="526"/>
      <c r="EQ143" s="526"/>
      <c r="ER143" s="526"/>
      <c r="ES143" s="526"/>
      <c r="ET143" s="526"/>
      <c r="EU143" s="526"/>
      <c r="EV143" s="526"/>
      <c r="EW143" s="526"/>
      <c r="EX143" s="526"/>
      <c r="EY143" s="526"/>
      <c r="EZ143" s="526"/>
      <c r="FA143" s="526"/>
      <c r="FB143" s="526"/>
      <c r="FC143" s="526"/>
      <c r="FD143" s="526"/>
      <c r="FE143" s="526"/>
      <c r="FF143" s="526"/>
      <c r="FG143" s="526"/>
      <c r="FH143" s="526"/>
      <c r="FI143" s="526"/>
      <c r="FJ143" s="526"/>
      <c r="FK143" s="526"/>
      <c r="FL143" s="526"/>
      <c r="FM143" s="526"/>
      <c r="FN143" s="526"/>
      <c r="FO143" s="526"/>
      <c r="FP143" s="526"/>
      <c r="FQ143" s="526"/>
      <c r="FR143" s="526"/>
      <c r="FS143" s="526"/>
      <c r="FT143" s="526"/>
      <c r="FU143" s="526"/>
      <c r="FV143" s="526"/>
      <c r="FW143" s="526"/>
      <c r="FX143" s="526"/>
      <c r="FY143" s="526"/>
      <c r="FZ143" s="526"/>
      <c r="GA143" s="526"/>
      <c r="GB143" s="526"/>
      <c r="GC143" s="526"/>
      <c r="GD143" s="526"/>
      <c r="GE143" s="526"/>
      <c r="GF143" s="526"/>
      <c r="GG143" s="526"/>
      <c r="GH143" s="526"/>
      <c r="GI143" s="526"/>
      <c r="GJ143" s="526"/>
      <c r="GK143" s="526"/>
      <c r="GL143" s="526"/>
      <c r="GM143" s="526"/>
      <c r="GN143" s="526"/>
      <c r="GO143" s="526"/>
      <c r="GP143" s="526"/>
      <c r="GQ143" s="526"/>
      <c r="GR143" s="526"/>
      <c r="GS143" s="526"/>
      <c r="GT143" s="526"/>
      <c r="GU143" s="526"/>
      <c r="GV143" s="526"/>
      <c r="GW143" s="526"/>
      <c r="GX143" s="526"/>
      <c r="GY143" s="526"/>
      <c r="GZ143" s="526"/>
      <c r="HA143" s="526"/>
      <c r="HB143" s="526"/>
      <c r="HC143" s="526"/>
      <c r="HD143" s="526"/>
      <c r="HE143" s="526"/>
      <c r="HF143" s="526"/>
      <c r="HG143" s="526"/>
      <c r="HH143" s="526"/>
      <c r="HI143" s="526"/>
      <c r="HJ143" s="526"/>
      <c r="HK143" s="526"/>
      <c r="HL143" s="526"/>
      <c r="HM143" s="526"/>
      <c r="HN143" s="526"/>
      <c r="HO143" s="526"/>
      <c r="HP143" s="526"/>
      <c r="HQ143" s="526"/>
      <c r="HR143" s="526"/>
      <c r="HS143" s="526"/>
      <c r="HT143" s="526"/>
      <c r="HU143" s="526"/>
      <c r="HV143" s="526"/>
      <c r="HW143" s="526"/>
      <c r="HX143" s="526"/>
      <c r="HY143" s="526"/>
      <c r="HZ143" s="526"/>
      <c r="IA143" s="526"/>
      <c r="IB143" s="526"/>
      <c r="IC143" s="526"/>
      <c r="ID143" s="526"/>
      <c r="IE143" s="526"/>
      <c r="IF143" s="526"/>
      <c r="IG143" s="526"/>
      <c r="IH143" s="526"/>
      <c r="II143" s="526"/>
      <c r="IJ143" s="526"/>
      <c r="IK143" s="526"/>
      <c r="IL143" s="526"/>
      <c r="IM143" s="526"/>
      <c r="IN143" s="526"/>
      <c r="IO143" s="526"/>
      <c r="IP143" s="526"/>
      <c r="IQ143" s="526"/>
    </row>
    <row r="144" spans="1:251" ht="18" customHeight="1">
      <c r="A144" s="525">
        <v>135</v>
      </c>
      <c r="B144" s="538"/>
      <c r="C144" s="543"/>
      <c r="D144" s="483" t="s">
        <v>1091</v>
      </c>
      <c r="E144" s="540"/>
      <c r="F144" s="541"/>
      <c r="G144" s="1460"/>
      <c r="H144" s="753"/>
      <c r="I144" s="728"/>
      <c r="J144" s="1561">
        <f>SUM(J142:J143)</f>
        <v>7051</v>
      </c>
      <c r="K144" s="540"/>
      <c r="L144" s="1238">
        <f>SUM(I144:K144)</f>
        <v>7051</v>
      </c>
      <c r="M144" s="542"/>
      <c r="N144" s="526"/>
      <c r="O144" s="526"/>
      <c r="P144" s="526"/>
      <c r="Q144" s="526"/>
      <c r="R144" s="526"/>
      <c r="S144" s="526"/>
      <c r="T144" s="526"/>
      <c r="U144" s="526"/>
      <c r="V144" s="526"/>
      <c r="W144" s="526"/>
      <c r="X144" s="526"/>
      <c r="Y144" s="526"/>
      <c r="Z144" s="526"/>
      <c r="AA144" s="526"/>
      <c r="AB144" s="526"/>
      <c r="AC144" s="526"/>
      <c r="AD144" s="526"/>
      <c r="AE144" s="526"/>
      <c r="AF144" s="526"/>
      <c r="AG144" s="526"/>
      <c r="AH144" s="526"/>
      <c r="AI144" s="526"/>
      <c r="AJ144" s="526"/>
      <c r="AK144" s="526"/>
      <c r="AL144" s="526"/>
      <c r="AM144" s="526"/>
      <c r="AN144" s="526"/>
      <c r="AO144" s="526"/>
      <c r="AP144" s="526"/>
      <c r="AQ144" s="526"/>
      <c r="AR144" s="526"/>
      <c r="AS144" s="526"/>
      <c r="AT144" s="526"/>
      <c r="AU144" s="526"/>
      <c r="AV144" s="526"/>
      <c r="AW144" s="526"/>
      <c r="AX144" s="526"/>
      <c r="AY144" s="526"/>
      <c r="AZ144" s="526"/>
      <c r="BA144" s="526"/>
      <c r="BB144" s="526"/>
      <c r="BC144" s="526"/>
      <c r="BD144" s="526"/>
      <c r="BE144" s="526"/>
      <c r="BF144" s="526"/>
      <c r="BG144" s="526"/>
      <c r="BH144" s="526"/>
      <c r="BI144" s="526"/>
      <c r="BJ144" s="526"/>
      <c r="BK144" s="526"/>
      <c r="BL144" s="526"/>
      <c r="BM144" s="526"/>
      <c r="BN144" s="526"/>
      <c r="BO144" s="526"/>
      <c r="BP144" s="526"/>
      <c r="BQ144" s="526"/>
      <c r="BR144" s="526"/>
      <c r="BS144" s="526"/>
      <c r="BT144" s="526"/>
      <c r="BU144" s="526"/>
      <c r="BV144" s="526"/>
      <c r="BW144" s="526"/>
      <c r="BX144" s="526"/>
      <c r="BY144" s="526"/>
      <c r="BZ144" s="526"/>
      <c r="CA144" s="526"/>
      <c r="CB144" s="526"/>
      <c r="CC144" s="526"/>
      <c r="CD144" s="526"/>
      <c r="CE144" s="526"/>
      <c r="CF144" s="526"/>
      <c r="CG144" s="526"/>
      <c r="CH144" s="526"/>
      <c r="CI144" s="526"/>
      <c r="CJ144" s="526"/>
      <c r="CK144" s="526"/>
      <c r="CL144" s="526"/>
      <c r="CM144" s="526"/>
      <c r="CN144" s="526"/>
      <c r="CO144" s="526"/>
      <c r="CP144" s="526"/>
      <c r="CQ144" s="526"/>
      <c r="CR144" s="526"/>
      <c r="CS144" s="526"/>
      <c r="CT144" s="526"/>
      <c r="CU144" s="526"/>
      <c r="CV144" s="526"/>
      <c r="CW144" s="526"/>
      <c r="CX144" s="526"/>
      <c r="CY144" s="526"/>
      <c r="CZ144" s="526"/>
      <c r="DA144" s="526"/>
      <c r="DB144" s="526"/>
      <c r="DC144" s="526"/>
      <c r="DD144" s="526"/>
      <c r="DE144" s="526"/>
      <c r="DF144" s="526"/>
      <c r="DG144" s="526"/>
      <c r="DH144" s="526"/>
      <c r="DI144" s="526"/>
      <c r="DJ144" s="526"/>
      <c r="DK144" s="526"/>
      <c r="DL144" s="526"/>
      <c r="DM144" s="526"/>
      <c r="DN144" s="526"/>
      <c r="DO144" s="526"/>
      <c r="DP144" s="526"/>
      <c r="DQ144" s="526"/>
      <c r="DR144" s="526"/>
      <c r="DS144" s="526"/>
      <c r="DT144" s="526"/>
      <c r="DU144" s="526"/>
      <c r="DV144" s="526"/>
      <c r="DW144" s="526"/>
      <c r="DX144" s="526"/>
      <c r="DY144" s="526"/>
      <c r="DZ144" s="526"/>
      <c r="EA144" s="526"/>
      <c r="EB144" s="526"/>
      <c r="EC144" s="526"/>
      <c r="ED144" s="526"/>
      <c r="EE144" s="526"/>
      <c r="EF144" s="526"/>
      <c r="EG144" s="526"/>
      <c r="EH144" s="526"/>
      <c r="EI144" s="526"/>
      <c r="EJ144" s="526"/>
      <c r="EK144" s="526"/>
      <c r="EL144" s="526"/>
      <c r="EM144" s="526"/>
      <c r="EN144" s="526"/>
      <c r="EO144" s="526"/>
      <c r="EP144" s="526"/>
      <c r="EQ144" s="526"/>
      <c r="ER144" s="526"/>
      <c r="ES144" s="526"/>
      <c r="ET144" s="526"/>
      <c r="EU144" s="526"/>
      <c r="EV144" s="526"/>
      <c r="EW144" s="526"/>
      <c r="EX144" s="526"/>
      <c r="EY144" s="526"/>
      <c r="EZ144" s="526"/>
      <c r="FA144" s="526"/>
      <c r="FB144" s="526"/>
      <c r="FC144" s="526"/>
      <c r="FD144" s="526"/>
      <c r="FE144" s="526"/>
      <c r="FF144" s="526"/>
      <c r="FG144" s="526"/>
      <c r="FH144" s="526"/>
      <c r="FI144" s="526"/>
      <c r="FJ144" s="526"/>
      <c r="FK144" s="526"/>
      <c r="FL144" s="526"/>
      <c r="FM144" s="526"/>
      <c r="FN144" s="526"/>
      <c r="FO144" s="526"/>
      <c r="FP144" s="526"/>
      <c r="FQ144" s="526"/>
      <c r="FR144" s="526"/>
      <c r="FS144" s="526"/>
      <c r="FT144" s="526"/>
      <c r="FU144" s="526"/>
      <c r="FV144" s="526"/>
      <c r="FW144" s="526"/>
      <c r="FX144" s="526"/>
      <c r="FY144" s="526"/>
      <c r="FZ144" s="526"/>
      <c r="GA144" s="526"/>
      <c r="GB144" s="526"/>
      <c r="GC144" s="526"/>
      <c r="GD144" s="526"/>
      <c r="GE144" s="526"/>
      <c r="GF144" s="526"/>
      <c r="GG144" s="526"/>
      <c r="GH144" s="526"/>
      <c r="GI144" s="526"/>
      <c r="GJ144" s="526"/>
      <c r="GK144" s="526"/>
      <c r="GL144" s="526"/>
      <c r="GM144" s="526"/>
      <c r="GN144" s="526"/>
      <c r="GO144" s="526"/>
      <c r="GP144" s="526"/>
      <c r="GQ144" s="526"/>
      <c r="GR144" s="526"/>
      <c r="GS144" s="526"/>
      <c r="GT144" s="526"/>
      <c r="GU144" s="526"/>
      <c r="GV144" s="526"/>
      <c r="GW144" s="526"/>
      <c r="GX144" s="526"/>
      <c r="GY144" s="526"/>
      <c r="GZ144" s="526"/>
      <c r="HA144" s="526"/>
      <c r="HB144" s="526"/>
      <c r="HC144" s="526"/>
      <c r="HD144" s="526"/>
      <c r="HE144" s="526"/>
      <c r="HF144" s="526"/>
      <c r="HG144" s="526"/>
      <c r="HH144" s="526"/>
      <c r="HI144" s="526"/>
      <c r="HJ144" s="526"/>
      <c r="HK144" s="526"/>
      <c r="HL144" s="526"/>
      <c r="HM144" s="526"/>
      <c r="HN144" s="526"/>
      <c r="HO144" s="526"/>
      <c r="HP144" s="526"/>
      <c r="HQ144" s="526"/>
      <c r="HR144" s="526"/>
      <c r="HS144" s="526"/>
      <c r="HT144" s="526"/>
      <c r="HU144" s="526"/>
      <c r="HV144" s="526"/>
      <c r="HW144" s="526"/>
      <c r="HX144" s="526"/>
      <c r="HY144" s="526"/>
      <c r="HZ144" s="526"/>
      <c r="IA144" s="526"/>
      <c r="IB144" s="526"/>
      <c r="IC144" s="526"/>
      <c r="ID144" s="526"/>
      <c r="IE144" s="526"/>
      <c r="IF144" s="526"/>
      <c r="IG144" s="526"/>
      <c r="IH144" s="526"/>
      <c r="II144" s="526"/>
      <c r="IJ144" s="526"/>
      <c r="IK144" s="526"/>
      <c r="IL144" s="526"/>
      <c r="IM144" s="526"/>
      <c r="IN144" s="526"/>
      <c r="IO144" s="526"/>
      <c r="IP144" s="526"/>
      <c r="IQ144" s="526"/>
    </row>
    <row r="145" spans="1:251" ht="29.25" customHeight="1">
      <c r="A145" s="525">
        <v>136</v>
      </c>
      <c r="B145" s="538"/>
      <c r="C145" s="543">
        <v>28</v>
      </c>
      <c r="D145" s="1013" t="s">
        <v>473</v>
      </c>
      <c r="E145" s="540">
        <f>F145+G145+L149+M146</f>
        <v>6096</v>
      </c>
      <c r="F145" s="541"/>
      <c r="G145" s="1460"/>
      <c r="H145" s="753" t="s">
        <v>23</v>
      </c>
      <c r="I145" s="728"/>
      <c r="J145" s="540"/>
      <c r="K145" s="540"/>
      <c r="L145" s="551"/>
      <c r="M145" s="542"/>
      <c r="N145" s="526"/>
      <c r="O145" s="526"/>
      <c r="P145" s="526"/>
      <c r="Q145" s="526"/>
      <c r="R145" s="526"/>
      <c r="S145" s="526"/>
      <c r="T145" s="526"/>
      <c r="U145" s="526"/>
      <c r="V145" s="526"/>
      <c r="W145" s="526"/>
      <c r="X145" s="526"/>
      <c r="Y145" s="526"/>
      <c r="Z145" s="526"/>
      <c r="AA145" s="526"/>
      <c r="AB145" s="526"/>
      <c r="AC145" s="526"/>
      <c r="AD145" s="526"/>
      <c r="AE145" s="526"/>
      <c r="AF145" s="526"/>
      <c r="AG145" s="526"/>
      <c r="AH145" s="526"/>
      <c r="AI145" s="526"/>
      <c r="AJ145" s="526"/>
      <c r="AK145" s="526"/>
      <c r="AL145" s="526"/>
      <c r="AM145" s="526"/>
      <c r="AN145" s="526"/>
      <c r="AO145" s="526"/>
      <c r="AP145" s="526"/>
      <c r="AQ145" s="526"/>
      <c r="AR145" s="526"/>
      <c r="AS145" s="526"/>
      <c r="AT145" s="526"/>
      <c r="AU145" s="526"/>
      <c r="AV145" s="526"/>
      <c r="AW145" s="526"/>
      <c r="AX145" s="526"/>
      <c r="AY145" s="526"/>
      <c r="AZ145" s="526"/>
      <c r="BA145" s="526"/>
      <c r="BB145" s="526"/>
      <c r="BC145" s="526"/>
      <c r="BD145" s="526"/>
      <c r="BE145" s="526"/>
      <c r="BF145" s="526"/>
      <c r="BG145" s="526"/>
      <c r="BH145" s="526"/>
      <c r="BI145" s="526"/>
      <c r="BJ145" s="526"/>
      <c r="BK145" s="526"/>
      <c r="BL145" s="526"/>
      <c r="BM145" s="526"/>
      <c r="BN145" s="526"/>
      <c r="BO145" s="526"/>
      <c r="BP145" s="526"/>
      <c r="BQ145" s="526"/>
      <c r="BR145" s="526"/>
      <c r="BS145" s="526"/>
      <c r="BT145" s="526"/>
      <c r="BU145" s="526"/>
      <c r="BV145" s="526"/>
      <c r="BW145" s="526"/>
      <c r="BX145" s="526"/>
      <c r="BY145" s="526"/>
      <c r="BZ145" s="526"/>
      <c r="CA145" s="526"/>
      <c r="CB145" s="526"/>
      <c r="CC145" s="526"/>
      <c r="CD145" s="526"/>
      <c r="CE145" s="526"/>
      <c r="CF145" s="526"/>
      <c r="CG145" s="526"/>
      <c r="CH145" s="526"/>
      <c r="CI145" s="526"/>
      <c r="CJ145" s="526"/>
      <c r="CK145" s="526"/>
      <c r="CL145" s="526"/>
      <c r="CM145" s="526"/>
      <c r="CN145" s="526"/>
      <c r="CO145" s="526"/>
      <c r="CP145" s="526"/>
      <c r="CQ145" s="526"/>
      <c r="CR145" s="526"/>
      <c r="CS145" s="526"/>
      <c r="CT145" s="526"/>
      <c r="CU145" s="526"/>
      <c r="CV145" s="526"/>
      <c r="CW145" s="526"/>
      <c r="CX145" s="526"/>
      <c r="CY145" s="526"/>
      <c r="CZ145" s="526"/>
      <c r="DA145" s="526"/>
      <c r="DB145" s="526"/>
      <c r="DC145" s="526"/>
      <c r="DD145" s="526"/>
      <c r="DE145" s="526"/>
      <c r="DF145" s="526"/>
      <c r="DG145" s="526"/>
      <c r="DH145" s="526"/>
      <c r="DI145" s="526"/>
      <c r="DJ145" s="526"/>
      <c r="DK145" s="526"/>
      <c r="DL145" s="526"/>
      <c r="DM145" s="526"/>
      <c r="DN145" s="526"/>
      <c r="DO145" s="526"/>
      <c r="DP145" s="526"/>
      <c r="DQ145" s="526"/>
      <c r="DR145" s="526"/>
      <c r="DS145" s="526"/>
      <c r="DT145" s="526"/>
      <c r="DU145" s="526"/>
      <c r="DV145" s="526"/>
      <c r="DW145" s="526"/>
      <c r="DX145" s="526"/>
      <c r="DY145" s="526"/>
      <c r="DZ145" s="526"/>
      <c r="EA145" s="526"/>
      <c r="EB145" s="526"/>
      <c r="EC145" s="526"/>
      <c r="ED145" s="526"/>
      <c r="EE145" s="526"/>
      <c r="EF145" s="526"/>
      <c r="EG145" s="526"/>
      <c r="EH145" s="526"/>
      <c r="EI145" s="526"/>
      <c r="EJ145" s="526"/>
      <c r="EK145" s="526"/>
      <c r="EL145" s="526"/>
      <c r="EM145" s="526"/>
      <c r="EN145" s="526"/>
      <c r="EO145" s="526"/>
      <c r="EP145" s="526"/>
      <c r="EQ145" s="526"/>
      <c r="ER145" s="526"/>
      <c r="ES145" s="526"/>
      <c r="ET145" s="526"/>
      <c r="EU145" s="526"/>
      <c r="EV145" s="526"/>
      <c r="EW145" s="526"/>
      <c r="EX145" s="526"/>
      <c r="EY145" s="526"/>
      <c r="EZ145" s="526"/>
      <c r="FA145" s="526"/>
      <c r="FB145" s="526"/>
      <c r="FC145" s="526"/>
      <c r="FD145" s="526"/>
      <c r="FE145" s="526"/>
      <c r="FF145" s="526"/>
      <c r="FG145" s="526"/>
      <c r="FH145" s="526"/>
      <c r="FI145" s="526"/>
      <c r="FJ145" s="526"/>
      <c r="FK145" s="526"/>
      <c r="FL145" s="526"/>
      <c r="FM145" s="526"/>
      <c r="FN145" s="526"/>
      <c r="FO145" s="526"/>
      <c r="FP145" s="526"/>
      <c r="FQ145" s="526"/>
      <c r="FR145" s="526"/>
      <c r="FS145" s="526"/>
      <c r="FT145" s="526"/>
      <c r="FU145" s="526"/>
      <c r="FV145" s="526"/>
      <c r="FW145" s="526"/>
      <c r="FX145" s="526"/>
      <c r="FY145" s="526"/>
      <c r="FZ145" s="526"/>
      <c r="GA145" s="526"/>
      <c r="GB145" s="526"/>
      <c r="GC145" s="526"/>
      <c r="GD145" s="526"/>
      <c r="GE145" s="526"/>
      <c r="GF145" s="526"/>
      <c r="GG145" s="526"/>
      <c r="GH145" s="526"/>
      <c r="GI145" s="526"/>
      <c r="GJ145" s="526"/>
      <c r="GK145" s="526"/>
      <c r="GL145" s="526"/>
      <c r="GM145" s="526"/>
      <c r="GN145" s="526"/>
      <c r="GO145" s="526"/>
      <c r="GP145" s="526"/>
      <c r="GQ145" s="526"/>
      <c r="GR145" s="526"/>
      <c r="GS145" s="526"/>
      <c r="GT145" s="526"/>
      <c r="GU145" s="526"/>
      <c r="GV145" s="526"/>
      <c r="GW145" s="526"/>
      <c r="GX145" s="526"/>
      <c r="GY145" s="526"/>
      <c r="GZ145" s="526"/>
      <c r="HA145" s="526"/>
      <c r="HB145" s="526"/>
      <c r="HC145" s="526"/>
      <c r="HD145" s="526"/>
      <c r="HE145" s="526"/>
      <c r="HF145" s="526"/>
      <c r="HG145" s="526"/>
      <c r="HH145" s="526"/>
      <c r="HI145" s="526"/>
      <c r="HJ145" s="526"/>
      <c r="HK145" s="526"/>
      <c r="HL145" s="526"/>
      <c r="HM145" s="526"/>
      <c r="HN145" s="526"/>
      <c r="HO145" s="526"/>
      <c r="HP145" s="526"/>
      <c r="HQ145" s="526"/>
      <c r="HR145" s="526"/>
      <c r="HS145" s="526"/>
      <c r="HT145" s="526"/>
      <c r="HU145" s="526"/>
      <c r="HV145" s="526"/>
      <c r="HW145" s="526"/>
      <c r="HX145" s="526"/>
      <c r="HY145" s="526"/>
      <c r="HZ145" s="526"/>
      <c r="IA145" s="526"/>
      <c r="IB145" s="526"/>
      <c r="IC145" s="526"/>
      <c r="ID145" s="526"/>
      <c r="IE145" s="526"/>
      <c r="IF145" s="526"/>
      <c r="IG145" s="526"/>
      <c r="IH145" s="526"/>
      <c r="II145" s="526"/>
      <c r="IJ145" s="526"/>
      <c r="IK145" s="526"/>
      <c r="IL145" s="526"/>
      <c r="IM145" s="526"/>
      <c r="IN145" s="526"/>
      <c r="IO145" s="526"/>
      <c r="IP145" s="526"/>
      <c r="IQ145" s="526"/>
    </row>
    <row r="146" spans="1:251" s="1431" customFormat="1" ht="18" customHeight="1">
      <c r="A146" s="525">
        <v>137</v>
      </c>
      <c r="B146" s="1424"/>
      <c r="C146" s="1425"/>
      <c r="D146" s="594" t="s">
        <v>283</v>
      </c>
      <c r="E146" s="1422"/>
      <c r="F146" s="1426"/>
      <c r="G146" s="1461"/>
      <c r="H146" s="1427"/>
      <c r="I146" s="1428"/>
      <c r="J146" s="1422">
        <v>6096</v>
      </c>
      <c r="K146" s="1422"/>
      <c r="L146" s="1423">
        <f>SUM(I146:K146)</f>
        <v>6096</v>
      </c>
      <c r="M146" s="1429"/>
      <c r="N146" s="1430"/>
      <c r="O146" s="1430"/>
      <c r="P146" s="1430"/>
      <c r="Q146" s="1430"/>
      <c r="R146" s="1430"/>
      <c r="S146" s="1430"/>
      <c r="T146" s="1430"/>
      <c r="U146" s="1430"/>
      <c r="V146" s="1430"/>
      <c r="W146" s="1430"/>
      <c r="X146" s="1430"/>
      <c r="Y146" s="1430"/>
      <c r="Z146" s="1430"/>
      <c r="AA146" s="1430"/>
      <c r="AB146" s="1430"/>
      <c r="AC146" s="1430"/>
      <c r="AD146" s="1430"/>
      <c r="AE146" s="1430"/>
      <c r="AF146" s="1430"/>
      <c r="AG146" s="1430"/>
      <c r="AH146" s="1430"/>
      <c r="AI146" s="1430"/>
      <c r="AJ146" s="1430"/>
      <c r="AK146" s="1430"/>
      <c r="AL146" s="1430"/>
      <c r="AM146" s="1430"/>
      <c r="AN146" s="1430"/>
      <c r="AO146" s="1430"/>
      <c r="AP146" s="1430"/>
      <c r="AQ146" s="1430"/>
      <c r="AR146" s="1430"/>
      <c r="AS146" s="1430"/>
      <c r="AT146" s="1430"/>
      <c r="AU146" s="1430"/>
      <c r="AV146" s="1430"/>
      <c r="AW146" s="1430"/>
      <c r="AX146" s="1430"/>
      <c r="AY146" s="1430"/>
      <c r="AZ146" s="1430"/>
      <c r="BA146" s="1430"/>
      <c r="BB146" s="1430"/>
      <c r="BC146" s="1430"/>
      <c r="BD146" s="1430"/>
      <c r="BE146" s="1430"/>
      <c r="BF146" s="1430"/>
      <c r="BG146" s="1430"/>
      <c r="BH146" s="1430"/>
      <c r="BI146" s="1430"/>
      <c r="BJ146" s="1430"/>
      <c r="BK146" s="1430"/>
      <c r="BL146" s="1430"/>
      <c r="BM146" s="1430"/>
      <c r="BN146" s="1430"/>
      <c r="BO146" s="1430"/>
      <c r="BP146" s="1430"/>
      <c r="BQ146" s="1430"/>
      <c r="BR146" s="1430"/>
      <c r="BS146" s="1430"/>
      <c r="BT146" s="1430"/>
      <c r="BU146" s="1430"/>
      <c r="BV146" s="1430"/>
      <c r="BW146" s="1430"/>
      <c r="BX146" s="1430"/>
      <c r="BY146" s="1430"/>
      <c r="BZ146" s="1430"/>
      <c r="CA146" s="1430"/>
      <c r="CB146" s="1430"/>
      <c r="CC146" s="1430"/>
      <c r="CD146" s="1430"/>
      <c r="CE146" s="1430"/>
      <c r="CF146" s="1430"/>
      <c r="CG146" s="1430"/>
      <c r="CH146" s="1430"/>
      <c r="CI146" s="1430"/>
      <c r="CJ146" s="1430"/>
      <c r="CK146" s="1430"/>
      <c r="CL146" s="1430"/>
      <c r="CM146" s="1430"/>
      <c r="CN146" s="1430"/>
      <c r="CO146" s="1430"/>
      <c r="CP146" s="1430"/>
      <c r="CQ146" s="1430"/>
      <c r="CR146" s="1430"/>
      <c r="CS146" s="1430"/>
      <c r="CT146" s="1430"/>
      <c r="CU146" s="1430"/>
      <c r="CV146" s="1430"/>
      <c r="CW146" s="1430"/>
      <c r="CX146" s="1430"/>
      <c r="CY146" s="1430"/>
      <c r="CZ146" s="1430"/>
      <c r="DA146" s="1430"/>
      <c r="DB146" s="1430"/>
      <c r="DC146" s="1430"/>
      <c r="DD146" s="1430"/>
      <c r="DE146" s="1430"/>
      <c r="DF146" s="1430"/>
      <c r="DG146" s="1430"/>
      <c r="DH146" s="1430"/>
      <c r="DI146" s="1430"/>
      <c r="DJ146" s="1430"/>
      <c r="DK146" s="1430"/>
      <c r="DL146" s="1430"/>
      <c r="DM146" s="1430"/>
      <c r="DN146" s="1430"/>
      <c r="DO146" s="1430"/>
      <c r="DP146" s="1430"/>
      <c r="DQ146" s="1430"/>
      <c r="DR146" s="1430"/>
      <c r="DS146" s="1430"/>
      <c r="DT146" s="1430"/>
      <c r="DU146" s="1430"/>
      <c r="DV146" s="1430"/>
      <c r="DW146" s="1430"/>
      <c r="DX146" s="1430"/>
      <c r="DY146" s="1430"/>
      <c r="DZ146" s="1430"/>
      <c r="EA146" s="1430"/>
      <c r="EB146" s="1430"/>
      <c r="EC146" s="1430"/>
      <c r="ED146" s="1430"/>
      <c r="EE146" s="1430"/>
      <c r="EF146" s="1430"/>
      <c r="EG146" s="1430"/>
      <c r="EH146" s="1430"/>
      <c r="EI146" s="1430"/>
      <c r="EJ146" s="1430"/>
      <c r="EK146" s="1430"/>
      <c r="EL146" s="1430"/>
      <c r="EM146" s="1430"/>
      <c r="EN146" s="1430"/>
      <c r="EO146" s="1430"/>
      <c r="EP146" s="1430"/>
      <c r="EQ146" s="1430"/>
      <c r="ER146" s="1430"/>
      <c r="ES146" s="1430"/>
      <c r="ET146" s="1430"/>
      <c r="EU146" s="1430"/>
      <c r="EV146" s="1430"/>
      <c r="EW146" s="1430"/>
      <c r="EX146" s="1430"/>
      <c r="EY146" s="1430"/>
      <c r="EZ146" s="1430"/>
      <c r="FA146" s="1430"/>
      <c r="FB146" s="1430"/>
      <c r="FC146" s="1430"/>
      <c r="FD146" s="1430"/>
      <c r="FE146" s="1430"/>
      <c r="FF146" s="1430"/>
      <c r="FG146" s="1430"/>
      <c r="FH146" s="1430"/>
      <c r="FI146" s="1430"/>
      <c r="FJ146" s="1430"/>
      <c r="FK146" s="1430"/>
      <c r="FL146" s="1430"/>
      <c r="FM146" s="1430"/>
      <c r="FN146" s="1430"/>
      <c r="FO146" s="1430"/>
      <c r="FP146" s="1430"/>
      <c r="FQ146" s="1430"/>
      <c r="FR146" s="1430"/>
      <c r="FS146" s="1430"/>
      <c r="FT146" s="1430"/>
      <c r="FU146" s="1430"/>
      <c r="FV146" s="1430"/>
      <c r="FW146" s="1430"/>
      <c r="FX146" s="1430"/>
      <c r="FY146" s="1430"/>
      <c r="FZ146" s="1430"/>
      <c r="GA146" s="1430"/>
      <c r="GB146" s="1430"/>
      <c r="GC146" s="1430"/>
      <c r="GD146" s="1430"/>
      <c r="GE146" s="1430"/>
      <c r="GF146" s="1430"/>
      <c r="GG146" s="1430"/>
      <c r="GH146" s="1430"/>
      <c r="GI146" s="1430"/>
      <c r="GJ146" s="1430"/>
      <c r="GK146" s="1430"/>
      <c r="GL146" s="1430"/>
      <c r="GM146" s="1430"/>
      <c r="GN146" s="1430"/>
      <c r="GO146" s="1430"/>
      <c r="GP146" s="1430"/>
      <c r="GQ146" s="1430"/>
      <c r="GR146" s="1430"/>
      <c r="GS146" s="1430"/>
      <c r="GT146" s="1430"/>
      <c r="GU146" s="1430"/>
      <c r="GV146" s="1430"/>
      <c r="GW146" s="1430"/>
      <c r="GX146" s="1430"/>
      <c r="GY146" s="1430"/>
      <c r="GZ146" s="1430"/>
      <c r="HA146" s="1430"/>
      <c r="HB146" s="1430"/>
      <c r="HC146" s="1430"/>
      <c r="HD146" s="1430"/>
      <c r="HE146" s="1430"/>
      <c r="HF146" s="1430"/>
      <c r="HG146" s="1430"/>
      <c r="HH146" s="1430"/>
      <c r="HI146" s="1430"/>
      <c r="HJ146" s="1430"/>
      <c r="HK146" s="1430"/>
      <c r="HL146" s="1430"/>
      <c r="HM146" s="1430"/>
      <c r="HN146" s="1430"/>
      <c r="HO146" s="1430"/>
      <c r="HP146" s="1430"/>
      <c r="HQ146" s="1430"/>
      <c r="HR146" s="1430"/>
      <c r="HS146" s="1430"/>
      <c r="HT146" s="1430"/>
      <c r="HU146" s="1430"/>
      <c r="HV146" s="1430"/>
      <c r="HW146" s="1430"/>
      <c r="HX146" s="1430"/>
      <c r="HY146" s="1430"/>
      <c r="HZ146" s="1430"/>
      <c r="IA146" s="1430"/>
      <c r="IB146" s="1430"/>
      <c r="IC146" s="1430"/>
      <c r="ID146" s="1430"/>
      <c r="IE146" s="1430"/>
      <c r="IF146" s="1430"/>
      <c r="IG146" s="1430"/>
      <c r="IH146" s="1430"/>
      <c r="II146" s="1430"/>
      <c r="IJ146" s="1430"/>
      <c r="IK146" s="1430"/>
      <c r="IL146" s="1430"/>
      <c r="IM146" s="1430"/>
      <c r="IN146" s="1430"/>
      <c r="IO146" s="1430"/>
      <c r="IP146" s="1430"/>
      <c r="IQ146" s="1430"/>
    </row>
    <row r="147" spans="1:251" s="1431" customFormat="1" ht="18" customHeight="1">
      <c r="A147" s="525">
        <v>138</v>
      </c>
      <c r="B147" s="1424"/>
      <c r="C147" s="1425"/>
      <c r="D147" s="483" t="s">
        <v>938</v>
      </c>
      <c r="E147" s="1422"/>
      <c r="F147" s="1426"/>
      <c r="G147" s="1461"/>
      <c r="H147" s="1427"/>
      <c r="I147" s="1428"/>
      <c r="J147" s="1561">
        <v>6096</v>
      </c>
      <c r="K147" s="1561"/>
      <c r="L147" s="1669">
        <f>SUM(I147:K147)</f>
        <v>6096</v>
      </c>
      <c r="M147" s="1429"/>
      <c r="N147" s="1430"/>
      <c r="O147" s="1430"/>
      <c r="P147" s="1430"/>
      <c r="Q147" s="1430"/>
      <c r="R147" s="1430"/>
      <c r="S147" s="1430"/>
      <c r="T147" s="1430"/>
      <c r="U147" s="1430"/>
      <c r="V147" s="1430"/>
      <c r="W147" s="1430"/>
      <c r="X147" s="1430"/>
      <c r="Y147" s="1430"/>
      <c r="Z147" s="1430"/>
      <c r="AA147" s="1430"/>
      <c r="AB147" s="1430"/>
      <c r="AC147" s="1430"/>
      <c r="AD147" s="1430"/>
      <c r="AE147" s="1430"/>
      <c r="AF147" s="1430"/>
      <c r="AG147" s="1430"/>
      <c r="AH147" s="1430"/>
      <c r="AI147" s="1430"/>
      <c r="AJ147" s="1430"/>
      <c r="AK147" s="1430"/>
      <c r="AL147" s="1430"/>
      <c r="AM147" s="1430"/>
      <c r="AN147" s="1430"/>
      <c r="AO147" s="1430"/>
      <c r="AP147" s="1430"/>
      <c r="AQ147" s="1430"/>
      <c r="AR147" s="1430"/>
      <c r="AS147" s="1430"/>
      <c r="AT147" s="1430"/>
      <c r="AU147" s="1430"/>
      <c r="AV147" s="1430"/>
      <c r="AW147" s="1430"/>
      <c r="AX147" s="1430"/>
      <c r="AY147" s="1430"/>
      <c r="AZ147" s="1430"/>
      <c r="BA147" s="1430"/>
      <c r="BB147" s="1430"/>
      <c r="BC147" s="1430"/>
      <c r="BD147" s="1430"/>
      <c r="BE147" s="1430"/>
      <c r="BF147" s="1430"/>
      <c r="BG147" s="1430"/>
      <c r="BH147" s="1430"/>
      <c r="BI147" s="1430"/>
      <c r="BJ147" s="1430"/>
      <c r="BK147" s="1430"/>
      <c r="BL147" s="1430"/>
      <c r="BM147" s="1430"/>
      <c r="BN147" s="1430"/>
      <c r="BO147" s="1430"/>
      <c r="BP147" s="1430"/>
      <c r="BQ147" s="1430"/>
      <c r="BR147" s="1430"/>
      <c r="BS147" s="1430"/>
      <c r="BT147" s="1430"/>
      <c r="BU147" s="1430"/>
      <c r="BV147" s="1430"/>
      <c r="BW147" s="1430"/>
      <c r="BX147" s="1430"/>
      <c r="BY147" s="1430"/>
      <c r="BZ147" s="1430"/>
      <c r="CA147" s="1430"/>
      <c r="CB147" s="1430"/>
      <c r="CC147" s="1430"/>
      <c r="CD147" s="1430"/>
      <c r="CE147" s="1430"/>
      <c r="CF147" s="1430"/>
      <c r="CG147" s="1430"/>
      <c r="CH147" s="1430"/>
      <c r="CI147" s="1430"/>
      <c r="CJ147" s="1430"/>
      <c r="CK147" s="1430"/>
      <c r="CL147" s="1430"/>
      <c r="CM147" s="1430"/>
      <c r="CN147" s="1430"/>
      <c r="CO147" s="1430"/>
      <c r="CP147" s="1430"/>
      <c r="CQ147" s="1430"/>
      <c r="CR147" s="1430"/>
      <c r="CS147" s="1430"/>
      <c r="CT147" s="1430"/>
      <c r="CU147" s="1430"/>
      <c r="CV147" s="1430"/>
      <c r="CW147" s="1430"/>
      <c r="CX147" s="1430"/>
      <c r="CY147" s="1430"/>
      <c r="CZ147" s="1430"/>
      <c r="DA147" s="1430"/>
      <c r="DB147" s="1430"/>
      <c r="DC147" s="1430"/>
      <c r="DD147" s="1430"/>
      <c r="DE147" s="1430"/>
      <c r="DF147" s="1430"/>
      <c r="DG147" s="1430"/>
      <c r="DH147" s="1430"/>
      <c r="DI147" s="1430"/>
      <c r="DJ147" s="1430"/>
      <c r="DK147" s="1430"/>
      <c r="DL147" s="1430"/>
      <c r="DM147" s="1430"/>
      <c r="DN147" s="1430"/>
      <c r="DO147" s="1430"/>
      <c r="DP147" s="1430"/>
      <c r="DQ147" s="1430"/>
      <c r="DR147" s="1430"/>
      <c r="DS147" s="1430"/>
      <c r="DT147" s="1430"/>
      <c r="DU147" s="1430"/>
      <c r="DV147" s="1430"/>
      <c r="DW147" s="1430"/>
      <c r="DX147" s="1430"/>
      <c r="DY147" s="1430"/>
      <c r="DZ147" s="1430"/>
      <c r="EA147" s="1430"/>
      <c r="EB147" s="1430"/>
      <c r="EC147" s="1430"/>
      <c r="ED147" s="1430"/>
      <c r="EE147" s="1430"/>
      <c r="EF147" s="1430"/>
      <c r="EG147" s="1430"/>
      <c r="EH147" s="1430"/>
      <c r="EI147" s="1430"/>
      <c r="EJ147" s="1430"/>
      <c r="EK147" s="1430"/>
      <c r="EL147" s="1430"/>
      <c r="EM147" s="1430"/>
      <c r="EN147" s="1430"/>
      <c r="EO147" s="1430"/>
      <c r="EP147" s="1430"/>
      <c r="EQ147" s="1430"/>
      <c r="ER147" s="1430"/>
      <c r="ES147" s="1430"/>
      <c r="ET147" s="1430"/>
      <c r="EU147" s="1430"/>
      <c r="EV147" s="1430"/>
      <c r="EW147" s="1430"/>
      <c r="EX147" s="1430"/>
      <c r="EY147" s="1430"/>
      <c r="EZ147" s="1430"/>
      <c r="FA147" s="1430"/>
      <c r="FB147" s="1430"/>
      <c r="FC147" s="1430"/>
      <c r="FD147" s="1430"/>
      <c r="FE147" s="1430"/>
      <c r="FF147" s="1430"/>
      <c r="FG147" s="1430"/>
      <c r="FH147" s="1430"/>
      <c r="FI147" s="1430"/>
      <c r="FJ147" s="1430"/>
      <c r="FK147" s="1430"/>
      <c r="FL147" s="1430"/>
      <c r="FM147" s="1430"/>
      <c r="FN147" s="1430"/>
      <c r="FO147" s="1430"/>
      <c r="FP147" s="1430"/>
      <c r="FQ147" s="1430"/>
      <c r="FR147" s="1430"/>
      <c r="FS147" s="1430"/>
      <c r="FT147" s="1430"/>
      <c r="FU147" s="1430"/>
      <c r="FV147" s="1430"/>
      <c r="FW147" s="1430"/>
      <c r="FX147" s="1430"/>
      <c r="FY147" s="1430"/>
      <c r="FZ147" s="1430"/>
      <c r="GA147" s="1430"/>
      <c r="GB147" s="1430"/>
      <c r="GC147" s="1430"/>
      <c r="GD147" s="1430"/>
      <c r="GE147" s="1430"/>
      <c r="GF147" s="1430"/>
      <c r="GG147" s="1430"/>
      <c r="GH147" s="1430"/>
      <c r="GI147" s="1430"/>
      <c r="GJ147" s="1430"/>
      <c r="GK147" s="1430"/>
      <c r="GL147" s="1430"/>
      <c r="GM147" s="1430"/>
      <c r="GN147" s="1430"/>
      <c r="GO147" s="1430"/>
      <c r="GP147" s="1430"/>
      <c r="GQ147" s="1430"/>
      <c r="GR147" s="1430"/>
      <c r="GS147" s="1430"/>
      <c r="GT147" s="1430"/>
      <c r="GU147" s="1430"/>
      <c r="GV147" s="1430"/>
      <c r="GW147" s="1430"/>
      <c r="GX147" s="1430"/>
      <c r="GY147" s="1430"/>
      <c r="GZ147" s="1430"/>
      <c r="HA147" s="1430"/>
      <c r="HB147" s="1430"/>
      <c r="HC147" s="1430"/>
      <c r="HD147" s="1430"/>
      <c r="HE147" s="1430"/>
      <c r="HF147" s="1430"/>
      <c r="HG147" s="1430"/>
      <c r="HH147" s="1430"/>
      <c r="HI147" s="1430"/>
      <c r="HJ147" s="1430"/>
      <c r="HK147" s="1430"/>
      <c r="HL147" s="1430"/>
      <c r="HM147" s="1430"/>
      <c r="HN147" s="1430"/>
      <c r="HO147" s="1430"/>
      <c r="HP147" s="1430"/>
      <c r="HQ147" s="1430"/>
      <c r="HR147" s="1430"/>
      <c r="HS147" s="1430"/>
      <c r="HT147" s="1430"/>
      <c r="HU147" s="1430"/>
      <c r="HV147" s="1430"/>
      <c r="HW147" s="1430"/>
      <c r="HX147" s="1430"/>
      <c r="HY147" s="1430"/>
      <c r="HZ147" s="1430"/>
      <c r="IA147" s="1430"/>
      <c r="IB147" s="1430"/>
      <c r="IC147" s="1430"/>
      <c r="ID147" s="1430"/>
      <c r="IE147" s="1430"/>
      <c r="IF147" s="1430"/>
      <c r="IG147" s="1430"/>
      <c r="IH147" s="1430"/>
      <c r="II147" s="1430"/>
      <c r="IJ147" s="1430"/>
      <c r="IK147" s="1430"/>
      <c r="IL147" s="1430"/>
      <c r="IM147" s="1430"/>
      <c r="IN147" s="1430"/>
      <c r="IO147" s="1430"/>
      <c r="IP147" s="1430"/>
      <c r="IQ147" s="1430"/>
    </row>
    <row r="148" spans="1:251" ht="18" customHeight="1">
      <c r="A148" s="525">
        <v>139</v>
      </c>
      <c r="B148" s="538"/>
      <c r="C148" s="543"/>
      <c r="D148" s="1146" t="s">
        <v>674</v>
      </c>
      <c r="E148" s="540"/>
      <c r="F148" s="541"/>
      <c r="G148" s="1460"/>
      <c r="H148" s="753"/>
      <c r="I148" s="728"/>
      <c r="J148" s="540"/>
      <c r="K148" s="540"/>
      <c r="L148" s="1241">
        <f>SUM(I148:K148)</f>
        <v>0</v>
      </c>
      <c r="M148" s="542"/>
      <c r="N148" s="526"/>
      <c r="O148" s="526"/>
      <c r="P148" s="526"/>
      <c r="Q148" s="526"/>
      <c r="R148" s="526"/>
      <c r="S148" s="526"/>
      <c r="T148" s="526"/>
      <c r="U148" s="526"/>
      <c r="V148" s="526"/>
      <c r="W148" s="526"/>
      <c r="X148" s="526"/>
      <c r="Y148" s="526"/>
      <c r="Z148" s="526"/>
      <c r="AA148" s="526"/>
      <c r="AB148" s="526"/>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26"/>
      <c r="AY148" s="526"/>
      <c r="AZ148" s="526"/>
      <c r="BA148" s="526"/>
      <c r="BB148" s="526"/>
      <c r="BC148" s="526"/>
      <c r="BD148" s="526"/>
      <c r="BE148" s="526"/>
      <c r="BF148" s="526"/>
      <c r="BG148" s="526"/>
      <c r="BH148" s="526"/>
      <c r="BI148" s="526"/>
      <c r="BJ148" s="526"/>
      <c r="BK148" s="526"/>
      <c r="BL148" s="526"/>
      <c r="BM148" s="526"/>
      <c r="BN148" s="526"/>
      <c r="BO148" s="526"/>
      <c r="BP148" s="526"/>
      <c r="BQ148" s="526"/>
      <c r="BR148" s="526"/>
      <c r="BS148" s="526"/>
      <c r="BT148" s="526"/>
      <c r="BU148" s="526"/>
      <c r="BV148" s="526"/>
      <c r="BW148" s="526"/>
      <c r="BX148" s="526"/>
      <c r="BY148" s="526"/>
      <c r="BZ148" s="526"/>
      <c r="CA148" s="526"/>
      <c r="CB148" s="526"/>
      <c r="CC148" s="526"/>
      <c r="CD148" s="526"/>
      <c r="CE148" s="526"/>
      <c r="CF148" s="526"/>
      <c r="CG148" s="526"/>
      <c r="CH148" s="526"/>
      <c r="CI148" s="526"/>
      <c r="CJ148" s="526"/>
      <c r="CK148" s="526"/>
      <c r="CL148" s="526"/>
      <c r="CM148" s="526"/>
      <c r="CN148" s="526"/>
      <c r="CO148" s="526"/>
      <c r="CP148" s="526"/>
      <c r="CQ148" s="526"/>
      <c r="CR148" s="526"/>
      <c r="CS148" s="526"/>
      <c r="CT148" s="526"/>
      <c r="CU148" s="526"/>
      <c r="CV148" s="526"/>
      <c r="CW148" s="526"/>
      <c r="CX148" s="526"/>
      <c r="CY148" s="526"/>
      <c r="CZ148" s="526"/>
      <c r="DA148" s="526"/>
      <c r="DB148" s="526"/>
      <c r="DC148" s="526"/>
      <c r="DD148" s="526"/>
      <c r="DE148" s="526"/>
      <c r="DF148" s="526"/>
      <c r="DG148" s="526"/>
      <c r="DH148" s="526"/>
      <c r="DI148" s="526"/>
      <c r="DJ148" s="526"/>
      <c r="DK148" s="526"/>
      <c r="DL148" s="526"/>
      <c r="DM148" s="526"/>
      <c r="DN148" s="526"/>
      <c r="DO148" s="526"/>
      <c r="DP148" s="526"/>
      <c r="DQ148" s="526"/>
      <c r="DR148" s="526"/>
      <c r="DS148" s="526"/>
      <c r="DT148" s="526"/>
      <c r="DU148" s="526"/>
      <c r="DV148" s="526"/>
      <c r="DW148" s="526"/>
      <c r="DX148" s="526"/>
      <c r="DY148" s="526"/>
      <c r="DZ148" s="526"/>
      <c r="EA148" s="526"/>
      <c r="EB148" s="526"/>
      <c r="EC148" s="526"/>
      <c r="ED148" s="526"/>
      <c r="EE148" s="526"/>
      <c r="EF148" s="526"/>
      <c r="EG148" s="526"/>
      <c r="EH148" s="526"/>
      <c r="EI148" s="526"/>
      <c r="EJ148" s="526"/>
      <c r="EK148" s="526"/>
      <c r="EL148" s="526"/>
      <c r="EM148" s="526"/>
      <c r="EN148" s="526"/>
      <c r="EO148" s="526"/>
      <c r="EP148" s="526"/>
      <c r="EQ148" s="526"/>
      <c r="ER148" s="526"/>
      <c r="ES148" s="526"/>
      <c r="ET148" s="526"/>
      <c r="EU148" s="526"/>
      <c r="EV148" s="526"/>
      <c r="EW148" s="526"/>
      <c r="EX148" s="526"/>
      <c r="EY148" s="526"/>
      <c r="EZ148" s="526"/>
      <c r="FA148" s="526"/>
      <c r="FB148" s="526"/>
      <c r="FC148" s="526"/>
      <c r="FD148" s="526"/>
      <c r="FE148" s="526"/>
      <c r="FF148" s="526"/>
      <c r="FG148" s="526"/>
      <c r="FH148" s="526"/>
      <c r="FI148" s="526"/>
      <c r="FJ148" s="526"/>
      <c r="FK148" s="526"/>
      <c r="FL148" s="526"/>
      <c r="FM148" s="526"/>
      <c r="FN148" s="526"/>
      <c r="FO148" s="526"/>
      <c r="FP148" s="526"/>
      <c r="FQ148" s="526"/>
      <c r="FR148" s="526"/>
      <c r="FS148" s="526"/>
      <c r="FT148" s="526"/>
      <c r="FU148" s="526"/>
      <c r="FV148" s="526"/>
      <c r="FW148" s="526"/>
      <c r="FX148" s="526"/>
      <c r="FY148" s="526"/>
      <c r="FZ148" s="526"/>
      <c r="GA148" s="526"/>
      <c r="GB148" s="526"/>
      <c r="GC148" s="526"/>
      <c r="GD148" s="526"/>
      <c r="GE148" s="526"/>
      <c r="GF148" s="526"/>
      <c r="GG148" s="526"/>
      <c r="GH148" s="526"/>
      <c r="GI148" s="526"/>
      <c r="GJ148" s="526"/>
      <c r="GK148" s="526"/>
      <c r="GL148" s="526"/>
      <c r="GM148" s="526"/>
      <c r="GN148" s="526"/>
      <c r="GO148" s="526"/>
      <c r="GP148" s="526"/>
      <c r="GQ148" s="526"/>
      <c r="GR148" s="526"/>
      <c r="GS148" s="526"/>
      <c r="GT148" s="526"/>
      <c r="GU148" s="526"/>
      <c r="GV148" s="526"/>
      <c r="GW148" s="526"/>
      <c r="GX148" s="526"/>
      <c r="GY148" s="526"/>
      <c r="GZ148" s="526"/>
      <c r="HA148" s="526"/>
      <c r="HB148" s="526"/>
      <c r="HC148" s="526"/>
      <c r="HD148" s="526"/>
      <c r="HE148" s="526"/>
      <c r="HF148" s="526"/>
      <c r="HG148" s="526"/>
      <c r="HH148" s="526"/>
      <c r="HI148" s="526"/>
      <c r="HJ148" s="526"/>
      <c r="HK148" s="526"/>
      <c r="HL148" s="526"/>
      <c r="HM148" s="526"/>
      <c r="HN148" s="526"/>
      <c r="HO148" s="526"/>
      <c r="HP148" s="526"/>
      <c r="HQ148" s="526"/>
      <c r="HR148" s="526"/>
      <c r="HS148" s="526"/>
      <c r="HT148" s="526"/>
      <c r="HU148" s="526"/>
      <c r="HV148" s="526"/>
      <c r="HW148" s="526"/>
      <c r="HX148" s="526"/>
      <c r="HY148" s="526"/>
      <c r="HZ148" s="526"/>
      <c r="IA148" s="526"/>
      <c r="IB148" s="526"/>
      <c r="IC148" s="526"/>
      <c r="ID148" s="526"/>
      <c r="IE148" s="526"/>
      <c r="IF148" s="526"/>
      <c r="IG148" s="526"/>
      <c r="IH148" s="526"/>
      <c r="II148" s="526"/>
      <c r="IJ148" s="526"/>
      <c r="IK148" s="526"/>
      <c r="IL148" s="526"/>
      <c r="IM148" s="526"/>
      <c r="IN148" s="526"/>
      <c r="IO148" s="526"/>
      <c r="IP148" s="526"/>
      <c r="IQ148" s="526"/>
    </row>
    <row r="149" spans="1:251" ht="18" customHeight="1">
      <c r="A149" s="525">
        <v>140</v>
      </c>
      <c r="B149" s="538"/>
      <c r="C149" s="543"/>
      <c r="D149" s="483" t="s">
        <v>1091</v>
      </c>
      <c r="E149" s="540"/>
      <c r="F149" s="541"/>
      <c r="G149" s="1460"/>
      <c r="H149" s="753"/>
      <c r="I149" s="728"/>
      <c r="J149" s="1561">
        <f>SUM(J147:J148)</f>
        <v>6096</v>
      </c>
      <c r="K149" s="540"/>
      <c r="L149" s="1238">
        <f>SUM(I149:K149)</f>
        <v>6096</v>
      </c>
      <c r="M149" s="542"/>
      <c r="N149" s="526"/>
      <c r="O149" s="526"/>
      <c r="P149" s="526"/>
      <c r="Q149" s="526"/>
      <c r="R149" s="526"/>
      <c r="S149" s="526"/>
      <c r="T149" s="526"/>
      <c r="U149" s="526"/>
      <c r="V149" s="526"/>
      <c r="W149" s="526"/>
      <c r="X149" s="526"/>
      <c r="Y149" s="526"/>
      <c r="Z149" s="526"/>
      <c r="AA149" s="526"/>
      <c r="AB149" s="526"/>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26"/>
      <c r="AY149" s="526"/>
      <c r="AZ149" s="526"/>
      <c r="BA149" s="526"/>
      <c r="BB149" s="526"/>
      <c r="BC149" s="526"/>
      <c r="BD149" s="526"/>
      <c r="BE149" s="526"/>
      <c r="BF149" s="526"/>
      <c r="BG149" s="526"/>
      <c r="BH149" s="526"/>
      <c r="BI149" s="526"/>
      <c r="BJ149" s="526"/>
      <c r="BK149" s="526"/>
      <c r="BL149" s="526"/>
      <c r="BM149" s="526"/>
      <c r="BN149" s="526"/>
      <c r="BO149" s="526"/>
      <c r="BP149" s="526"/>
      <c r="BQ149" s="526"/>
      <c r="BR149" s="526"/>
      <c r="BS149" s="526"/>
      <c r="BT149" s="526"/>
      <c r="BU149" s="526"/>
      <c r="BV149" s="526"/>
      <c r="BW149" s="526"/>
      <c r="BX149" s="526"/>
      <c r="BY149" s="526"/>
      <c r="BZ149" s="526"/>
      <c r="CA149" s="526"/>
      <c r="CB149" s="526"/>
      <c r="CC149" s="526"/>
      <c r="CD149" s="526"/>
      <c r="CE149" s="526"/>
      <c r="CF149" s="526"/>
      <c r="CG149" s="526"/>
      <c r="CH149" s="526"/>
      <c r="CI149" s="526"/>
      <c r="CJ149" s="526"/>
      <c r="CK149" s="526"/>
      <c r="CL149" s="526"/>
      <c r="CM149" s="526"/>
      <c r="CN149" s="526"/>
      <c r="CO149" s="526"/>
      <c r="CP149" s="526"/>
      <c r="CQ149" s="526"/>
      <c r="CR149" s="526"/>
      <c r="CS149" s="526"/>
      <c r="CT149" s="526"/>
      <c r="CU149" s="526"/>
      <c r="CV149" s="526"/>
      <c r="CW149" s="526"/>
      <c r="CX149" s="526"/>
      <c r="CY149" s="526"/>
      <c r="CZ149" s="526"/>
      <c r="DA149" s="526"/>
      <c r="DB149" s="526"/>
      <c r="DC149" s="526"/>
      <c r="DD149" s="526"/>
      <c r="DE149" s="526"/>
      <c r="DF149" s="526"/>
      <c r="DG149" s="526"/>
      <c r="DH149" s="526"/>
      <c r="DI149" s="526"/>
      <c r="DJ149" s="526"/>
      <c r="DK149" s="526"/>
      <c r="DL149" s="526"/>
      <c r="DM149" s="526"/>
      <c r="DN149" s="526"/>
      <c r="DO149" s="526"/>
      <c r="DP149" s="526"/>
      <c r="DQ149" s="526"/>
      <c r="DR149" s="526"/>
      <c r="DS149" s="526"/>
      <c r="DT149" s="526"/>
      <c r="DU149" s="526"/>
      <c r="DV149" s="526"/>
      <c r="DW149" s="526"/>
      <c r="DX149" s="526"/>
      <c r="DY149" s="526"/>
      <c r="DZ149" s="526"/>
      <c r="EA149" s="526"/>
      <c r="EB149" s="526"/>
      <c r="EC149" s="526"/>
      <c r="ED149" s="526"/>
      <c r="EE149" s="526"/>
      <c r="EF149" s="526"/>
      <c r="EG149" s="526"/>
      <c r="EH149" s="526"/>
      <c r="EI149" s="526"/>
      <c r="EJ149" s="526"/>
      <c r="EK149" s="526"/>
      <c r="EL149" s="526"/>
      <c r="EM149" s="526"/>
      <c r="EN149" s="526"/>
      <c r="EO149" s="526"/>
      <c r="EP149" s="526"/>
      <c r="EQ149" s="526"/>
      <c r="ER149" s="526"/>
      <c r="ES149" s="526"/>
      <c r="ET149" s="526"/>
      <c r="EU149" s="526"/>
      <c r="EV149" s="526"/>
      <c r="EW149" s="526"/>
      <c r="EX149" s="526"/>
      <c r="EY149" s="526"/>
      <c r="EZ149" s="526"/>
      <c r="FA149" s="526"/>
      <c r="FB149" s="526"/>
      <c r="FC149" s="526"/>
      <c r="FD149" s="526"/>
      <c r="FE149" s="526"/>
      <c r="FF149" s="526"/>
      <c r="FG149" s="526"/>
      <c r="FH149" s="526"/>
      <c r="FI149" s="526"/>
      <c r="FJ149" s="526"/>
      <c r="FK149" s="526"/>
      <c r="FL149" s="526"/>
      <c r="FM149" s="526"/>
      <c r="FN149" s="526"/>
      <c r="FO149" s="526"/>
      <c r="FP149" s="526"/>
      <c r="FQ149" s="526"/>
      <c r="FR149" s="526"/>
      <c r="FS149" s="526"/>
      <c r="FT149" s="526"/>
      <c r="FU149" s="526"/>
      <c r="FV149" s="526"/>
      <c r="FW149" s="526"/>
      <c r="FX149" s="526"/>
      <c r="FY149" s="526"/>
      <c r="FZ149" s="526"/>
      <c r="GA149" s="526"/>
      <c r="GB149" s="526"/>
      <c r="GC149" s="526"/>
      <c r="GD149" s="526"/>
      <c r="GE149" s="526"/>
      <c r="GF149" s="526"/>
      <c r="GG149" s="526"/>
      <c r="GH149" s="526"/>
      <c r="GI149" s="526"/>
      <c r="GJ149" s="526"/>
      <c r="GK149" s="526"/>
      <c r="GL149" s="526"/>
      <c r="GM149" s="526"/>
      <c r="GN149" s="526"/>
      <c r="GO149" s="526"/>
      <c r="GP149" s="526"/>
      <c r="GQ149" s="526"/>
      <c r="GR149" s="526"/>
      <c r="GS149" s="526"/>
      <c r="GT149" s="526"/>
      <c r="GU149" s="526"/>
      <c r="GV149" s="526"/>
      <c r="GW149" s="526"/>
      <c r="GX149" s="526"/>
      <c r="GY149" s="526"/>
      <c r="GZ149" s="526"/>
      <c r="HA149" s="526"/>
      <c r="HB149" s="526"/>
      <c r="HC149" s="526"/>
      <c r="HD149" s="526"/>
      <c r="HE149" s="526"/>
      <c r="HF149" s="526"/>
      <c r="HG149" s="526"/>
      <c r="HH149" s="526"/>
      <c r="HI149" s="526"/>
      <c r="HJ149" s="526"/>
      <c r="HK149" s="526"/>
      <c r="HL149" s="526"/>
      <c r="HM149" s="526"/>
      <c r="HN149" s="526"/>
      <c r="HO149" s="526"/>
      <c r="HP149" s="526"/>
      <c r="HQ149" s="526"/>
      <c r="HR149" s="526"/>
      <c r="HS149" s="526"/>
      <c r="HT149" s="526"/>
      <c r="HU149" s="526"/>
      <c r="HV149" s="526"/>
      <c r="HW149" s="526"/>
      <c r="HX149" s="526"/>
      <c r="HY149" s="526"/>
      <c r="HZ149" s="526"/>
      <c r="IA149" s="526"/>
      <c r="IB149" s="526"/>
      <c r="IC149" s="526"/>
      <c r="ID149" s="526"/>
      <c r="IE149" s="526"/>
      <c r="IF149" s="526"/>
      <c r="IG149" s="526"/>
      <c r="IH149" s="526"/>
      <c r="II149" s="526"/>
      <c r="IJ149" s="526"/>
      <c r="IK149" s="526"/>
      <c r="IL149" s="526"/>
      <c r="IM149" s="526"/>
      <c r="IN149" s="526"/>
      <c r="IO149" s="526"/>
      <c r="IP149" s="526"/>
      <c r="IQ149" s="526"/>
    </row>
    <row r="150" spans="1:251" ht="22.5" customHeight="1">
      <c r="A150" s="525">
        <v>141</v>
      </c>
      <c r="B150" s="538"/>
      <c r="C150" s="539">
        <v>29</v>
      </c>
      <c r="D150" s="328" t="s">
        <v>632</v>
      </c>
      <c r="E150" s="540">
        <f>F150+G150+L154+M151</f>
        <v>33812</v>
      </c>
      <c r="F150" s="541"/>
      <c r="G150" s="1460"/>
      <c r="H150" s="753" t="s">
        <v>23</v>
      </c>
      <c r="I150" s="728"/>
      <c r="J150" s="540"/>
      <c r="K150" s="540"/>
      <c r="L150" s="551"/>
      <c r="M150" s="542"/>
      <c r="N150" s="526"/>
      <c r="O150" s="526"/>
      <c r="P150" s="526"/>
      <c r="Q150" s="526"/>
      <c r="R150" s="526"/>
      <c r="S150" s="526"/>
      <c r="T150" s="526"/>
      <c r="U150" s="526"/>
      <c r="V150" s="526"/>
      <c r="W150" s="526"/>
      <c r="X150" s="526"/>
      <c r="Y150" s="526"/>
      <c r="Z150" s="526"/>
      <c r="AA150" s="526"/>
      <c r="AB150" s="526"/>
      <c r="AC150" s="526"/>
      <c r="AD150" s="526"/>
      <c r="AE150" s="526"/>
      <c r="AF150" s="526"/>
      <c r="AG150" s="526"/>
      <c r="AH150" s="526"/>
      <c r="AI150" s="526"/>
      <c r="AJ150" s="526"/>
      <c r="AK150" s="526"/>
      <c r="AL150" s="526"/>
      <c r="AM150" s="526"/>
      <c r="AN150" s="526"/>
      <c r="AO150" s="526"/>
      <c r="AP150" s="526"/>
      <c r="AQ150" s="526"/>
      <c r="AR150" s="526"/>
      <c r="AS150" s="526"/>
      <c r="AT150" s="526"/>
      <c r="AU150" s="526"/>
      <c r="AV150" s="526"/>
      <c r="AW150" s="526"/>
      <c r="AX150" s="526"/>
      <c r="AY150" s="526"/>
      <c r="AZ150" s="526"/>
      <c r="BA150" s="526"/>
      <c r="BB150" s="526"/>
      <c r="BC150" s="526"/>
      <c r="BD150" s="526"/>
      <c r="BE150" s="526"/>
      <c r="BF150" s="526"/>
      <c r="BG150" s="526"/>
      <c r="BH150" s="526"/>
      <c r="BI150" s="526"/>
      <c r="BJ150" s="526"/>
      <c r="BK150" s="526"/>
      <c r="BL150" s="526"/>
      <c r="BM150" s="526"/>
      <c r="BN150" s="526"/>
      <c r="BO150" s="526"/>
      <c r="BP150" s="526"/>
      <c r="BQ150" s="526"/>
      <c r="BR150" s="526"/>
      <c r="BS150" s="526"/>
      <c r="BT150" s="526"/>
      <c r="BU150" s="526"/>
      <c r="BV150" s="526"/>
      <c r="BW150" s="526"/>
      <c r="BX150" s="526"/>
      <c r="BY150" s="526"/>
      <c r="BZ150" s="526"/>
      <c r="CA150" s="526"/>
      <c r="CB150" s="526"/>
      <c r="CC150" s="526"/>
      <c r="CD150" s="526"/>
      <c r="CE150" s="526"/>
      <c r="CF150" s="526"/>
      <c r="CG150" s="526"/>
      <c r="CH150" s="526"/>
      <c r="CI150" s="526"/>
      <c r="CJ150" s="526"/>
      <c r="CK150" s="526"/>
      <c r="CL150" s="526"/>
      <c r="CM150" s="526"/>
      <c r="CN150" s="526"/>
      <c r="CO150" s="526"/>
      <c r="CP150" s="526"/>
      <c r="CQ150" s="526"/>
      <c r="CR150" s="526"/>
      <c r="CS150" s="526"/>
      <c r="CT150" s="526"/>
      <c r="CU150" s="526"/>
      <c r="CV150" s="526"/>
      <c r="CW150" s="526"/>
      <c r="CX150" s="526"/>
      <c r="CY150" s="526"/>
      <c r="CZ150" s="526"/>
      <c r="DA150" s="526"/>
      <c r="DB150" s="526"/>
      <c r="DC150" s="526"/>
      <c r="DD150" s="526"/>
      <c r="DE150" s="526"/>
      <c r="DF150" s="526"/>
      <c r="DG150" s="526"/>
      <c r="DH150" s="526"/>
      <c r="DI150" s="526"/>
      <c r="DJ150" s="526"/>
      <c r="DK150" s="526"/>
      <c r="DL150" s="526"/>
      <c r="DM150" s="526"/>
      <c r="DN150" s="526"/>
      <c r="DO150" s="526"/>
      <c r="DP150" s="526"/>
      <c r="DQ150" s="526"/>
      <c r="DR150" s="526"/>
      <c r="DS150" s="526"/>
      <c r="DT150" s="526"/>
      <c r="DU150" s="526"/>
      <c r="DV150" s="526"/>
      <c r="DW150" s="526"/>
      <c r="DX150" s="526"/>
      <c r="DY150" s="526"/>
      <c r="DZ150" s="526"/>
      <c r="EA150" s="526"/>
      <c r="EB150" s="526"/>
      <c r="EC150" s="526"/>
      <c r="ED150" s="526"/>
      <c r="EE150" s="526"/>
      <c r="EF150" s="526"/>
      <c r="EG150" s="526"/>
      <c r="EH150" s="526"/>
      <c r="EI150" s="526"/>
      <c r="EJ150" s="526"/>
      <c r="EK150" s="526"/>
      <c r="EL150" s="526"/>
      <c r="EM150" s="526"/>
      <c r="EN150" s="526"/>
      <c r="EO150" s="526"/>
      <c r="EP150" s="526"/>
      <c r="EQ150" s="526"/>
      <c r="ER150" s="526"/>
      <c r="ES150" s="526"/>
      <c r="ET150" s="526"/>
      <c r="EU150" s="526"/>
      <c r="EV150" s="526"/>
      <c r="EW150" s="526"/>
      <c r="EX150" s="526"/>
      <c r="EY150" s="526"/>
      <c r="EZ150" s="526"/>
      <c r="FA150" s="526"/>
      <c r="FB150" s="526"/>
      <c r="FC150" s="526"/>
      <c r="FD150" s="526"/>
      <c r="FE150" s="526"/>
      <c r="FF150" s="526"/>
      <c r="FG150" s="526"/>
      <c r="FH150" s="526"/>
      <c r="FI150" s="526"/>
      <c r="FJ150" s="526"/>
      <c r="FK150" s="526"/>
      <c r="FL150" s="526"/>
      <c r="FM150" s="526"/>
      <c r="FN150" s="526"/>
      <c r="FO150" s="526"/>
      <c r="FP150" s="526"/>
      <c r="FQ150" s="526"/>
      <c r="FR150" s="526"/>
      <c r="FS150" s="526"/>
      <c r="FT150" s="526"/>
      <c r="FU150" s="526"/>
      <c r="FV150" s="526"/>
      <c r="FW150" s="526"/>
      <c r="FX150" s="526"/>
      <c r="FY150" s="526"/>
      <c r="FZ150" s="526"/>
      <c r="GA150" s="526"/>
      <c r="GB150" s="526"/>
      <c r="GC150" s="526"/>
      <c r="GD150" s="526"/>
      <c r="GE150" s="526"/>
      <c r="GF150" s="526"/>
      <c r="GG150" s="526"/>
      <c r="GH150" s="526"/>
      <c r="GI150" s="526"/>
      <c r="GJ150" s="526"/>
      <c r="GK150" s="526"/>
      <c r="GL150" s="526"/>
      <c r="GM150" s="526"/>
      <c r="GN150" s="526"/>
      <c r="GO150" s="526"/>
      <c r="GP150" s="526"/>
      <c r="GQ150" s="526"/>
      <c r="GR150" s="526"/>
      <c r="GS150" s="526"/>
      <c r="GT150" s="526"/>
      <c r="GU150" s="526"/>
      <c r="GV150" s="526"/>
      <c r="GW150" s="526"/>
      <c r="GX150" s="526"/>
      <c r="GY150" s="526"/>
      <c r="GZ150" s="526"/>
      <c r="HA150" s="526"/>
      <c r="HB150" s="526"/>
      <c r="HC150" s="526"/>
      <c r="HD150" s="526"/>
      <c r="HE150" s="526"/>
      <c r="HF150" s="526"/>
      <c r="HG150" s="526"/>
      <c r="HH150" s="526"/>
      <c r="HI150" s="526"/>
      <c r="HJ150" s="526"/>
      <c r="HK150" s="526"/>
      <c r="HL150" s="526"/>
      <c r="HM150" s="526"/>
      <c r="HN150" s="526"/>
      <c r="HO150" s="526"/>
      <c r="HP150" s="526"/>
      <c r="HQ150" s="526"/>
      <c r="HR150" s="526"/>
      <c r="HS150" s="526"/>
      <c r="HT150" s="526"/>
      <c r="HU150" s="526"/>
      <c r="HV150" s="526"/>
      <c r="HW150" s="526"/>
      <c r="HX150" s="526"/>
      <c r="HY150" s="526"/>
      <c r="HZ150" s="526"/>
      <c r="IA150" s="526"/>
      <c r="IB150" s="526"/>
      <c r="IC150" s="526"/>
      <c r="ID150" s="526"/>
      <c r="IE150" s="526"/>
      <c r="IF150" s="526"/>
      <c r="IG150" s="526"/>
      <c r="IH150" s="526"/>
      <c r="II150" s="526"/>
      <c r="IJ150" s="526"/>
      <c r="IK150" s="526"/>
      <c r="IL150" s="526"/>
      <c r="IM150" s="526"/>
      <c r="IN150" s="526"/>
      <c r="IO150" s="526"/>
      <c r="IP150" s="526"/>
      <c r="IQ150" s="526"/>
    </row>
    <row r="151" spans="1:251" s="1431" customFormat="1" ht="18" customHeight="1">
      <c r="A151" s="525">
        <v>142</v>
      </c>
      <c r="B151" s="1424"/>
      <c r="C151" s="1425"/>
      <c r="D151" s="594" t="s">
        <v>283</v>
      </c>
      <c r="E151" s="1422"/>
      <c r="F151" s="1426"/>
      <c r="G151" s="1461"/>
      <c r="H151" s="1427"/>
      <c r="I151" s="1428"/>
      <c r="J151" s="1422">
        <v>40000</v>
      </c>
      <c r="K151" s="1422"/>
      <c r="L151" s="1423">
        <f>SUM(I151:K151)</f>
        <v>40000</v>
      </c>
      <c r="M151" s="1429"/>
      <c r="N151" s="1430"/>
      <c r="O151" s="1430"/>
      <c r="P151" s="1430"/>
      <c r="Q151" s="1430"/>
      <c r="R151" s="1430"/>
      <c r="S151" s="1430"/>
      <c r="T151" s="1430"/>
      <c r="U151" s="1430"/>
      <c r="V151" s="1430"/>
      <c r="W151" s="1430"/>
      <c r="X151" s="1430"/>
      <c r="Y151" s="1430"/>
      <c r="Z151" s="1430"/>
      <c r="AA151" s="1430"/>
      <c r="AB151" s="1430"/>
      <c r="AC151" s="1430"/>
      <c r="AD151" s="1430"/>
      <c r="AE151" s="1430"/>
      <c r="AF151" s="1430"/>
      <c r="AG151" s="1430"/>
      <c r="AH151" s="1430"/>
      <c r="AI151" s="1430"/>
      <c r="AJ151" s="1430"/>
      <c r="AK151" s="1430"/>
      <c r="AL151" s="1430"/>
      <c r="AM151" s="1430"/>
      <c r="AN151" s="1430"/>
      <c r="AO151" s="1430"/>
      <c r="AP151" s="1430"/>
      <c r="AQ151" s="1430"/>
      <c r="AR151" s="1430"/>
      <c r="AS151" s="1430"/>
      <c r="AT151" s="1430"/>
      <c r="AU151" s="1430"/>
      <c r="AV151" s="1430"/>
      <c r="AW151" s="1430"/>
      <c r="AX151" s="1430"/>
      <c r="AY151" s="1430"/>
      <c r="AZ151" s="1430"/>
      <c r="BA151" s="1430"/>
      <c r="BB151" s="1430"/>
      <c r="BC151" s="1430"/>
      <c r="BD151" s="1430"/>
      <c r="BE151" s="1430"/>
      <c r="BF151" s="1430"/>
      <c r="BG151" s="1430"/>
      <c r="BH151" s="1430"/>
      <c r="BI151" s="1430"/>
      <c r="BJ151" s="1430"/>
      <c r="BK151" s="1430"/>
      <c r="BL151" s="1430"/>
      <c r="BM151" s="1430"/>
      <c r="BN151" s="1430"/>
      <c r="BO151" s="1430"/>
      <c r="BP151" s="1430"/>
      <c r="BQ151" s="1430"/>
      <c r="BR151" s="1430"/>
      <c r="BS151" s="1430"/>
      <c r="BT151" s="1430"/>
      <c r="BU151" s="1430"/>
      <c r="BV151" s="1430"/>
      <c r="BW151" s="1430"/>
      <c r="BX151" s="1430"/>
      <c r="BY151" s="1430"/>
      <c r="BZ151" s="1430"/>
      <c r="CA151" s="1430"/>
      <c r="CB151" s="1430"/>
      <c r="CC151" s="1430"/>
      <c r="CD151" s="1430"/>
      <c r="CE151" s="1430"/>
      <c r="CF151" s="1430"/>
      <c r="CG151" s="1430"/>
      <c r="CH151" s="1430"/>
      <c r="CI151" s="1430"/>
      <c r="CJ151" s="1430"/>
      <c r="CK151" s="1430"/>
      <c r="CL151" s="1430"/>
      <c r="CM151" s="1430"/>
      <c r="CN151" s="1430"/>
      <c r="CO151" s="1430"/>
      <c r="CP151" s="1430"/>
      <c r="CQ151" s="1430"/>
      <c r="CR151" s="1430"/>
      <c r="CS151" s="1430"/>
      <c r="CT151" s="1430"/>
      <c r="CU151" s="1430"/>
      <c r="CV151" s="1430"/>
      <c r="CW151" s="1430"/>
      <c r="CX151" s="1430"/>
      <c r="CY151" s="1430"/>
      <c r="CZ151" s="1430"/>
      <c r="DA151" s="1430"/>
      <c r="DB151" s="1430"/>
      <c r="DC151" s="1430"/>
      <c r="DD151" s="1430"/>
      <c r="DE151" s="1430"/>
      <c r="DF151" s="1430"/>
      <c r="DG151" s="1430"/>
      <c r="DH151" s="1430"/>
      <c r="DI151" s="1430"/>
      <c r="DJ151" s="1430"/>
      <c r="DK151" s="1430"/>
      <c r="DL151" s="1430"/>
      <c r="DM151" s="1430"/>
      <c r="DN151" s="1430"/>
      <c r="DO151" s="1430"/>
      <c r="DP151" s="1430"/>
      <c r="DQ151" s="1430"/>
      <c r="DR151" s="1430"/>
      <c r="DS151" s="1430"/>
      <c r="DT151" s="1430"/>
      <c r="DU151" s="1430"/>
      <c r="DV151" s="1430"/>
      <c r="DW151" s="1430"/>
      <c r="DX151" s="1430"/>
      <c r="DY151" s="1430"/>
      <c r="DZ151" s="1430"/>
      <c r="EA151" s="1430"/>
      <c r="EB151" s="1430"/>
      <c r="EC151" s="1430"/>
      <c r="ED151" s="1430"/>
      <c r="EE151" s="1430"/>
      <c r="EF151" s="1430"/>
      <c r="EG151" s="1430"/>
      <c r="EH151" s="1430"/>
      <c r="EI151" s="1430"/>
      <c r="EJ151" s="1430"/>
      <c r="EK151" s="1430"/>
      <c r="EL151" s="1430"/>
      <c r="EM151" s="1430"/>
      <c r="EN151" s="1430"/>
      <c r="EO151" s="1430"/>
      <c r="EP151" s="1430"/>
      <c r="EQ151" s="1430"/>
      <c r="ER151" s="1430"/>
      <c r="ES151" s="1430"/>
      <c r="ET151" s="1430"/>
      <c r="EU151" s="1430"/>
      <c r="EV151" s="1430"/>
      <c r="EW151" s="1430"/>
      <c r="EX151" s="1430"/>
      <c r="EY151" s="1430"/>
      <c r="EZ151" s="1430"/>
      <c r="FA151" s="1430"/>
      <c r="FB151" s="1430"/>
      <c r="FC151" s="1430"/>
      <c r="FD151" s="1430"/>
      <c r="FE151" s="1430"/>
      <c r="FF151" s="1430"/>
      <c r="FG151" s="1430"/>
      <c r="FH151" s="1430"/>
      <c r="FI151" s="1430"/>
      <c r="FJ151" s="1430"/>
      <c r="FK151" s="1430"/>
      <c r="FL151" s="1430"/>
      <c r="FM151" s="1430"/>
      <c r="FN151" s="1430"/>
      <c r="FO151" s="1430"/>
      <c r="FP151" s="1430"/>
      <c r="FQ151" s="1430"/>
      <c r="FR151" s="1430"/>
      <c r="FS151" s="1430"/>
      <c r="FT151" s="1430"/>
      <c r="FU151" s="1430"/>
      <c r="FV151" s="1430"/>
      <c r="FW151" s="1430"/>
      <c r="FX151" s="1430"/>
      <c r="FY151" s="1430"/>
      <c r="FZ151" s="1430"/>
      <c r="GA151" s="1430"/>
      <c r="GB151" s="1430"/>
      <c r="GC151" s="1430"/>
      <c r="GD151" s="1430"/>
      <c r="GE151" s="1430"/>
      <c r="GF151" s="1430"/>
      <c r="GG151" s="1430"/>
      <c r="GH151" s="1430"/>
      <c r="GI151" s="1430"/>
      <c r="GJ151" s="1430"/>
      <c r="GK151" s="1430"/>
      <c r="GL151" s="1430"/>
      <c r="GM151" s="1430"/>
      <c r="GN151" s="1430"/>
      <c r="GO151" s="1430"/>
      <c r="GP151" s="1430"/>
      <c r="GQ151" s="1430"/>
      <c r="GR151" s="1430"/>
      <c r="GS151" s="1430"/>
      <c r="GT151" s="1430"/>
      <c r="GU151" s="1430"/>
      <c r="GV151" s="1430"/>
      <c r="GW151" s="1430"/>
      <c r="GX151" s="1430"/>
      <c r="GY151" s="1430"/>
      <c r="GZ151" s="1430"/>
      <c r="HA151" s="1430"/>
      <c r="HB151" s="1430"/>
      <c r="HC151" s="1430"/>
      <c r="HD151" s="1430"/>
      <c r="HE151" s="1430"/>
      <c r="HF151" s="1430"/>
      <c r="HG151" s="1430"/>
      <c r="HH151" s="1430"/>
      <c r="HI151" s="1430"/>
      <c r="HJ151" s="1430"/>
      <c r="HK151" s="1430"/>
      <c r="HL151" s="1430"/>
      <c r="HM151" s="1430"/>
      <c r="HN151" s="1430"/>
      <c r="HO151" s="1430"/>
      <c r="HP151" s="1430"/>
      <c r="HQ151" s="1430"/>
      <c r="HR151" s="1430"/>
      <c r="HS151" s="1430"/>
      <c r="HT151" s="1430"/>
      <c r="HU151" s="1430"/>
      <c r="HV151" s="1430"/>
      <c r="HW151" s="1430"/>
      <c r="HX151" s="1430"/>
      <c r="HY151" s="1430"/>
      <c r="HZ151" s="1430"/>
      <c r="IA151" s="1430"/>
      <c r="IB151" s="1430"/>
      <c r="IC151" s="1430"/>
      <c r="ID151" s="1430"/>
      <c r="IE151" s="1430"/>
      <c r="IF151" s="1430"/>
      <c r="IG151" s="1430"/>
      <c r="IH151" s="1430"/>
      <c r="II151" s="1430"/>
      <c r="IJ151" s="1430"/>
      <c r="IK151" s="1430"/>
      <c r="IL151" s="1430"/>
      <c r="IM151" s="1430"/>
      <c r="IN151" s="1430"/>
      <c r="IO151" s="1430"/>
      <c r="IP151" s="1430"/>
      <c r="IQ151" s="1430"/>
    </row>
    <row r="152" spans="1:251" s="1431" customFormat="1" ht="18" customHeight="1">
      <c r="A152" s="525">
        <v>143</v>
      </c>
      <c r="B152" s="1424"/>
      <c r="C152" s="1425"/>
      <c r="D152" s="483" t="s">
        <v>938</v>
      </c>
      <c r="E152" s="1422"/>
      <c r="F152" s="1426"/>
      <c r="G152" s="1461"/>
      <c r="H152" s="1427"/>
      <c r="I152" s="1428"/>
      <c r="J152" s="1561">
        <v>33812</v>
      </c>
      <c r="K152" s="1561"/>
      <c r="L152" s="1669">
        <f>SUM(I152:K152)</f>
        <v>33812</v>
      </c>
      <c r="M152" s="1429"/>
      <c r="N152" s="1430"/>
      <c r="O152" s="1430"/>
      <c r="P152" s="1430"/>
      <c r="Q152" s="1430"/>
      <c r="R152" s="1430"/>
      <c r="S152" s="1430"/>
      <c r="T152" s="1430"/>
      <c r="U152" s="1430"/>
      <c r="V152" s="1430"/>
      <c r="W152" s="1430"/>
      <c r="X152" s="1430"/>
      <c r="Y152" s="1430"/>
      <c r="Z152" s="1430"/>
      <c r="AA152" s="1430"/>
      <c r="AB152" s="1430"/>
      <c r="AC152" s="1430"/>
      <c r="AD152" s="1430"/>
      <c r="AE152" s="1430"/>
      <c r="AF152" s="1430"/>
      <c r="AG152" s="1430"/>
      <c r="AH152" s="1430"/>
      <c r="AI152" s="1430"/>
      <c r="AJ152" s="1430"/>
      <c r="AK152" s="1430"/>
      <c r="AL152" s="1430"/>
      <c r="AM152" s="1430"/>
      <c r="AN152" s="1430"/>
      <c r="AO152" s="1430"/>
      <c r="AP152" s="1430"/>
      <c r="AQ152" s="1430"/>
      <c r="AR152" s="1430"/>
      <c r="AS152" s="1430"/>
      <c r="AT152" s="1430"/>
      <c r="AU152" s="1430"/>
      <c r="AV152" s="1430"/>
      <c r="AW152" s="1430"/>
      <c r="AX152" s="1430"/>
      <c r="AY152" s="1430"/>
      <c r="AZ152" s="1430"/>
      <c r="BA152" s="1430"/>
      <c r="BB152" s="1430"/>
      <c r="BC152" s="1430"/>
      <c r="BD152" s="1430"/>
      <c r="BE152" s="1430"/>
      <c r="BF152" s="1430"/>
      <c r="BG152" s="1430"/>
      <c r="BH152" s="1430"/>
      <c r="BI152" s="1430"/>
      <c r="BJ152" s="1430"/>
      <c r="BK152" s="1430"/>
      <c r="BL152" s="1430"/>
      <c r="BM152" s="1430"/>
      <c r="BN152" s="1430"/>
      <c r="BO152" s="1430"/>
      <c r="BP152" s="1430"/>
      <c r="BQ152" s="1430"/>
      <c r="BR152" s="1430"/>
      <c r="BS152" s="1430"/>
      <c r="BT152" s="1430"/>
      <c r="BU152" s="1430"/>
      <c r="BV152" s="1430"/>
      <c r="BW152" s="1430"/>
      <c r="BX152" s="1430"/>
      <c r="BY152" s="1430"/>
      <c r="BZ152" s="1430"/>
      <c r="CA152" s="1430"/>
      <c r="CB152" s="1430"/>
      <c r="CC152" s="1430"/>
      <c r="CD152" s="1430"/>
      <c r="CE152" s="1430"/>
      <c r="CF152" s="1430"/>
      <c r="CG152" s="1430"/>
      <c r="CH152" s="1430"/>
      <c r="CI152" s="1430"/>
      <c r="CJ152" s="1430"/>
      <c r="CK152" s="1430"/>
      <c r="CL152" s="1430"/>
      <c r="CM152" s="1430"/>
      <c r="CN152" s="1430"/>
      <c r="CO152" s="1430"/>
      <c r="CP152" s="1430"/>
      <c r="CQ152" s="1430"/>
      <c r="CR152" s="1430"/>
      <c r="CS152" s="1430"/>
      <c r="CT152" s="1430"/>
      <c r="CU152" s="1430"/>
      <c r="CV152" s="1430"/>
      <c r="CW152" s="1430"/>
      <c r="CX152" s="1430"/>
      <c r="CY152" s="1430"/>
      <c r="CZ152" s="1430"/>
      <c r="DA152" s="1430"/>
      <c r="DB152" s="1430"/>
      <c r="DC152" s="1430"/>
      <c r="DD152" s="1430"/>
      <c r="DE152" s="1430"/>
      <c r="DF152" s="1430"/>
      <c r="DG152" s="1430"/>
      <c r="DH152" s="1430"/>
      <c r="DI152" s="1430"/>
      <c r="DJ152" s="1430"/>
      <c r="DK152" s="1430"/>
      <c r="DL152" s="1430"/>
      <c r="DM152" s="1430"/>
      <c r="DN152" s="1430"/>
      <c r="DO152" s="1430"/>
      <c r="DP152" s="1430"/>
      <c r="DQ152" s="1430"/>
      <c r="DR152" s="1430"/>
      <c r="DS152" s="1430"/>
      <c r="DT152" s="1430"/>
      <c r="DU152" s="1430"/>
      <c r="DV152" s="1430"/>
      <c r="DW152" s="1430"/>
      <c r="DX152" s="1430"/>
      <c r="DY152" s="1430"/>
      <c r="DZ152" s="1430"/>
      <c r="EA152" s="1430"/>
      <c r="EB152" s="1430"/>
      <c r="EC152" s="1430"/>
      <c r="ED152" s="1430"/>
      <c r="EE152" s="1430"/>
      <c r="EF152" s="1430"/>
      <c r="EG152" s="1430"/>
      <c r="EH152" s="1430"/>
      <c r="EI152" s="1430"/>
      <c r="EJ152" s="1430"/>
      <c r="EK152" s="1430"/>
      <c r="EL152" s="1430"/>
      <c r="EM152" s="1430"/>
      <c r="EN152" s="1430"/>
      <c r="EO152" s="1430"/>
      <c r="EP152" s="1430"/>
      <c r="EQ152" s="1430"/>
      <c r="ER152" s="1430"/>
      <c r="ES152" s="1430"/>
      <c r="ET152" s="1430"/>
      <c r="EU152" s="1430"/>
      <c r="EV152" s="1430"/>
      <c r="EW152" s="1430"/>
      <c r="EX152" s="1430"/>
      <c r="EY152" s="1430"/>
      <c r="EZ152" s="1430"/>
      <c r="FA152" s="1430"/>
      <c r="FB152" s="1430"/>
      <c r="FC152" s="1430"/>
      <c r="FD152" s="1430"/>
      <c r="FE152" s="1430"/>
      <c r="FF152" s="1430"/>
      <c r="FG152" s="1430"/>
      <c r="FH152" s="1430"/>
      <c r="FI152" s="1430"/>
      <c r="FJ152" s="1430"/>
      <c r="FK152" s="1430"/>
      <c r="FL152" s="1430"/>
      <c r="FM152" s="1430"/>
      <c r="FN152" s="1430"/>
      <c r="FO152" s="1430"/>
      <c r="FP152" s="1430"/>
      <c r="FQ152" s="1430"/>
      <c r="FR152" s="1430"/>
      <c r="FS152" s="1430"/>
      <c r="FT152" s="1430"/>
      <c r="FU152" s="1430"/>
      <c r="FV152" s="1430"/>
      <c r="FW152" s="1430"/>
      <c r="FX152" s="1430"/>
      <c r="FY152" s="1430"/>
      <c r="FZ152" s="1430"/>
      <c r="GA152" s="1430"/>
      <c r="GB152" s="1430"/>
      <c r="GC152" s="1430"/>
      <c r="GD152" s="1430"/>
      <c r="GE152" s="1430"/>
      <c r="GF152" s="1430"/>
      <c r="GG152" s="1430"/>
      <c r="GH152" s="1430"/>
      <c r="GI152" s="1430"/>
      <c r="GJ152" s="1430"/>
      <c r="GK152" s="1430"/>
      <c r="GL152" s="1430"/>
      <c r="GM152" s="1430"/>
      <c r="GN152" s="1430"/>
      <c r="GO152" s="1430"/>
      <c r="GP152" s="1430"/>
      <c r="GQ152" s="1430"/>
      <c r="GR152" s="1430"/>
      <c r="GS152" s="1430"/>
      <c r="GT152" s="1430"/>
      <c r="GU152" s="1430"/>
      <c r="GV152" s="1430"/>
      <c r="GW152" s="1430"/>
      <c r="GX152" s="1430"/>
      <c r="GY152" s="1430"/>
      <c r="GZ152" s="1430"/>
      <c r="HA152" s="1430"/>
      <c r="HB152" s="1430"/>
      <c r="HC152" s="1430"/>
      <c r="HD152" s="1430"/>
      <c r="HE152" s="1430"/>
      <c r="HF152" s="1430"/>
      <c r="HG152" s="1430"/>
      <c r="HH152" s="1430"/>
      <c r="HI152" s="1430"/>
      <c r="HJ152" s="1430"/>
      <c r="HK152" s="1430"/>
      <c r="HL152" s="1430"/>
      <c r="HM152" s="1430"/>
      <c r="HN152" s="1430"/>
      <c r="HO152" s="1430"/>
      <c r="HP152" s="1430"/>
      <c r="HQ152" s="1430"/>
      <c r="HR152" s="1430"/>
      <c r="HS152" s="1430"/>
      <c r="HT152" s="1430"/>
      <c r="HU152" s="1430"/>
      <c r="HV152" s="1430"/>
      <c r="HW152" s="1430"/>
      <c r="HX152" s="1430"/>
      <c r="HY152" s="1430"/>
      <c r="HZ152" s="1430"/>
      <c r="IA152" s="1430"/>
      <c r="IB152" s="1430"/>
      <c r="IC152" s="1430"/>
      <c r="ID152" s="1430"/>
      <c r="IE152" s="1430"/>
      <c r="IF152" s="1430"/>
      <c r="IG152" s="1430"/>
      <c r="IH152" s="1430"/>
      <c r="II152" s="1430"/>
      <c r="IJ152" s="1430"/>
      <c r="IK152" s="1430"/>
      <c r="IL152" s="1430"/>
      <c r="IM152" s="1430"/>
      <c r="IN152" s="1430"/>
      <c r="IO152" s="1430"/>
      <c r="IP152" s="1430"/>
      <c r="IQ152" s="1430"/>
    </row>
    <row r="153" spans="1:251" ht="18" customHeight="1">
      <c r="A153" s="525">
        <v>144</v>
      </c>
      <c r="B153" s="538"/>
      <c r="C153" s="543"/>
      <c r="D153" s="1146" t="s">
        <v>725</v>
      </c>
      <c r="E153" s="540"/>
      <c r="F153" s="541"/>
      <c r="G153" s="1460"/>
      <c r="H153" s="753"/>
      <c r="I153" s="728"/>
      <c r="J153" s="1458"/>
      <c r="K153" s="540"/>
      <c r="L153" s="1241">
        <f>SUM(I153:K153)</f>
        <v>0</v>
      </c>
      <c r="M153" s="542"/>
      <c r="N153" s="526"/>
      <c r="O153" s="526"/>
      <c r="P153" s="526"/>
      <c r="Q153" s="526"/>
      <c r="R153" s="526"/>
      <c r="S153" s="526"/>
      <c r="T153" s="526"/>
      <c r="U153" s="526"/>
      <c r="V153" s="526"/>
      <c r="W153" s="526"/>
      <c r="X153" s="526"/>
      <c r="Y153" s="526"/>
      <c r="Z153" s="526"/>
      <c r="AA153" s="526"/>
      <c r="AB153" s="526"/>
      <c r="AC153" s="526"/>
      <c r="AD153" s="526"/>
      <c r="AE153" s="526"/>
      <c r="AF153" s="526"/>
      <c r="AG153" s="526"/>
      <c r="AH153" s="526"/>
      <c r="AI153" s="526"/>
      <c r="AJ153" s="526"/>
      <c r="AK153" s="526"/>
      <c r="AL153" s="526"/>
      <c r="AM153" s="526"/>
      <c r="AN153" s="526"/>
      <c r="AO153" s="526"/>
      <c r="AP153" s="526"/>
      <c r="AQ153" s="526"/>
      <c r="AR153" s="526"/>
      <c r="AS153" s="526"/>
      <c r="AT153" s="526"/>
      <c r="AU153" s="526"/>
      <c r="AV153" s="526"/>
      <c r="AW153" s="526"/>
      <c r="AX153" s="526"/>
      <c r="AY153" s="526"/>
      <c r="AZ153" s="526"/>
      <c r="BA153" s="526"/>
      <c r="BB153" s="526"/>
      <c r="BC153" s="526"/>
      <c r="BD153" s="526"/>
      <c r="BE153" s="526"/>
      <c r="BF153" s="526"/>
      <c r="BG153" s="526"/>
      <c r="BH153" s="526"/>
      <c r="BI153" s="526"/>
      <c r="BJ153" s="526"/>
      <c r="BK153" s="526"/>
      <c r="BL153" s="526"/>
      <c r="BM153" s="526"/>
      <c r="BN153" s="526"/>
      <c r="BO153" s="526"/>
      <c r="BP153" s="526"/>
      <c r="BQ153" s="526"/>
      <c r="BR153" s="526"/>
      <c r="BS153" s="526"/>
      <c r="BT153" s="526"/>
      <c r="BU153" s="526"/>
      <c r="BV153" s="526"/>
      <c r="BW153" s="526"/>
      <c r="BX153" s="526"/>
      <c r="BY153" s="526"/>
      <c r="BZ153" s="526"/>
      <c r="CA153" s="526"/>
      <c r="CB153" s="526"/>
      <c r="CC153" s="526"/>
      <c r="CD153" s="526"/>
      <c r="CE153" s="526"/>
      <c r="CF153" s="526"/>
      <c r="CG153" s="526"/>
      <c r="CH153" s="526"/>
      <c r="CI153" s="526"/>
      <c r="CJ153" s="526"/>
      <c r="CK153" s="526"/>
      <c r="CL153" s="526"/>
      <c r="CM153" s="526"/>
      <c r="CN153" s="526"/>
      <c r="CO153" s="526"/>
      <c r="CP153" s="526"/>
      <c r="CQ153" s="526"/>
      <c r="CR153" s="526"/>
      <c r="CS153" s="526"/>
      <c r="CT153" s="526"/>
      <c r="CU153" s="526"/>
      <c r="CV153" s="526"/>
      <c r="CW153" s="526"/>
      <c r="CX153" s="526"/>
      <c r="CY153" s="526"/>
      <c r="CZ153" s="526"/>
      <c r="DA153" s="526"/>
      <c r="DB153" s="526"/>
      <c r="DC153" s="526"/>
      <c r="DD153" s="526"/>
      <c r="DE153" s="526"/>
      <c r="DF153" s="526"/>
      <c r="DG153" s="526"/>
      <c r="DH153" s="526"/>
      <c r="DI153" s="526"/>
      <c r="DJ153" s="526"/>
      <c r="DK153" s="526"/>
      <c r="DL153" s="526"/>
      <c r="DM153" s="526"/>
      <c r="DN153" s="526"/>
      <c r="DO153" s="526"/>
      <c r="DP153" s="526"/>
      <c r="DQ153" s="526"/>
      <c r="DR153" s="526"/>
      <c r="DS153" s="526"/>
      <c r="DT153" s="526"/>
      <c r="DU153" s="526"/>
      <c r="DV153" s="526"/>
      <c r="DW153" s="526"/>
      <c r="DX153" s="526"/>
      <c r="DY153" s="526"/>
      <c r="DZ153" s="526"/>
      <c r="EA153" s="526"/>
      <c r="EB153" s="526"/>
      <c r="EC153" s="526"/>
      <c r="ED153" s="526"/>
      <c r="EE153" s="526"/>
      <c r="EF153" s="526"/>
      <c r="EG153" s="526"/>
      <c r="EH153" s="526"/>
      <c r="EI153" s="526"/>
      <c r="EJ153" s="526"/>
      <c r="EK153" s="526"/>
      <c r="EL153" s="526"/>
      <c r="EM153" s="526"/>
      <c r="EN153" s="526"/>
      <c r="EO153" s="526"/>
      <c r="EP153" s="526"/>
      <c r="EQ153" s="526"/>
      <c r="ER153" s="526"/>
      <c r="ES153" s="526"/>
      <c r="ET153" s="526"/>
      <c r="EU153" s="526"/>
      <c r="EV153" s="526"/>
      <c r="EW153" s="526"/>
      <c r="EX153" s="526"/>
      <c r="EY153" s="526"/>
      <c r="EZ153" s="526"/>
      <c r="FA153" s="526"/>
      <c r="FB153" s="526"/>
      <c r="FC153" s="526"/>
      <c r="FD153" s="526"/>
      <c r="FE153" s="526"/>
      <c r="FF153" s="526"/>
      <c r="FG153" s="526"/>
      <c r="FH153" s="526"/>
      <c r="FI153" s="526"/>
      <c r="FJ153" s="526"/>
      <c r="FK153" s="526"/>
      <c r="FL153" s="526"/>
      <c r="FM153" s="526"/>
      <c r="FN153" s="526"/>
      <c r="FO153" s="526"/>
      <c r="FP153" s="526"/>
      <c r="FQ153" s="526"/>
      <c r="FR153" s="526"/>
      <c r="FS153" s="526"/>
      <c r="FT153" s="526"/>
      <c r="FU153" s="526"/>
      <c r="FV153" s="526"/>
      <c r="FW153" s="526"/>
      <c r="FX153" s="526"/>
      <c r="FY153" s="526"/>
      <c r="FZ153" s="526"/>
      <c r="GA153" s="526"/>
      <c r="GB153" s="526"/>
      <c r="GC153" s="526"/>
      <c r="GD153" s="526"/>
      <c r="GE153" s="526"/>
      <c r="GF153" s="526"/>
      <c r="GG153" s="526"/>
      <c r="GH153" s="526"/>
      <c r="GI153" s="526"/>
      <c r="GJ153" s="526"/>
      <c r="GK153" s="526"/>
      <c r="GL153" s="526"/>
      <c r="GM153" s="526"/>
      <c r="GN153" s="526"/>
      <c r="GO153" s="526"/>
      <c r="GP153" s="526"/>
      <c r="GQ153" s="526"/>
      <c r="GR153" s="526"/>
      <c r="GS153" s="526"/>
      <c r="GT153" s="526"/>
      <c r="GU153" s="526"/>
      <c r="GV153" s="526"/>
      <c r="GW153" s="526"/>
      <c r="GX153" s="526"/>
      <c r="GY153" s="526"/>
      <c r="GZ153" s="526"/>
      <c r="HA153" s="526"/>
      <c r="HB153" s="526"/>
      <c r="HC153" s="526"/>
      <c r="HD153" s="526"/>
      <c r="HE153" s="526"/>
      <c r="HF153" s="526"/>
      <c r="HG153" s="526"/>
      <c r="HH153" s="526"/>
      <c r="HI153" s="526"/>
      <c r="HJ153" s="526"/>
      <c r="HK153" s="526"/>
      <c r="HL153" s="526"/>
      <c r="HM153" s="526"/>
      <c r="HN153" s="526"/>
      <c r="HO153" s="526"/>
      <c r="HP153" s="526"/>
      <c r="HQ153" s="526"/>
      <c r="HR153" s="526"/>
      <c r="HS153" s="526"/>
      <c r="HT153" s="526"/>
      <c r="HU153" s="526"/>
      <c r="HV153" s="526"/>
      <c r="HW153" s="526"/>
      <c r="HX153" s="526"/>
      <c r="HY153" s="526"/>
      <c r="HZ153" s="526"/>
      <c r="IA153" s="526"/>
      <c r="IB153" s="526"/>
      <c r="IC153" s="526"/>
      <c r="ID153" s="526"/>
      <c r="IE153" s="526"/>
      <c r="IF153" s="526"/>
      <c r="IG153" s="526"/>
      <c r="IH153" s="526"/>
      <c r="II153" s="526"/>
      <c r="IJ153" s="526"/>
      <c r="IK153" s="526"/>
      <c r="IL153" s="526"/>
      <c r="IM153" s="526"/>
      <c r="IN153" s="526"/>
      <c r="IO153" s="526"/>
      <c r="IP153" s="526"/>
      <c r="IQ153" s="526"/>
    </row>
    <row r="154" spans="1:251" ht="18" customHeight="1">
      <c r="A154" s="525">
        <v>145</v>
      </c>
      <c r="B154" s="538"/>
      <c r="C154" s="543"/>
      <c r="D154" s="483" t="s">
        <v>1091</v>
      </c>
      <c r="E154" s="540"/>
      <c r="F154" s="541"/>
      <c r="G154" s="1460"/>
      <c r="H154" s="753"/>
      <c r="I154" s="728"/>
      <c r="J154" s="1561">
        <f>SUM(J152:J153)</f>
        <v>33812</v>
      </c>
      <c r="K154" s="540"/>
      <c r="L154" s="1238">
        <f>SUM(I154:K154)</f>
        <v>33812</v>
      </c>
      <c r="M154" s="542"/>
      <c r="N154" s="526"/>
      <c r="O154" s="526"/>
      <c r="P154" s="526"/>
      <c r="Q154" s="526"/>
      <c r="R154" s="526"/>
      <c r="S154" s="526"/>
      <c r="T154" s="526"/>
      <c r="U154" s="526"/>
      <c r="V154" s="526"/>
      <c r="W154" s="526"/>
      <c r="X154" s="526"/>
      <c r="Y154" s="526"/>
      <c r="Z154" s="526"/>
      <c r="AA154" s="526"/>
      <c r="AB154" s="526"/>
      <c r="AC154" s="526"/>
      <c r="AD154" s="526"/>
      <c r="AE154" s="526"/>
      <c r="AF154" s="526"/>
      <c r="AG154" s="526"/>
      <c r="AH154" s="526"/>
      <c r="AI154" s="526"/>
      <c r="AJ154" s="526"/>
      <c r="AK154" s="526"/>
      <c r="AL154" s="526"/>
      <c r="AM154" s="526"/>
      <c r="AN154" s="526"/>
      <c r="AO154" s="526"/>
      <c r="AP154" s="526"/>
      <c r="AQ154" s="526"/>
      <c r="AR154" s="526"/>
      <c r="AS154" s="526"/>
      <c r="AT154" s="526"/>
      <c r="AU154" s="526"/>
      <c r="AV154" s="526"/>
      <c r="AW154" s="526"/>
      <c r="AX154" s="526"/>
      <c r="AY154" s="526"/>
      <c r="AZ154" s="526"/>
      <c r="BA154" s="526"/>
      <c r="BB154" s="526"/>
      <c r="BC154" s="526"/>
      <c r="BD154" s="526"/>
      <c r="BE154" s="526"/>
      <c r="BF154" s="526"/>
      <c r="BG154" s="526"/>
      <c r="BH154" s="526"/>
      <c r="BI154" s="526"/>
      <c r="BJ154" s="526"/>
      <c r="BK154" s="526"/>
      <c r="BL154" s="526"/>
      <c r="BM154" s="526"/>
      <c r="BN154" s="526"/>
      <c r="BO154" s="526"/>
      <c r="BP154" s="526"/>
      <c r="BQ154" s="526"/>
      <c r="BR154" s="526"/>
      <c r="BS154" s="526"/>
      <c r="BT154" s="526"/>
      <c r="BU154" s="526"/>
      <c r="BV154" s="526"/>
      <c r="BW154" s="526"/>
      <c r="BX154" s="526"/>
      <c r="BY154" s="526"/>
      <c r="BZ154" s="526"/>
      <c r="CA154" s="526"/>
      <c r="CB154" s="526"/>
      <c r="CC154" s="526"/>
      <c r="CD154" s="526"/>
      <c r="CE154" s="526"/>
      <c r="CF154" s="526"/>
      <c r="CG154" s="526"/>
      <c r="CH154" s="526"/>
      <c r="CI154" s="526"/>
      <c r="CJ154" s="526"/>
      <c r="CK154" s="526"/>
      <c r="CL154" s="526"/>
      <c r="CM154" s="526"/>
      <c r="CN154" s="526"/>
      <c r="CO154" s="526"/>
      <c r="CP154" s="526"/>
      <c r="CQ154" s="526"/>
      <c r="CR154" s="526"/>
      <c r="CS154" s="526"/>
      <c r="CT154" s="526"/>
      <c r="CU154" s="526"/>
      <c r="CV154" s="526"/>
      <c r="CW154" s="526"/>
      <c r="CX154" s="526"/>
      <c r="CY154" s="526"/>
      <c r="CZ154" s="526"/>
      <c r="DA154" s="526"/>
      <c r="DB154" s="526"/>
      <c r="DC154" s="526"/>
      <c r="DD154" s="526"/>
      <c r="DE154" s="526"/>
      <c r="DF154" s="526"/>
      <c r="DG154" s="526"/>
      <c r="DH154" s="526"/>
      <c r="DI154" s="526"/>
      <c r="DJ154" s="526"/>
      <c r="DK154" s="526"/>
      <c r="DL154" s="526"/>
      <c r="DM154" s="526"/>
      <c r="DN154" s="526"/>
      <c r="DO154" s="526"/>
      <c r="DP154" s="526"/>
      <c r="DQ154" s="526"/>
      <c r="DR154" s="526"/>
      <c r="DS154" s="526"/>
      <c r="DT154" s="526"/>
      <c r="DU154" s="526"/>
      <c r="DV154" s="526"/>
      <c r="DW154" s="526"/>
      <c r="DX154" s="526"/>
      <c r="DY154" s="526"/>
      <c r="DZ154" s="526"/>
      <c r="EA154" s="526"/>
      <c r="EB154" s="526"/>
      <c r="EC154" s="526"/>
      <c r="ED154" s="526"/>
      <c r="EE154" s="526"/>
      <c r="EF154" s="526"/>
      <c r="EG154" s="526"/>
      <c r="EH154" s="526"/>
      <c r="EI154" s="526"/>
      <c r="EJ154" s="526"/>
      <c r="EK154" s="526"/>
      <c r="EL154" s="526"/>
      <c r="EM154" s="526"/>
      <c r="EN154" s="526"/>
      <c r="EO154" s="526"/>
      <c r="EP154" s="526"/>
      <c r="EQ154" s="526"/>
      <c r="ER154" s="526"/>
      <c r="ES154" s="526"/>
      <c r="ET154" s="526"/>
      <c r="EU154" s="526"/>
      <c r="EV154" s="526"/>
      <c r="EW154" s="526"/>
      <c r="EX154" s="526"/>
      <c r="EY154" s="526"/>
      <c r="EZ154" s="526"/>
      <c r="FA154" s="526"/>
      <c r="FB154" s="526"/>
      <c r="FC154" s="526"/>
      <c r="FD154" s="526"/>
      <c r="FE154" s="526"/>
      <c r="FF154" s="526"/>
      <c r="FG154" s="526"/>
      <c r="FH154" s="526"/>
      <c r="FI154" s="526"/>
      <c r="FJ154" s="526"/>
      <c r="FK154" s="526"/>
      <c r="FL154" s="526"/>
      <c r="FM154" s="526"/>
      <c r="FN154" s="526"/>
      <c r="FO154" s="526"/>
      <c r="FP154" s="526"/>
      <c r="FQ154" s="526"/>
      <c r="FR154" s="526"/>
      <c r="FS154" s="526"/>
      <c r="FT154" s="526"/>
      <c r="FU154" s="526"/>
      <c r="FV154" s="526"/>
      <c r="FW154" s="526"/>
      <c r="FX154" s="526"/>
      <c r="FY154" s="526"/>
      <c r="FZ154" s="526"/>
      <c r="GA154" s="526"/>
      <c r="GB154" s="526"/>
      <c r="GC154" s="526"/>
      <c r="GD154" s="526"/>
      <c r="GE154" s="526"/>
      <c r="GF154" s="526"/>
      <c r="GG154" s="526"/>
      <c r="GH154" s="526"/>
      <c r="GI154" s="526"/>
      <c r="GJ154" s="526"/>
      <c r="GK154" s="526"/>
      <c r="GL154" s="526"/>
      <c r="GM154" s="526"/>
      <c r="GN154" s="526"/>
      <c r="GO154" s="526"/>
      <c r="GP154" s="526"/>
      <c r="GQ154" s="526"/>
      <c r="GR154" s="526"/>
      <c r="GS154" s="526"/>
      <c r="GT154" s="526"/>
      <c r="GU154" s="526"/>
      <c r="GV154" s="526"/>
      <c r="GW154" s="526"/>
      <c r="GX154" s="526"/>
      <c r="GY154" s="526"/>
      <c r="GZ154" s="526"/>
      <c r="HA154" s="526"/>
      <c r="HB154" s="526"/>
      <c r="HC154" s="526"/>
      <c r="HD154" s="526"/>
      <c r="HE154" s="526"/>
      <c r="HF154" s="526"/>
      <c r="HG154" s="526"/>
      <c r="HH154" s="526"/>
      <c r="HI154" s="526"/>
      <c r="HJ154" s="526"/>
      <c r="HK154" s="526"/>
      <c r="HL154" s="526"/>
      <c r="HM154" s="526"/>
      <c r="HN154" s="526"/>
      <c r="HO154" s="526"/>
      <c r="HP154" s="526"/>
      <c r="HQ154" s="526"/>
      <c r="HR154" s="526"/>
      <c r="HS154" s="526"/>
      <c r="HT154" s="526"/>
      <c r="HU154" s="526"/>
      <c r="HV154" s="526"/>
      <c r="HW154" s="526"/>
      <c r="HX154" s="526"/>
      <c r="HY154" s="526"/>
      <c r="HZ154" s="526"/>
      <c r="IA154" s="526"/>
      <c r="IB154" s="526"/>
      <c r="IC154" s="526"/>
      <c r="ID154" s="526"/>
      <c r="IE154" s="526"/>
      <c r="IF154" s="526"/>
      <c r="IG154" s="526"/>
      <c r="IH154" s="526"/>
      <c r="II154" s="526"/>
      <c r="IJ154" s="526"/>
      <c r="IK154" s="526"/>
      <c r="IL154" s="526"/>
      <c r="IM154" s="526"/>
      <c r="IN154" s="526"/>
      <c r="IO154" s="526"/>
      <c r="IP154" s="526"/>
      <c r="IQ154" s="526"/>
    </row>
    <row r="155" spans="1:251" ht="29.25" customHeight="1">
      <c r="A155" s="525">
        <v>146</v>
      </c>
      <c r="B155" s="538"/>
      <c r="C155" s="543">
        <v>30</v>
      </c>
      <c r="D155" s="1013" t="s">
        <v>633</v>
      </c>
      <c r="E155" s="540">
        <f>F155+G155+L159+M156</f>
        <v>12048</v>
      </c>
      <c r="F155" s="541"/>
      <c r="G155" s="1460"/>
      <c r="H155" s="753" t="s">
        <v>23</v>
      </c>
      <c r="I155" s="728"/>
      <c r="J155" s="540"/>
      <c r="K155" s="540"/>
      <c r="L155" s="551"/>
      <c r="M155" s="542"/>
      <c r="N155" s="526"/>
      <c r="O155" s="526"/>
      <c r="P155" s="526"/>
      <c r="Q155" s="526"/>
      <c r="R155" s="526"/>
      <c r="S155" s="526"/>
      <c r="T155" s="526"/>
      <c r="U155" s="526"/>
      <c r="V155" s="526"/>
      <c r="W155" s="526"/>
      <c r="X155" s="526"/>
      <c r="Y155" s="526"/>
      <c r="Z155" s="526"/>
      <c r="AA155" s="526"/>
      <c r="AB155" s="526"/>
      <c r="AC155" s="526"/>
      <c r="AD155" s="526"/>
      <c r="AE155" s="526"/>
      <c r="AF155" s="526"/>
      <c r="AG155" s="526"/>
      <c r="AH155" s="526"/>
      <c r="AI155" s="526"/>
      <c r="AJ155" s="526"/>
      <c r="AK155" s="526"/>
      <c r="AL155" s="526"/>
      <c r="AM155" s="526"/>
      <c r="AN155" s="526"/>
      <c r="AO155" s="526"/>
      <c r="AP155" s="526"/>
      <c r="AQ155" s="526"/>
      <c r="AR155" s="526"/>
      <c r="AS155" s="526"/>
      <c r="AT155" s="526"/>
      <c r="AU155" s="526"/>
      <c r="AV155" s="526"/>
      <c r="AW155" s="526"/>
      <c r="AX155" s="526"/>
      <c r="AY155" s="526"/>
      <c r="AZ155" s="526"/>
      <c r="BA155" s="526"/>
      <c r="BB155" s="526"/>
      <c r="BC155" s="526"/>
      <c r="BD155" s="526"/>
      <c r="BE155" s="526"/>
      <c r="BF155" s="526"/>
      <c r="BG155" s="526"/>
      <c r="BH155" s="526"/>
      <c r="BI155" s="526"/>
      <c r="BJ155" s="526"/>
      <c r="BK155" s="526"/>
      <c r="BL155" s="526"/>
      <c r="BM155" s="526"/>
      <c r="BN155" s="526"/>
      <c r="BO155" s="526"/>
      <c r="BP155" s="526"/>
      <c r="BQ155" s="526"/>
      <c r="BR155" s="526"/>
      <c r="BS155" s="526"/>
      <c r="BT155" s="526"/>
      <c r="BU155" s="526"/>
      <c r="BV155" s="526"/>
      <c r="BW155" s="526"/>
      <c r="BX155" s="526"/>
      <c r="BY155" s="526"/>
      <c r="BZ155" s="526"/>
      <c r="CA155" s="526"/>
      <c r="CB155" s="526"/>
      <c r="CC155" s="526"/>
      <c r="CD155" s="526"/>
      <c r="CE155" s="526"/>
      <c r="CF155" s="526"/>
      <c r="CG155" s="526"/>
      <c r="CH155" s="526"/>
      <c r="CI155" s="526"/>
      <c r="CJ155" s="526"/>
      <c r="CK155" s="526"/>
      <c r="CL155" s="526"/>
      <c r="CM155" s="526"/>
      <c r="CN155" s="526"/>
      <c r="CO155" s="526"/>
      <c r="CP155" s="526"/>
      <c r="CQ155" s="526"/>
      <c r="CR155" s="526"/>
      <c r="CS155" s="526"/>
      <c r="CT155" s="526"/>
      <c r="CU155" s="526"/>
      <c r="CV155" s="526"/>
      <c r="CW155" s="526"/>
      <c r="CX155" s="526"/>
      <c r="CY155" s="526"/>
      <c r="CZ155" s="526"/>
      <c r="DA155" s="526"/>
      <c r="DB155" s="526"/>
      <c r="DC155" s="526"/>
      <c r="DD155" s="526"/>
      <c r="DE155" s="526"/>
      <c r="DF155" s="526"/>
      <c r="DG155" s="526"/>
      <c r="DH155" s="526"/>
      <c r="DI155" s="526"/>
      <c r="DJ155" s="526"/>
      <c r="DK155" s="526"/>
      <c r="DL155" s="526"/>
      <c r="DM155" s="526"/>
      <c r="DN155" s="526"/>
      <c r="DO155" s="526"/>
      <c r="DP155" s="526"/>
      <c r="DQ155" s="526"/>
      <c r="DR155" s="526"/>
      <c r="DS155" s="526"/>
      <c r="DT155" s="526"/>
      <c r="DU155" s="526"/>
      <c r="DV155" s="526"/>
      <c r="DW155" s="526"/>
      <c r="DX155" s="526"/>
      <c r="DY155" s="526"/>
      <c r="DZ155" s="526"/>
      <c r="EA155" s="526"/>
      <c r="EB155" s="526"/>
      <c r="EC155" s="526"/>
      <c r="ED155" s="526"/>
      <c r="EE155" s="526"/>
      <c r="EF155" s="526"/>
      <c r="EG155" s="526"/>
      <c r="EH155" s="526"/>
      <c r="EI155" s="526"/>
      <c r="EJ155" s="526"/>
      <c r="EK155" s="526"/>
      <c r="EL155" s="526"/>
      <c r="EM155" s="526"/>
      <c r="EN155" s="526"/>
      <c r="EO155" s="526"/>
      <c r="EP155" s="526"/>
      <c r="EQ155" s="526"/>
      <c r="ER155" s="526"/>
      <c r="ES155" s="526"/>
      <c r="ET155" s="526"/>
      <c r="EU155" s="526"/>
      <c r="EV155" s="526"/>
      <c r="EW155" s="526"/>
      <c r="EX155" s="526"/>
      <c r="EY155" s="526"/>
      <c r="EZ155" s="526"/>
      <c r="FA155" s="526"/>
      <c r="FB155" s="526"/>
      <c r="FC155" s="526"/>
      <c r="FD155" s="526"/>
      <c r="FE155" s="526"/>
      <c r="FF155" s="526"/>
      <c r="FG155" s="526"/>
      <c r="FH155" s="526"/>
      <c r="FI155" s="526"/>
      <c r="FJ155" s="526"/>
      <c r="FK155" s="526"/>
      <c r="FL155" s="526"/>
      <c r="FM155" s="526"/>
      <c r="FN155" s="526"/>
      <c r="FO155" s="526"/>
      <c r="FP155" s="526"/>
      <c r="FQ155" s="526"/>
      <c r="FR155" s="526"/>
      <c r="FS155" s="526"/>
      <c r="FT155" s="526"/>
      <c r="FU155" s="526"/>
      <c r="FV155" s="526"/>
      <c r="FW155" s="526"/>
      <c r="FX155" s="526"/>
      <c r="FY155" s="526"/>
      <c r="FZ155" s="526"/>
      <c r="GA155" s="526"/>
      <c r="GB155" s="526"/>
      <c r="GC155" s="526"/>
      <c r="GD155" s="526"/>
      <c r="GE155" s="526"/>
      <c r="GF155" s="526"/>
      <c r="GG155" s="526"/>
      <c r="GH155" s="526"/>
      <c r="GI155" s="526"/>
      <c r="GJ155" s="526"/>
      <c r="GK155" s="526"/>
      <c r="GL155" s="526"/>
      <c r="GM155" s="526"/>
      <c r="GN155" s="526"/>
      <c r="GO155" s="526"/>
      <c r="GP155" s="526"/>
      <c r="GQ155" s="526"/>
      <c r="GR155" s="526"/>
      <c r="GS155" s="526"/>
      <c r="GT155" s="526"/>
      <c r="GU155" s="526"/>
      <c r="GV155" s="526"/>
      <c r="GW155" s="526"/>
      <c r="GX155" s="526"/>
      <c r="GY155" s="526"/>
      <c r="GZ155" s="526"/>
      <c r="HA155" s="526"/>
      <c r="HB155" s="526"/>
      <c r="HC155" s="526"/>
      <c r="HD155" s="526"/>
      <c r="HE155" s="526"/>
      <c r="HF155" s="526"/>
      <c r="HG155" s="526"/>
      <c r="HH155" s="526"/>
      <c r="HI155" s="526"/>
      <c r="HJ155" s="526"/>
      <c r="HK155" s="526"/>
      <c r="HL155" s="526"/>
      <c r="HM155" s="526"/>
      <c r="HN155" s="526"/>
      <c r="HO155" s="526"/>
      <c r="HP155" s="526"/>
      <c r="HQ155" s="526"/>
      <c r="HR155" s="526"/>
      <c r="HS155" s="526"/>
      <c r="HT155" s="526"/>
      <c r="HU155" s="526"/>
      <c r="HV155" s="526"/>
      <c r="HW155" s="526"/>
      <c r="HX155" s="526"/>
      <c r="HY155" s="526"/>
      <c r="HZ155" s="526"/>
      <c r="IA155" s="526"/>
      <c r="IB155" s="526"/>
      <c r="IC155" s="526"/>
      <c r="ID155" s="526"/>
      <c r="IE155" s="526"/>
      <c r="IF155" s="526"/>
      <c r="IG155" s="526"/>
      <c r="IH155" s="526"/>
      <c r="II155" s="526"/>
      <c r="IJ155" s="526"/>
      <c r="IK155" s="526"/>
      <c r="IL155" s="526"/>
      <c r="IM155" s="526"/>
      <c r="IN155" s="526"/>
      <c r="IO155" s="526"/>
      <c r="IP155" s="526"/>
      <c r="IQ155" s="526"/>
    </row>
    <row r="156" spans="1:251" s="1431" customFormat="1" ht="18" customHeight="1">
      <c r="A156" s="525">
        <v>147</v>
      </c>
      <c r="B156" s="1424"/>
      <c r="C156" s="1425"/>
      <c r="D156" s="594" t="s">
        <v>283</v>
      </c>
      <c r="E156" s="1422"/>
      <c r="F156" s="1426"/>
      <c r="G156" s="1461"/>
      <c r="H156" s="1427"/>
      <c r="I156" s="1428"/>
      <c r="J156" s="1422">
        <v>6000</v>
      </c>
      <c r="K156" s="1422"/>
      <c r="L156" s="1423">
        <f>SUM(I156:K156)</f>
        <v>6000</v>
      </c>
      <c r="M156" s="1429"/>
      <c r="N156" s="1430"/>
      <c r="O156" s="1430"/>
      <c r="P156" s="1430"/>
      <c r="Q156" s="1430"/>
      <c r="R156" s="1430"/>
      <c r="S156" s="1430"/>
      <c r="T156" s="1430"/>
      <c r="U156" s="1430"/>
      <c r="V156" s="1430"/>
      <c r="W156" s="1430"/>
      <c r="X156" s="1430"/>
      <c r="Y156" s="1430"/>
      <c r="Z156" s="1430"/>
      <c r="AA156" s="1430"/>
      <c r="AB156" s="1430"/>
      <c r="AC156" s="1430"/>
      <c r="AD156" s="1430"/>
      <c r="AE156" s="1430"/>
      <c r="AF156" s="1430"/>
      <c r="AG156" s="1430"/>
      <c r="AH156" s="1430"/>
      <c r="AI156" s="1430"/>
      <c r="AJ156" s="1430"/>
      <c r="AK156" s="1430"/>
      <c r="AL156" s="1430"/>
      <c r="AM156" s="1430"/>
      <c r="AN156" s="1430"/>
      <c r="AO156" s="1430"/>
      <c r="AP156" s="1430"/>
      <c r="AQ156" s="1430"/>
      <c r="AR156" s="1430"/>
      <c r="AS156" s="1430"/>
      <c r="AT156" s="1430"/>
      <c r="AU156" s="1430"/>
      <c r="AV156" s="1430"/>
      <c r="AW156" s="1430"/>
      <c r="AX156" s="1430"/>
      <c r="AY156" s="1430"/>
      <c r="AZ156" s="1430"/>
      <c r="BA156" s="1430"/>
      <c r="BB156" s="1430"/>
      <c r="BC156" s="1430"/>
      <c r="BD156" s="1430"/>
      <c r="BE156" s="1430"/>
      <c r="BF156" s="1430"/>
      <c r="BG156" s="1430"/>
      <c r="BH156" s="1430"/>
      <c r="BI156" s="1430"/>
      <c r="BJ156" s="1430"/>
      <c r="BK156" s="1430"/>
      <c r="BL156" s="1430"/>
      <c r="BM156" s="1430"/>
      <c r="BN156" s="1430"/>
      <c r="BO156" s="1430"/>
      <c r="BP156" s="1430"/>
      <c r="BQ156" s="1430"/>
      <c r="BR156" s="1430"/>
      <c r="BS156" s="1430"/>
      <c r="BT156" s="1430"/>
      <c r="BU156" s="1430"/>
      <c r="BV156" s="1430"/>
      <c r="BW156" s="1430"/>
      <c r="BX156" s="1430"/>
      <c r="BY156" s="1430"/>
      <c r="BZ156" s="1430"/>
      <c r="CA156" s="1430"/>
      <c r="CB156" s="1430"/>
      <c r="CC156" s="1430"/>
      <c r="CD156" s="1430"/>
      <c r="CE156" s="1430"/>
      <c r="CF156" s="1430"/>
      <c r="CG156" s="1430"/>
      <c r="CH156" s="1430"/>
      <c r="CI156" s="1430"/>
      <c r="CJ156" s="1430"/>
      <c r="CK156" s="1430"/>
      <c r="CL156" s="1430"/>
      <c r="CM156" s="1430"/>
      <c r="CN156" s="1430"/>
      <c r="CO156" s="1430"/>
      <c r="CP156" s="1430"/>
      <c r="CQ156" s="1430"/>
      <c r="CR156" s="1430"/>
      <c r="CS156" s="1430"/>
      <c r="CT156" s="1430"/>
      <c r="CU156" s="1430"/>
      <c r="CV156" s="1430"/>
      <c r="CW156" s="1430"/>
      <c r="CX156" s="1430"/>
      <c r="CY156" s="1430"/>
      <c r="CZ156" s="1430"/>
      <c r="DA156" s="1430"/>
      <c r="DB156" s="1430"/>
      <c r="DC156" s="1430"/>
      <c r="DD156" s="1430"/>
      <c r="DE156" s="1430"/>
      <c r="DF156" s="1430"/>
      <c r="DG156" s="1430"/>
      <c r="DH156" s="1430"/>
      <c r="DI156" s="1430"/>
      <c r="DJ156" s="1430"/>
      <c r="DK156" s="1430"/>
      <c r="DL156" s="1430"/>
      <c r="DM156" s="1430"/>
      <c r="DN156" s="1430"/>
      <c r="DO156" s="1430"/>
      <c r="DP156" s="1430"/>
      <c r="DQ156" s="1430"/>
      <c r="DR156" s="1430"/>
      <c r="DS156" s="1430"/>
      <c r="DT156" s="1430"/>
      <c r="DU156" s="1430"/>
      <c r="DV156" s="1430"/>
      <c r="DW156" s="1430"/>
      <c r="DX156" s="1430"/>
      <c r="DY156" s="1430"/>
      <c r="DZ156" s="1430"/>
      <c r="EA156" s="1430"/>
      <c r="EB156" s="1430"/>
      <c r="EC156" s="1430"/>
      <c r="ED156" s="1430"/>
      <c r="EE156" s="1430"/>
      <c r="EF156" s="1430"/>
      <c r="EG156" s="1430"/>
      <c r="EH156" s="1430"/>
      <c r="EI156" s="1430"/>
      <c r="EJ156" s="1430"/>
      <c r="EK156" s="1430"/>
      <c r="EL156" s="1430"/>
      <c r="EM156" s="1430"/>
      <c r="EN156" s="1430"/>
      <c r="EO156" s="1430"/>
      <c r="EP156" s="1430"/>
      <c r="EQ156" s="1430"/>
      <c r="ER156" s="1430"/>
      <c r="ES156" s="1430"/>
      <c r="ET156" s="1430"/>
      <c r="EU156" s="1430"/>
      <c r="EV156" s="1430"/>
      <c r="EW156" s="1430"/>
      <c r="EX156" s="1430"/>
      <c r="EY156" s="1430"/>
      <c r="EZ156" s="1430"/>
      <c r="FA156" s="1430"/>
      <c r="FB156" s="1430"/>
      <c r="FC156" s="1430"/>
      <c r="FD156" s="1430"/>
      <c r="FE156" s="1430"/>
      <c r="FF156" s="1430"/>
      <c r="FG156" s="1430"/>
      <c r="FH156" s="1430"/>
      <c r="FI156" s="1430"/>
      <c r="FJ156" s="1430"/>
      <c r="FK156" s="1430"/>
      <c r="FL156" s="1430"/>
      <c r="FM156" s="1430"/>
      <c r="FN156" s="1430"/>
      <c r="FO156" s="1430"/>
      <c r="FP156" s="1430"/>
      <c r="FQ156" s="1430"/>
      <c r="FR156" s="1430"/>
      <c r="FS156" s="1430"/>
      <c r="FT156" s="1430"/>
      <c r="FU156" s="1430"/>
      <c r="FV156" s="1430"/>
      <c r="FW156" s="1430"/>
      <c r="FX156" s="1430"/>
      <c r="FY156" s="1430"/>
      <c r="FZ156" s="1430"/>
      <c r="GA156" s="1430"/>
      <c r="GB156" s="1430"/>
      <c r="GC156" s="1430"/>
      <c r="GD156" s="1430"/>
      <c r="GE156" s="1430"/>
      <c r="GF156" s="1430"/>
      <c r="GG156" s="1430"/>
      <c r="GH156" s="1430"/>
      <c r="GI156" s="1430"/>
      <c r="GJ156" s="1430"/>
      <c r="GK156" s="1430"/>
      <c r="GL156" s="1430"/>
      <c r="GM156" s="1430"/>
      <c r="GN156" s="1430"/>
      <c r="GO156" s="1430"/>
      <c r="GP156" s="1430"/>
      <c r="GQ156" s="1430"/>
      <c r="GR156" s="1430"/>
      <c r="GS156" s="1430"/>
      <c r="GT156" s="1430"/>
      <c r="GU156" s="1430"/>
      <c r="GV156" s="1430"/>
      <c r="GW156" s="1430"/>
      <c r="GX156" s="1430"/>
      <c r="GY156" s="1430"/>
      <c r="GZ156" s="1430"/>
      <c r="HA156" s="1430"/>
      <c r="HB156" s="1430"/>
      <c r="HC156" s="1430"/>
      <c r="HD156" s="1430"/>
      <c r="HE156" s="1430"/>
      <c r="HF156" s="1430"/>
      <c r="HG156" s="1430"/>
      <c r="HH156" s="1430"/>
      <c r="HI156" s="1430"/>
      <c r="HJ156" s="1430"/>
      <c r="HK156" s="1430"/>
      <c r="HL156" s="1430"/>
      <c r="HM156" s="1430"/>
      <c r="HN156" s="1430"/>
      <c r="HO156" s="1430"/>
      <c r="HP156" s="1430"/>
      <c r="HQ156" s="1430"/>
      <c r="HR156" s="1430"/>
      <c r="HS156" s="1430"/>
      <c r="HT156" s="1430"/>
      <c r="HU156" s="1430"/>
      <c r="HV156" s="1430"/>
      <c r="HW156" s="1430"/>
      <c r="HX156" s="1430"/>
      <c r="HY156" s="1430"/>
      <c r="HZ156" s="1430"/>
      <c r="IA156" s="1430"/>
      <c r="IB156" s="1430"/>
      <c r="IC156" s="1430"/>
      <c r="ID156" s="1430"/>
      <c r="IE156" s="1430"/>
      <c r="IF156" s="1430"/>
      <c r="IG156" s="1430"/>
      <c r="IH156" s="1430"/>
      <c r="II156" s="1430"/>
      <c r="IJ156" s="1430"/>
      <c r="IK156" s="1430"/>
      <c r="IL156" s="1430"/>
      <c r="IM156" s="1430"/>
      <c r="IN156" s="1430"/>
      <c r="IO156" s="1430"/>
      <c r="IP156" s="1430"/>
      <c r="IQ156" s="1430"/>
    </row>
    <row r="157" spans="1:251" s="1431" customFormat="1" ht="18" customHeight="1">
      <c r="A157" s="525">
        <v>148</v>
      </c>
      <c r="B157" s="1424"/>
      <c r="C157" s="1425"/>
      <c r="D157" s="483" t="s">
        <v>938</v>
      </c>
      <c r="E157" s="1422"/>
      <c r="F157" s="1426"/>
      <c r="G157" s="1461"/>
      <c r="H157" s="1427"/>
      <c r="I157" s="1428"/>
      <c r="J157" s="1561">
        <v>12048</v>
      </c>
      <c r="K157" s="1561"/>
      <c r="L157" s="1669">
        <f>SUM(I157:K157)</f>
        <v>12048</v>
      </c>
      <c r="M157" s="1429"/>
      <c r="N157" s="1430"/>
      <c r="O157" s="1430"/>
      <c r="P157" s="1430"/>
      <c r="Q157" s="1430"/>
      <c r="R157" s="1430"/>
      <c r="S157" s="1430"/>
      <c r="T157" s="1430"/>
      <c r="U157" s="1430"/>
      <c r="V157" s="1430"/>
      <c r="W157" s="1430"/>
      <c r="X157" s="1430"/>
      <c r="Y157" s="1430"/>
      <c r="Z157" s="1430"/>
      <c r="AA157" s="1430"/>
      <c r="AB157" s="1430"/>
      <c r="AC157" s="1430"/>
      <c r="AD157" s="1430"/>
      <c r="AE157" s="1430"/>
      <c r="AF157" s="1430"/>
      <c r="AG157" s="1430"/>
      <c r="AH157" s="1430"/>
      <c r="AI157" s="1430"/>
      <c r="AJ157" s="1430"/>
      <c r="AK157" s="1430"/>
      <c r="AL157" s="1430"/>
      <c r="AM157" s="1430"/>
      <c r="AN157" s="1430"/>
      <c r="AO157" s="1430"/>
      <c r="AP157" s="1430"/>
      <c r="AQ157" s="1430"/>
      <c r="AR157" s="1430"/>
      <c r="AS157" s="1430"/>
      <c r="AT157" s="1430"/>
      <c r="AU157" s="1430"/>
      <c r="AV157" s="1430"/>
      <c r="AW157" s="1430"/>
      <c r="AX157" s="1430"/>
      <c r="AY157" s="1430"/>
      <c r="AZ157" s="1430"/>
      <c r="BA157" s="1430"/>
      <c r="BB157" s="1430"/>
      <c r="BC157" s="1430"/>
      <c r="BD157" s="1430"/>
      <c r="BE157" s="1430"/>
      <c r="BF157" s="1430"/>
      <c r="BG157" s="1430"/>
      <c r="BH157" s="1430"/>
      <c r="BI157" s="1430"/>
      <c r="BJ157" s="1430"/>
      <c r="BK157" s="1430"/>
      <c r="BL157" s="1430"/>
      <c r="BM157" s="1430"/>
      <c r="BN157" s="1430"/>
      <c r="BO157" s="1430"/>
      <c r="BP157" s="1430"/>
      <c r="BQ157" s="1430"/>
      <c r="BR157" s="1430"/>
      <c r="BS157" s="1430"/>
      <c r="BT157" s="1430"/>
      <c r="BU157" s="1430"/>
      <c r="BV157" s="1430"/>
      <c r="BW157" s="1430"/>
      <c r="BX157" s="1430"/>
      <c r="BY157" s="1430"/>
      <c r="BZ157" s="1430"/>
      <c r="CA157" s="1430"/>
      <c r="CB157" s="1430"/>
      <c r="CC157" s="1430"/>
      <c r="CD157" s="1430"/>
      <c r="CE157" s="1430"/>
      <c r="CF157" s="1430"/>
      <c r="CG157" s="1430"/>
      <c r="CH157" s="1430"/>
      <c r="CI157" s="1430"/>
      <c r="CJ157" s="1430"/>
      <c r="CK157" s="1430"/>
      <c r="CL157" s="1430"/>
      <c r="CM157" s="1430"/>
      <c r="CN157" s="1430"/>
      <c r="CO157" s="1430"/>
      <c r="CP157" s="1430"/>
      <c r="CQ157" s="1430"/>
      <c r="CR157" s="1430"/>
      <c r="CS157" s="1430"/>
      <c r="CT157" s="1430"/>
      <c r="CU157" s="1430"/>
      <c r="CV157" s="1430"/>
      <c r="CW157" s="1430"/>
      <c r="CX157" s="1430"/>
      <c r="CY157" s="1430"/>
      <c r="CZ157" s="1430"/>
      <c r="DA157" s="1430"/>
      <c r="DB157" s="1430"/>
      <c r="DC157" s="1430"/>
      <c r="DD157" s="1430"/>
      <c r="DE157" s="1430"/>
      <c r="DF157" s="1430"/>
      <c r="DG157" s="1430"/>
      <c r="DH157" s="1430"/>
      <c r="DI157" s="1430"/>
      <c r="DJ157" s="1430"/>
      <c r="DK157" s="1430"/>
      <c r="DL157" s="1430"/>
      <c r="DM157" s="1430"/>
      <c r="DN157" s="1430"/>
      <c r="DO157" s="1430"/>
      <c r="DP157" s="1430"/>
      <c r="DQ157" s="1430"/>
      <c r="DR157" s="1430"/>
      <c r="DS157" s="1430"/>
      <c r="DT157" s="1430"/>
      <c r="DU157" s="1430"/>
      <c r="DV157" s="1430"/>
      <c r="DW157" s="1430"/>
      <c r="DX157" s="1430"/>
      <c r="DY157" s="1430"/>
      <c r="DZ157" s="1430"/>
      <c r="EA157" s="1430"/>
      <c r="EB157" s="1430"/>
      <c r="EC157" s="1430"/>
      <c r="ED157" s="1430"/>
      <c r="EE157" s="1430"/>
      <c r="EF157" s="1430"/>
      <c r="EG157" s="1430"/>
      <c r="EH157" s="1430"/>
      <c r="EI157" s="1430"/>
      <c r="EJ157" s="1430"/>
      <c r="EK157" s="1430"/>
      <c r="EL157" s="1430"/>
      <c r="EM157" s="1430"/>
      <c r="EN157" s="1430"/>
      <c r="EO157" s="1430"/>
      <c r="EP157" s="1430"/>
      <c r="EQ157" s="1430"/>
      <c r="ER157" s="1430"/>
      <c r="ES157" s="1430"/>
      <c r="ET157" s="1430"/>
      <c r="EU157" s="1430"/>
      <c r="EV157" s="1430"/>
      <c r="EW157" s="1430"/>
      <c r="EX157" s="1430"/>
      <c r="EY157" s="1430"/>
      <c r="EZ157" s="1430"/>
      <c r="FA157" s="1430"/>
      <c r="FB157" s="1430"/>
      <c r="FC157" s="1430"/>
      <c r="FD157" s="1430"/>
      <c r="FE157" s="1430"/>
      <c r="FF157" s="1430"/>
      <c r="FG157" s="1430"/>
      <c r="FH157" s="1430"/>
      <c r="FI157" s="1430"/>
      <c r="FJ157" s="1430"/>
      <c r="FK157" s="1430"/>
      <c r="FL157" s="1430"/>
      <c r="FM157" s="1430"/>
      <c r="FN157" s="1430"/>
      <c r="FO157" s="1430"/>
      <c r="FP157" s="1430"/>
      <c r="FQ157" s="1430"/>
      <c r="FR157" s="1430"/>
      <c r="FS157" s="1430"/>
      <c r="FT157" s="1430"/>
      <c r="FU157" s="1430"/>
      <c r="FV157" s="1430"/>
      <c r="FW157" s="1430"/>
      <c r="FX157" s="1430"/>
      <c r="FY157" s="1430"/>
      <c r="FZ157" s="1430"/>
      <c r="GA157" s="1430"/>
      <c r="GB157" s="1430"/>
      <c r="GC157" s="1430"/>
      <c r="GD157" s="1430"/>
      <c r="GE157" s="1430"/>
      <c r="GF157" s="1430"/>
      <c r="GG157" s="1430"/>
      <c r="GH157" s="1430"/>
      <c r="GI157" s="1430"/>
      <c r="GJ157" s="1430"/>
      <c r="GK157" s="1430"/>
      <c r="GL157" s="1430"/>
      <c r="GM157" s="1430"/>
      <c r="GN157" s="1430"/>
      <c r="GO157" s="1430"/>
      <c r="GP157" s="1430"/>
      <c r="GQ157" s="1430"/>
      <c r="GR157" s="1430"/>
      <c r="GS157" s="1430"/>
      <c r="GT157" s="1430"/>
      <c r="GU157" s="1430"/>
      <c r="GV157" s="1430"/>
      <c r="GW157" s="1430"/>
      <c r="GX157" s="1430"/>
      <c r="GY157" s="1430"/>
      <c r="GZ157" s="1430"/>
      <c r="HA157" s="1430"/>
      <c r="HB157" s="1430"/>
      <c r="HC157" s="1430"/>
      <c r="HD157" s="1430"/>
      <c r="HE157" s="1430"/>
      <c r="HF157" s="1430"/>
      <c r="HG157" s="1430"/>
      <c r="HH157" s="1430"/>
      <c r="HI157" s="1430"/>
      <c r="HJ157" s="1430"/>
      <c r="HK157" s="1430"/>
      <c r="HL157" s="1430"/>
      <c r="HM157" s="1430"/>
      <c r="HN157" s="1430"/>
      <c r="HO157" s="1430"/>
      <c r="HP157" s="1430"/>
      <c r="HQ157" s="1430"/>
      <c r="HR157" s="1430"/>
      <c r="HS157" s="1430"/>
      <c r="HT157" s="1430"/>
      <c r="HU157" s="1430"/>
      <c r="HV157" s="1430"/>
      <c r="HW157" s="1430"/>
      <c r="HX157" s="1430"/>
      <c r="HY157" s="1430"/>
      <c r="HZ157" s="1430"/>
      <c r="IA157" s="1430"/>
      <c r="IB157" s="1430"/>
      <c r="IC157" s="1430"/>
      <c r="ID157" s="1430"/>
      <c r="IE157" s="1430"/>
      <c r="IF157" s="1430"/>
      <c r="IG157" s="1430"/>
      <c r="IH157" s="1430"/>
      <c r="II157" s="1430"/>
      <c r="IJ157" s="1430"/>
      <c r="IK157" s="1430"/>
      <c r="IL157" s="1430"/>
      <c r="IM157" s="1430"/>
      <c r="IN157" s="1430"/>
      <c r="IO157" s="1430"/>
      <c r="IP157" s="1430"/>
      <c r="IQ157" s="1430"/>
    </row>
    <row r="158" spans="1:251" ht="18" customHeight="1">
      <c r="A158" s="525">
        <v>149</v>
      </c>
      <c r="B158" s="538"/>
      <c r="C158" s="543"/>
      <c r="D158" s="1146" t="s">
        <v>725</v>
      </c>
      <c r="E158" s="540"/>
      <c r="F158" s="541"/>
      <c r="G158" s="1460"/>
      <c r="H158" s="753"/>
      <c r="I158" s="728"/>
      <c r="J158" s="1458"/>
      <c r="K158" s="540"/>
      <c r="L158" s="1241">
        <f>SUM(I158:K158)</f>
        <v>0</v>
      </c>
      <c r="M158" s="542"/>
      <c r="N158" s="526"/>
      <c r="O158" s="526"/>
      <c r="P158" s="526"/>
      <c r="Q158" s="526"/>
      <c r="R158" s="526"/>
      <c r="S158" s="526"/>
      <c r="T158" s="526"/>
      <c r="U158" s="526"/>
      <c r="V158" s="526"/>
      <c r="W158" s="526"/>
      <c r="X158" s="526"/>
      <c r="Y158" s="526"/>
      <c r="Z158" s="526"/>
      <c r="AA158" s="526"/>
      <c r="AB158" s="526"/>
      <c r="AC158" s="526"/>
      <c r="AD158" s="526"/>
      <c r="AE158" s="526"/>
      <c r="AF158" s="526"/>
      <c r="AG158" s="526"/>
      <c r="AH158" s="526"/>
      <c r="AI158" s="526"/>
      <c r="AJ158" s="526"/>
      <c r="AK158" s="526"/>
      <c r="AL158" s="526"/>
      <c r="AM158" s="526"/>
      <c r="AN158" s="526"/>
      <c r="AO158" s="526"/>
      <c r="AP158" s="526"/>
      <c r="AQ158" s="526"/>
      <c r="AR158" s="526"/>
      <c r="AS158" s="526"/>
      <c r="AT158" s="526"/>
      <c r="AU158" s="526"/>
      <c r="AV158" s="526"/>
      <c r="AW158" s="526"/>
      <c r="AX158" s="526"/>
      <c r="AY158" s="526"/>
      <c r="AZ158" s="526"/>
      <c r="BA158" s="526"/>
      <c r="BB158" s="526"/>
      <c r="BC158" s="526"/>
      <c r="BD158" s="526"/>
      <c r="BE158" s="526"/>
      <c r="BF158" s="526"/>
      <c r="BG158" s="526"/>
      <c r="BH158" s="526"/>
      <c r="BI158" s="526"/>
      <c r="BJ158" s="526"/>
      <c r="BK158" s="526"/>
      <c r="BL158" s="526"/>
      <c r="BM158" s="526"/>
      <c r="BN158" s="526"/>
      <c r="BO158" s="526"/>
      <c r="BP158" s="526"/>
      <c r="BQ158" s="526"/>
      <c r="BR158" s="526"/>
      <c r="BS158" s="526"/>
      <c r="BT158" s="526"/>
      <c r="BU158" s="526"/>
      <c r="BV158" s="526"/>
      <c r="BW158" s="526"/>
      <c r="BX158" s="526"/>
      <c r="BY158" s="526"/>
      <c r="BZ158" s="526"/>
      <c r="CA158" s="526"/>
      <c r="CB158" s="526"/>
      <c r="CC158" s="526"/>
      <c r="CD158" s="526"/>
      <c r="CE158" s="526"/>
      <c r="CF158" s="526"/>
      <c r="CG158" s="526"/>
      <c r="CH158" s="526"/>
      <c r="CI158" s="526"/>
      <c r="CJ158" s="526"/>
      <c r="CK158" s="526"/>
      <c r="CL158" s="526"/>
      <c r="CM158" s="526"/>
      <c r="CN158" s="526"/>
      <c r="CO158" s="526"/>
      <c r="CP158" s="526"/>
      <c r="CQ158" s="526"/>
      <c r="CR158" s="526"/>
      <c r="CS158" s="526"/>
      <c r="CT158" s="526"/>
      <c r="CU158" s="526"/>
      <c r="CV158" s="526"/>
      <c r="CW158" s="526"/>
      <c r="CX158" s="526"/>
      <c r="CY158" s="526"/>
      <c r="CZ158" s="526"/>
      <c r="DA158" s="526"/>
      <c r="DB158" s="526"/>
      <c r="DC158" s="526"/>
      <c r="DD158" s="526"/>
      <c r="DE158" s="526"/>
      <c r="DF158" s="526"/>
      <c r="DG158" s="526"/>
      <c r="DH158" s="526"/>
      <c r="DI158" s="526"/>
      <c r="DJ158" s="526"/>
      <c r="DK158" s="526"/>
      <c r="DL158" s="526"/>
      <c r="DM158" s="526"/>
      <c r="DN158" s="526"/>
      <c r="DO158" s="526"/>
      <c r="DP158" s="526"/>
      <c r="DQ158" s="526"/>
      <c r="DR158" s="526"/>
      <c r="DS158" s="526"/>
      <c r="DT158" s="526"/>
      <c r="DU158" s="526"/>
      <c r="DV158" s="526"/>
      <c r="DW158" s="526"/>
      <c r="DX158" s="526"/>
      <c r="DY158" s="526"/>
      <c r="DZ158" s="526"/>
      <c r="EA158" s="526"/>
      <c r="EB158" s="526"/>
      <c r="EC158" s="526"/>
      <c r="ED158" s="526"/>
      <c r="EE158" s="526"/>
      <c r="EF158" s="526"/>
      <c r="EG158" s="526"/>
      <c r="EH158" s="526"/>
      <c r="EI158" s="526"/>
      <c r="EJ158" s="526"/>
      <c r="EK158" s="526"/>
      <c r="EL158" s="526"/>
      <c r="EM158" s="526"/>
      <c r="EN158" s="526"/>
      <c r="EO158" s="526"/>
      <c r="EP158" s="526"/>
      <c r="EQ158" s="526"/>
      <c r="ER158" s="526"/>
      <c r="ES158" s="526"/>
      <c r="ET158" s="526"/>
      <c r="EU158" s="526"/>
      <c r="EV158" s="526"/>
      <c r="EW158" s="526"/>
      <c r="EX158" s="526"/>
      <c r="EY158" s="526"/>
      <c r="EZ158" s="526"/>
      <c r="FA158" s="526"/>
      <c r="FB158" s="526"/>
      <c r="FC158" s="526"/>
      <c r="FD158" s="526"/>
      <c r="FE158" s="526"/>
      <c r="FF158" s="526"/>
      <c r="FG158" s="526"/>
      <c r="FH158" s="526"/>
      <c r="FI158" s="526"/>
      <c r="FJ158" s="526"/>
      <c r="FK158" s="526"/>
      <c r="FL158" s="526"/>
      <c r="FM158" s="526"/>
      <c r="FN158" s="526"/>
      <c r="FO158" s="526"/>
      <c r="FP158" s="526"/>
      <c r="FQ158" s="526"/>
      <c r="FR158" s="526"/>
      <c r="FS158" s="526"/>
      <c r="FT158" s="526"/>
      <c r="FU158" s="526"/>
      <c r="FV158" s="526"/>
      <c r="FW158" s="526"/>
      <c r="FX158" s="526"/>
      <c r="FY158" s="526"/>
      <c r="FZ158" s="526"/>
      <c r="GA158" s="526"/>
      <c r="GB158" s="526"/>
      <c r="GC158" s="526"/>
      <c r="GD158" s="526"/>
      <c r="GE158" s="526"/>
      <c r="GF158" s="526"/>
      <c r="GG158" s="526"/>
      <c r="GH158" s="526"/>
      <c r="GI158" s="526"/>
      <c r="GJ158" s="526"/>
      <c r="GK158" s="526"/>
      <c r="GL158" s="526"/>
      <c r="GM158" s="526"/>
      <c r="GN158" s="526"/>
      <c r="GO158" s="526"/>
      <c r="GP158" s="526"/>
      <c r="GQ158" s="526"/>
      <c r="GR158" s="526"/>
      <c r="GS158" s="526"/>
      <c r="GT158" s="526"/>
      <c r="GU158" s="526"/>
      <c r="GV158" s="526"/>
      <c r="GW158" s="526"/>
      <c r="GX158" s="526"/>
      <c r="GY158" s="526"/>
      <c r="GZ158" s="526"/>
      <c r="HA158" s="526"/>
      <c r="HB158" s="526"/>
      <c r="HC158" s="526"/>
      <c r="HD158" s="526"/>
      <c r="HE158" s="526"/>
      <c r="HF158" s="526"/>
      <c r="HG158" s="526"/>
      <c r="HH158" s="526"/>
      <c r="HI158" s="526"/>
      <c r="HJ158" s="526"/>
      <c r="HK158" s="526"/>
      <c r="HL158" s="526"/>
      <c r="HM158" s="526"/>
      <c r="HN158" s="526"/>
      <c r="HO158" s="526"/>
      <c r="HP158" s="526"/>
      <c r="HQ158" s="526"/>
      <c r="HR158" s="526"/>
      <c r="HS158" s="526"/>
      <c r="HT158" s="526"/>
      <c r="HU158" s="526"/>
      <c r="HV158" s="526"/>
      <c r="HW158" s="526"/>
      <c r="HX158" s="526"/>
      <c r="HY158" s="526"/>
      <c r="HZ158" s="526"/>
      <c r="IA158" s="526"/>
      <c r="IB158" s="526"/>
      <c r="IC158" s="526"/>
      <c r="ID158" s="526"/>
      <c r="IE158" s="526"/>
      <c r="IF158" s="526"/>
      <c r="IG158" s="526"/>
      <c r="IH158" s="526"/>
      <c r="II158" s="526"/>
      <c r="IJ158" s="526"/>
      <c r="IK158" s="526"/>
      <c r="IL158" s="526"/>
      <c r="IM158" s="526"/>
      <c r="IN158" s="526"/>
      <c r="IO158" s="526"/>
      <c r="IP158" s="526"/>
      <c r="IQ158" s="526"/>
    </row>
    <row r="159" spans="1:251" ht="18" customHeight="1">
      <c r="A159" s="525">
        <v>150</v>
      </c>
      <c r="B159" s="538"/>
      <c r="C159" s="543"/>
      <c r="D159" s="483" t="s">
        <v>1091</v>
      </c>
      <c r="E159" s="540"/>
      <c r="F159" s="541"/>
      <c r="G159" s="1460"/>
      <c r="H159" s="753"/>
      <c r="I159" s="728"/>
      <c r="J159" s="1561">
        <f>SUM(J157:J158)</f>
        <v>12048</v>
      </c>
      <c r="K159" s="540"/>
      <c r="L159" s="1238">
        <f>SUM(I159:K159)</f>
        <v>12048</v>
      </c>
      <c r="M159" s="542"/>
      <c r="N159" s="526"/>
      <c r="O159" s="526"/>
      <c r="P159" s="526"/>
      <c r="Q159" s="526"/>
      <c r="R159" s="526"/>
      <c r="S159" s="526"/>
      <c r="T159" s="526"/>
      <c r="U159" s="526"/>
      <c r="V159" s="526"/>
      <c r="W159" s="526"/>
      <c r="X159" s="526"/>
      <c r="Y159" s="526"/>
      <c r="Z159" s="526"/>
      <c r="AA159" s="526"/>
      <c r="AB159" s="526"/>
      <c r="AC159" s="526"/>
      <c r="AD159" s="526"/>
      <c r="AE159" s="526"/>
      <c r="AF159" s="526"/>
      <c r="AG159" s="526"/>
      <c r="AH159" s="526"/>
      <c r="AI159" s="526"/>
      <c r="AJ159" s="526"/>
      <c r="AK159" s="526"/>
      <c r="AL159" s="526"/>
      <c r="AM159" s="526"/>
      <c r="AN159" s="526"/>
      <c r="AO159" s="526"/>
      <c r="AP159" s="526"/>
      <c r="AQ159" s="526"/>
      <c r="AR159" s="526"/>
      <c r="AS159" s="526"/>
      <c r="AT159" s="526"/>
      <c r="AU159" s="526"/>
      <c r="AV159" s="526"/>
      <c r="AW159" s="526"/>
      <c r="AX159" s="526"/>
      <c r="AY159" s="526"/>
      <c r="AZ159" s="526"/>
      <c r="BA159" s="526"/>
      <c r="BB159" s="526"/>
      <c r="BC159" s="526"/>
      <c r="BD159" s="526"/>
      <c r="BE159" s="526"/>
      <c r="BF159" s="526"/>
      <c r="BG159" s="526"/>
      <c r="BH159" s="526"/>
      <c r="BI159" s="526"/>
      <c r="BJ159" s="526"/>
      <c r="BK159" s="526"/>
      <c r="BL159" s="526"/>
      <c r="BM159" s="526"/>
      <c r="BN159" s="526"/>
      <c r="BO159" s="526"/>
      <c r="BP159" s="526"/>
      <c r="BQ159" s="526"/>
      <c r="BR159" s="526"/>
      <c r="BS159" s="526"/>
      <c r="BT159" s="526"/>
      <c r="BU159" s="526"/>
      <c r="BV159" s="526"/>
      <c r="BW159" s="526"/>
      <c r="BX159" s="526"/>
      <c r="BY159" s="526"/>
      <c r="BZ159" s="526"/>
      <c r="CA159" s="526"/>
      <c r="CB159" s="526"/>
      <c r="CC159" s="526"/>
      <c r="CD159" s="526"/>
      <c r="CE159" s="526"/>
      <c r="CF159" s="526"/>
      <c r="CG159" s="526"/>
      <c r="CH159" s="526"/>
      <c r="CI159" s="526"/>
      <c r="CJ159" s="526"/>
      <c r="CK159" s="526"/>
      <c r="CL159" s="526"/>
      <c r="CM159" s="526"/>
      <c r="CN159" s="526"/>
      <c r="CO159" s="526"/>
      <c r="CP159" s="526"/>
      <c r="CQ159" s="526"/>
      <c r="CR159" s="526"/>
      <c r="CS159" s="526"/>
      <c r="CT159" s="526"/>
      <c r="CU159" s="526"/>
      <c r="CV159" s="526"/>
      <c r="CW159" s="526"/>
      <c r="CX159" s="526"/>
      <c r="CY159" s="526"/>
      <c r="CZ159" s="526"/>
      <c r="DA159" s="526"/>
      <c r="DB159" s="526"/>
      <c r="DC159" s="526"/>
      <c r="DD159" s="526"/>
      <c r="DE159" s="526"/>
      <c r="DF159" s="526"/>
      <c r="DG159" s="526"/>
      <c r="DH159" s="526"/>
      <c r="DI159" s="526"/>
      <c r="DJ159" s="526"/>
      <c r="DK159" s="526"/>
      <c r="DL159" s="526"/>
      <c r="DM159" s="526"/>
      <c r="DN159" s="526"/>
      <c r="DO159" s="526"/>
      <c r="DP159" s="526"/>
      <c r="DQ159" s="526"/>
      <c r="DR159" s="526"/>
      <c r="DS159" s="526"/>
      <c r="DT159" s="526"/>
      <c r="DU159" s="526"/>
      <c r="DV159" s="526"/>
      <c r="DW159" s="526"/>
      <c r="DX159" s="526"/>
      <c r="DY159" s="526"/>
      <c r="DZ159" s="526"/>
      <c r="EA159" s="526"/>
      <c r="EB159" s="526"/>
      <c r="EC159" s="526"/>
      <c r="ED159" s="526"/>
      <c r="EE159" s="526"/>
      <c r="EF159" s="526"/>
      <c r="EG159" s="526"/>
      <c r="EH159" s="526"/>
      <c r="EI159" s="526"/>
      <c r="EJ159" s="526"/>
      <c r="EK159" s="526"/>
      <c r="EL159" s="526"/>
      <c r="EM159" s="526"/>
      <c r="EN159" s="526"/>
      <c r="EO159" s="526"/>
      <c r="EP159" s="526"/>
      <c r="EQ159" s="526"/>
      <c r="ER159" s="526"/>
      <c r="ES159" s="526"/>
      <c r="ET159" s="526"/>
      <c r="EU159" s="526"/>
      <c r="EV159" s="526"/>
      <c r="EW159" s="526"/>
      <c r="EX159" s="526"/>
      <c r="EY159" s="526"/>
      <c r="EZ159" s="526"/>
      <c r="FA159" s="526"/>
      <c r="FB159" s="526"/>
      <c r="FC159" s="526"/>
      <c r="FD159" s="526"/>
      <c r="FE159" s="526"/>
      <c r="FF159" s="526"/>
      <c r="FG159" s="526"/>
      <c r="FH159" s="526"/>
      <c r="FI159" s="526"/>
      <c r="FJ159" s="526"/>
      <c r="FK159" s="526"/>
      <c r="FL159" s="526"/>
      <c r="FM159" s="526"/>
      <c r="FN159" s="526"/>
      <c r="FO159" s="526"/>
      <c r="FP159" s="526"/>
      <c r="FQ159" s="526"/>
      <c r="FR159" s="526"/>
      <c r="FS159" s="526"/>
      <c r="FT159" s="526"/>
      <c r="FU159" s="526"/>
      <c r="FV159" s="526"/>
      <c r="FW159" s="526"/>
      <c r="FX159" s="526"/>
      <c r="FY159" s="526"/>
      <c r="FZ159" s="526"/>
      <c r="GA159" s="526"/>
      <c r="GB159" s="526"/>
      <c r="GC159" s="526"/>
      <c r="GD159" s="526"/>
      <c r="GE159" s="526"/>
      <c r="GF159" s="526"/>
      <c r="GG159" s="526"/>
      <c r="GH159" s="526"/>
      <c r="GI159" s="526"/>
      <c r="GJ159" s="526"/>
      <c r="GK159" s="526"/>
      <c r="GL159" s="526"/>
      <c r="GM159" s="526"/>
      <c r="GN159" s="526"/>
      <c r="GO159" s="526"/>
      <c r="GP159" s="526"/>
      <c r="GQ159" s="526"/>
      <c r="GR159" s="526"/>
      <c r="GS159" s="526"/>
      <c r="GT159" s="526"/>
      <c r="GU159" s="526"/>
      <c r="GV159" s="526"/>
      <c r="GW159" s="526"/>
      <c r="GX159" s="526"/>
      <c r="GY159" s="526"/>
      <c r="GZ159" s="526"/>
      <c r="HA159" s="526"/>
      <c r="HB159" s="526"/>
      <c r="HC159" s="526"/>
      <c r="HD159" s="526"/>
      <c r="HE159" s="526"/>
      <c r="HF159" s="526"/>
      <c r="HG159" s="526"/>
      <c r="HH159" s="526"/>
      <c r="HI159" s="526"/>
      <c r="HJ159" s="526"/>
      <c r="HK159" s="526"/>
      <c r="HL159" s="526"/>
      <c r="HM159" s="526"/>
      <c r="HN159" s="526"/>
      <c r="HO159" s="526"/>
      <c r="HP159" s="526"/>
      <c r="HQ159" s="526"/>
      <c r="HR159" s="526"/>
      <c r="HS159" s="526"/>
      <c r="HT159" s="526"/>
      <c r="HU159" s="526"/>
      <c r="HV159" s="526"/>
      <c r="HW159" s="526"/>
      <c r="HX159" s="526"/>
      <c r="HY159" s="526"/>
      <c r="HZ159" s="526"/>
      <c r="IA159" s="526"/>
      <c r="IB159" s="526"/>
      <c r="IC159" s="526"/>
      <c r="ID159" s="526"/>
      <c r="IE159" s="526"/>
      <c r="IF159" s="526"/>
      <c r="IG159" s="526"/>
      <c r="IH159" s="526"/>
      <c r="II159" s="526"/>
      <c r="IJ159" s="526"/>
      <c r="IK159" s="526"/>
      <c r="IL159" s="526"/>
      <c r="IM159" s="526"/>
      <c r="IN159" s="526"/>
      <c r="IO159" s="526"/>
      <c r="IP159" s="526"/>
      <c r="IQ159" s="526"/>
    </row>
    <row r="160" spans="1:251" ht="22.5" customHeight="1">
      <c r="A160" s="525">
        <v>151</v>
      </c>
      <c r="B160" s="538"/>
      <c r="C160" s="539">
        <v>31</v>
      </c>
      <c r="D160" s="328" t="s">
        <v>634</v>
      </c>
      <c r="E160" s="540">
        <f>F160+G160+L164+M161</f>
        <v>15000</v>
      </c>
      <c r="F160" s="541"/>
      <c r="G160" s="1460"/>
      <c r="H160" s="753" t="s">
        <v>23</v>
      </c>
      <c r="I160" s="728"/>
      <c r="J160" s="540"/>
      <c r="K160" s="540"/>
      <c r="L160" s="551"/>
      <c r="M160" s="542"/>
      <c r="N160" s="526"/>
      <c r="O160" s="526"/>
      <c r="P160" s="526"/>
      <c r="Q160" s="526"/>
      <c r="R160" s="526"/>
      <c r="S160" s="526"/>
      <c r="T160" s="526"/>
      <c r="U160" s="526"/>
      <c r="V160" s="526"/>
      <c r="W160" s="526"/>
      <c r="X160" s="526"/>
      <c r="Y160" s="526"/>
      <c r="Z160" s="526"/>
      <c r="AA160" s="526"/>
      <c r="AB160" s="526"/>
      <c r="AC160" s="526"/>
      <c r="AD160" s="526"/>
      <c r="AE160" s="526"/>
      <c r="AF160" s="526"/>
      <c r="AG160" s="526"/>
      <c r="AH160" s="526"/>
      <c r="AI160" s="526"/>
      <c r="AJ160" s="526"/>
      <c r="AK160" s="526"/>
      <c r="AL160" s="526"/>
      <c r="AM160" s="526"/>
      <c r="AN160" s="526"/>
      <c r="AO160" s="526"/>
      <c r="AP160" s="526"/>
      <c r="AQ160" s="526"/>
      <c r="AR160" s="526"/>
      <c r="AS160" s="526"/>
      <c r="AT160" s="526"/>
      <c r="AU160" s="526"/>
      <c r="AV160" s="526"/>
      <c r="AW160" s="526"/>
      <c r="AX160" s="526"/>
      <c r="AY160" s="526"/>
      <c r="AZ160" s="526"/>
      <c r="BA160" s="526"/>
      <c r="BB160" s="526"/>
      <c r="BC160" s="526"/>
      <c r="BD160" s="526"/>
      <c r="BE160" s="526"/>
      <c r="BF160" s="526"/>
      <c r="BG160" s="526"/>
      <c r="BH160" s="526"/>
      <c r="BI160" s="526"/>
      <c r="BJ160" s="526"/>
      <c r="BK160" s="526"/>
      <c r="BL160" s="526"/>
      <c r="BM160" s="526"/>
      <c r="BN160" s="526"/>
      <c r="BO160" s="526"/>
      <c r="BP160" s="526"/>
      <c r="BQ160" s="526"/>
      <c r="BR160" s="526"/>
      <c r="BS160" s="526"/>
      <c r="BT160" s="526"/>
      <c r="BU160" s="526"/>
      <c r="BV160" s="526"/>
      <c r="BW160" s="526"/>
      <c r="BX160" s="526"/>
      <c r="BY160" s="526"/>
      <c r="BZ160" s="526"/>
      <c r="CA160" s="526"/>
      <c r="CB160" s="526"/>
      <c r="CC160" s="526"/>
      <c r="CD160" s="526"/>
      <c r="CE160" s="526"/>
      <c r="CF160" s="526"/>
      <c r="CG160" s="526"/>
      <c r="CH160" s="526"/>
      <c r="CI160" s="526"/>
      <c r="CJ160" s="526"/>
      <c r="CK160" s="526"/>
      <c r="CL160" s="526"/>
      <c r="CM160" s="526"/>
      <c r="CN160" s="526"/>
      <c r="CO160" s="526"/>
      <c r="CP160" s="526"/>
      <c r="CQ160" s="526"/>
      <c r="CR160" s="526"/>
      <c r="CS160" s="526"/>
      <c r="CT160" s="526"/>
      <c r="CU160" s="526"/>
      <c r="CV160" s="526"/>
      <c r="CW160" s="526"/>
      <c r="CX160" s="526"/>
      <c r="CY160" s="526"/>
      <c r="CZ160" s="526"/>
      <c r="DA160" s="526"/>
      <c r="DB160" s="526"/>
      <c r="DC160" s="526"/>
      <c r="DD160" s="526"/>
      <c r="DE160" s="526"/>
      <c r="DF160" s="526"/>
      <c r="DG160" s="526"/>
      <c r="DH160" s="526"/>
      <c r="DI160" s="526"/>
      <c r="DJ160" s="526"/>
      <c r="DK160" s="526"/>
      <c r="DL160" s="526"/>
      <c r="DM160" s="526"/>
      <c r="DN160" s="526"/>
      <c r="DO160" s="526"/>
      <c r="DP160" s="526"/>
      <c r="DQ160" s="526"/>
      <c r="DR160" s="526"/>
      <c r="DS160" s="526"/>
      <c r="DT160" s="526"/>
      <c r="DU160" s="526"/>
      <c r="DV160" s="526"/>
      <c r="DW160" s="526"/>
      <c r="DX160" s="526"/>
      <c r="DY160" s="526"/>
      <c r="DZ160" s="526"/>
      <c r="EA160" s="526"/>
      <c r="EB160" s="526"/>
      <c r="EC160" s="526"/>
      <c r="ED160" s="526"/>
      <c r="EE160" s="526"/>
      <c r="EF160" s="526"/>
      <c r="EG160" s="526"/>
      <c r="EH160" s="526"/>
      <c r="EI160" s="526"/>
      <c r="EJ160" s="526"/>
      <c r="EK160" s="526"/>
      <c r="EL160" s="526"/>
      <c r="EM160" s="526"/>
      <c r="EN160" s="526"/>
      <c r="EO160" s="526"/>
      <c r="EP160" s="526"/>
      <c r="EQ160" s="526"/>
      <c r="ER160" s="526"/>
      <c r="ES160" s="526"/>
      <c r="ET160" s="526"/>
      <c r="EU160" s="526"/>
      <c r="EV160" s="526"/>
      <c r="EW160" s="526"/>
      <c r="EX160" s="526"/>
      <c r="EY160" s="526"/>
      <c r="EZ160" s="526"/>
      <c r="FA160" s="526"/>
      <c r="FB160" s="526"/>
      <c r="FC160" s="526"/>
      <c r="FD160" s="526"/>
      <c r="FE160" s="526"/>
      <c r="FF160" s="526"/>
      <c r="FG160" s="526"/>
      <c r="FH160" s="526"/>
      <c r="FI160" s="526"/>
      <c r="FJ160" s="526"/>
      <c r="FK160" s="526"/>
      <c r="FL160" s="526"/>
      <c r="FM160" s="526"/>
      <c r="FN160" s="526"/>
      <c r="FO160" s="526"/>
      <c r="FP160" s="526"/>
      <c r="FQ160" s="526"/>
      <c r="FR160" s="526"/>
      <c r="FS160" s="526"/>
      <c r="FT160" s="526"/>
      <c r="FU160" s="526"/>
      <c r="FV160" s="526"/>
      <c r="FW160" s="526"/>
      <c r="FX160" s="526"/>
      <c r="FY160" s="526"/>
      <c r="FZ160" s="526"/>
      <c r="GA160" s="526"/>
      <c r="GB160" s="526"/>
      <c r="GC160" s="526"/>
      <c r="GD160" s="526"/>
      <c r="GE160" s="526"/>
      <c r="GF160" s="526"/>
      <c r="GG160" s="526"/>
      <c r="GH160" s="526"/>
      <c r="GI160" s="526"/>
      <c r="GJ160" s="526"/>
      <c r="GK160" s="526"/>
      <c r="GL160" s="526"/>
      <c r="GM160" s="526"/>
      <c r="GN160" s="526"/>
      <c r="GO160" s="526"/>
      <c r="GP160" s="526"/>
      <c r="GQ160" s="526"/>
      <c r="GR160" s="526"/>
      <c r="GS160" s="526"/>
      <c r="GT160" s="526"/>
      <c r="GU160" s="526"/>
      <c r="GV160" s="526"/>
      <c r="GW160" s="526"/>
      <c r="GX160" s="526"/>
      <c r="GY160" s="526"/>
      <c r="GZ160" s="526"/>
      <c r="HA160" s="526"/>
      <c r="HB160" s="526"/>
      <c r="HC160" s="526"/>
      <c r="HD160" s="526"/>
      <c r="HE160" s="526"/>
      <c r="HF160" s="526"/>
      <c r="HG160" s="526"/>
      <c r="HH160" s="526"/>
      <c r="HI160" s="526"/>
      <c r="HJ160" s="526"/>
      <c r="HK160" s="526"/>
      <c r="HL160" s="526"/>
      <c r="HM160" s="526"/>
      <c r="HN160" s="526"/>
      <c r="HO160" s="526"/>
      <c r="HP160" s="526"/>
      <c r="HQ160" s="526"/>
      <c r="HR160" s="526"/>
      <c r="HS160" s="526"/>
      <c r="HT160" s="526"/>
      <c r="HU160" s="526"/>
      <c r="HV160" s="526"/>
      <c r="HW160" s="526"/>
      <c r="HX160" s="526"/>
      <c r="HY160" s="526"/>
      <c r="HZ160" s="526"/>
      <c r="IA160" s="526"/>
      <c r="IB160" s="526"/>
      <c r="IC160" s="526"/>
      <c r="ID160" s="526"/>
      <c r="IE160" s="526"/>
      <c r="IF160" s="526"/>
      <c r="IG160" s="526"/>
      <c r="IH160" s="526"/>
      <c r="II160" s="526"/>
      <c r="IJ160" s="526"/>
      <c r="IK160" s="526"/>
      <c r="IL160" s="526"/>
      <c r="IM160" s="526"/>
      <c r="IN160" s="526"/>
      <c r="IO160" s="526"/>
      <c r="IP160" s="526"/>
      <c r="IQ160" s="526"/>
    </row>
    <row r="161" spans="1:251" s="1431" customFormat="1" ht="18" customHeight="1">
      <c r="A161" s="525">
        <v>152</v>
      </c>
      <c r="B161" s="1424"/>
      <c r="C161" s="1425"/>
      <c r="D161" s="594" t="s">
        <v>283</v>
      </c>
      <c r="E161" s="1422"/>
      <c r="F161" s="1426"/>
      <c r="G161" s="1461"/>
      <c r="H161" s="1427"/>
      <c r="I161" s="1428"/>
      <c r="J161" s="1422">
        <v>15000</v>
      </c>
      <c r="K161" s="1422"/>
      <c r="L161" s="1423">
        <f>SUM(I161:K161)</f>
        <v>15000</v>
      </c>
      <c r="M161" s="1429"/>
      <c r="N161" s="1430"/>
      <c r="O161" s="1430"/>
      <c r="P161" s="1430"/>
      <c r="Q161" s="1430"/>
      <c r="R161" s="1430"/>
      <c r="S161" s="1430"/>
      <c r="T161" s="1430"/>
      <c r="U161" s="1430"/>
      <c r="V161" s="1430"/>
      <c r="W161" s="1430"/>
      <c r="X161" s="1430"/>
      <c r="Y161" s="1430"/>
      <c r="Z161" s="1430"/>
      <c r="AA161" s="1430"/>
      <c r="AB161" s="1430"/>
      <c r="AC161" s="1430"/>
      <c r="AD161" s="1430"/>
      <c r="AE161" s="1430"/>
      <c r="AF161" s="1430"/>
      <c r="AG161" s="1430"/>
      <c r="AH161" s="1430"/>
      <c r="AI161" s="1430"/>
      <c r="AJ161" s="1430"/>
      <c r="AK161" s="1430"/>
      <c r="AL161" s="1430"/>
      <c r="AM161" s="1430"/>
      <c r="AN161" s="1430"/>
      <c r="AO161" s="1430"/>
      <c r="AP161" s="1430"/>
      <c r="AQ161" s="1430"/>
      <c r="AR161" s="1430"/>
      <c r="AS161" s="1430"/>
      <c r="AT161" s="1430"/>
      <c r="AU161" s="1430"/>
      <c r="AV161" s="1430"/>
      <c r="AW161" s="1430"/>
      <c r="AX161" s="1430"/>
      <c r="AY161" s="1430"/>
      <c r="AZ161" s="1430"/>
      <c r="BA161" s="1430"/>
      <c r="BB161" s="1430"/>
      <c r="BC161" s="1430"/>
      <c r="BD161" s="1430"/>
      <c r="BE161" s="1430"/>
      <c r="BF161" s="1430"/>
      <c r="BG161" s="1430"/>
      <c r="BH161" s="1430"/>
      <c r="BI161" s="1430"/>
      <c r="BJ161" s="1430"/>
      <c r="BK161" s="1430"/>
      <c r="BL161" s="1430"/>
      <c r="BM161" s="1430"/>
      <c r="BN161" s="1430"/>
      <c r="BO161" s="1430"/>
      <c r="BP161" s="1430"/>
      <c r="BQ161" s="1430"/>
      <c r="BR161" s="1430"/>
      <c r="BS161" s="1430"/>
      <c r="BT161" s="1430"/>
      <c r="BU161" s="1430"/>
      <c r="BV161" s="1430"/>
      <c r="BW161" s="1430"/>
      <c r="BX161" s="1430"/>
      <c r="BY161" s="1430"/>
      <c r="BZ161" s="1430"/>
      <c r="CA161" s="1430"/>
      <c r="CB161" s="1430"/>
      <c r="CC161" s="1430"/>
      <c r="CD161" s="1430"/>
      <c r="CE161" s="1430"/>
      <c r="CF161" s="1430"/>
      <c r="CG161" s="1430"/>
      <c r="CH161" s="1430"/>
      <c r="CI161" s="1430"/>
      <c r="CJ161" s="1430"/>
      <c r="CK161" s="1430"/>
      <c r="CL161" s="1430"/>
      <c r="CM161" s="1430"/>
      <c r="CN161" s="1430"/>
      <c r="CO161" s="1430"/>
      <c r="CP161" s="1430"/>
      <c r="CQ161" s="1430"/>
      <c r="CR161" s="1430"/>
      <c r="CS161" s="1430"/>
      <c r="CT161" s="1430"/>
      <c r="CU161" s="1430"/>
      <c r="CV161" s="1430"/>
      <c r="CW161" s="1430"/>
      <c r="CX161" s="1430"/>
      <c r="CY161" s="1430"/>
      <c r="CZ161" s="1430"/>
      <c r="DA161" s="1430"/>
      <c r="DB161" s="1430"/>
      <c r="DC161" s="1430"/>
      <c r="DD161" s="1430"/>
      <c r="DE161" s="1430"/>
      <c r="DF161" s="1430"/>
      <c r="DG161" s="1430"/>
      <c r="DH161" s="1430"/>
      <c r="DI161" s="1430"/>
      <c r="DJ161" s="1430"/>
      <c r="DK161" s="1430"/>
      <c r="DL161" s="1430"/>
      <c r="DM161" s="1430"/>
      <c r="DN161" s="1430"/>
      <c r="DO161" s="1430"/>
      <c r="DP161" s="1430"/>
      <c r="DQ161" s="1430"/>
      <c r="DR161" s="1430"/>
      <c r="DS161" s="1430"/>
      <c r="DT161" s="1430"/>
      <c r="DU161" s="1430"/>
      <c r="DV161" s="1430"/>
      <c r="DW161" s="1430"/>
      <c r="DX161" s="1430"/>
      <c r="DY161" s="1430"/>
      <c r="DZ161" s="1430"/>
      <c r="EA161" s="1430"/>
      <c r="EB161" s="1430"/>
      <c r="EC161" s="1430"/>
      <c r="ED161" s="1430"/>
      <c r="EE161" s="1430"/>
      <c r="EF161" s="1430"/>
      <c r="EG161" s="1430"/>
      <c r="EH161" s="1430"/>
      <c r="EI161" s="1430"/>
      <c r="EJ161" s="1430"/>
      <c r="EK161" s="1430"/>
      <c r="EL161" s="1430"/>
      <c r="EM161" s="1430"/>
      <c r="EN161" s="1430"/>
      <c r="EO161" s="1430"/>
      <c r="EP161" s="1430"/>
      <c r="EQ161" s="1430"/>
      <c r="ER161" s="1430"/>
      <c r="ES161" s="1430"/>
      <c r="ET161" s="1430"/>
      <c r="EU161" s="1430"/>
      <c r="EV161" s="1430"/>
      <c r="EW161" s="1430"/>
      <c r="EX161" s="1430"/>
      <c r="EY161" s="1430"/>
      <c r="EZ161" s="1430"/>
      <c r="FA161" s="1430"/>
      <c r="FB161" s="1430"/>
      <c r="FC161" s="1430"/>
      <c r="FD161" s="1430"/>
      <c r="FE161" s="1430"/>
      <c r="FF161" s="1430"/>
      <c r="FG161" s="1430"/>
      <c r="FH161" s="1430"/>
      <c r="FI161" s="1430"/>
      <c r="FJ161" s="1430"/>
      <c r="FK161" s="1430"/>
      <c r="FL161" s="1430"/>
      <c r="FM161" s="1430"/>
      <c r="FN161" s="1430"/>
      <c r="FO161" s="1430"/>
      <c r="FP161" s="1430"/>
      <c r="FQ161" s="1430"/>
      <c r="FR161" s="1430"/>
      <c r="FS161" s="1430"/>
      <c r="FT161" s="1430"/>
      <c r="FU161" s="1430"/>
      <c r="FV161" s="1430"/>
      <c r="FW161" s="1430"/>
      <c r="FX161" s="1430"/>
      <c r="FY161" s="1430"/>
      <c r="FZ161" s="1430"/>
      <c r="GA161" s="1430"/>
      <c r="GB161" s="1430"/>
      <c r="GC161" s="1430"/>
      <c r="GD161" s="1430"/>
      <c r="GE161" s="1430"/>
      <c r="GF161" s="1430"/>
      <c r="GG161" s="1430"/>
      <c r="GH161" s="1430"/>
      <c r="GI161" s="1430"/>
      <c r="GJ161" s="1430"/>
      <c r="GK161" s="1430"/>
      <c r="GL161" s="1430"/>
      <c r="GM161" s="1430"/>
      <c r="GN161" s="1430"/>
      <c r="GO161" s="1430"/>
      <c r="GP161" s="1430"/>
      <c r="GQ161" s="1430"/>
      <c r="GR161" s="1430"/>
      <c r="GS161" s="1430"/>
      <c r="GT161" s="1430"/>
      <c r="GU161" s="1430"/>
      <c r="GV161" s="1430"/>
      <c r="GW161" s="1430"/>
      <c r="GX161" s="1430"/>
      <c r="GY161" s="1430"/>
      <c r="GZ161" s="1430"/>
      <c r="HA161" s="1430"/>
      <c r="HB161" s="1430"/>
      <c r="HC161" s="1430"/>
      <c r="HD161" s="1430"/>
      <c r="HE161" s="1430"/>
      <c r="HF161" s="1430"/>
      <c r="HG161" s="1430"/>
      <c r="HH161" s="1430"/>
      <c r="HI161" s="1430"/>
      <c r="HJ161" s="1430"/>
      <c r="HK161" s="1430"/>
      <c r="HL161" s="1430"/>
      <c r="HM161" s="1430"/>
      <c r="HN161" s="1430"/>
      <c r="HO161" s="1430"/>
      <c r="HP161" s="1430"/>
      <c r="HQ161" s="1430"/>
      <c r="HR161" s="1430"/>
      <c r="HS161" s="1430"/>
      <c r="HT161" s="1430"/>
      <c r="HU161" s="1430"/>
      <c r="HV161" s="1430"/>
      <c r="HW161" s="1430"/>
      <c r="HX161" s="1430"/>
      <c r="HY161" s="1430"/>
      <c r="HZ161" s="1430"/>
      <c r="IA161" s="1430"/>
      <c r="IB161" s="1430"/>
      <c r="IC161" s="1430"/>
      <c r="ID161" s="1430"/>
      <c r="IE161" s="1430"/>
      <c r="IF161" s="1430"/>
      <c r="IG161" s="1430"/>
      <c r="IH161" s="1430"/>
      <c r="II161" s="1430"/>
      <c r="IJ161" s="1430"/>
      <c r="IK161" s="1430"/>
      <c r="IL161" s="1430"/>
      <c r="IM161" s="1430"/>
      <c r="IN161" s="1430"/>
      <c r="IO161" s="1430"/>
      <c r="IP161" s="1430"/>
      <c r="IQ161" s="1430"/>
    </row>
    <row r="162" spans="1:251" s="1431" customFormat="1" ht="18" customHeight="1">
      <c r="A162" s="525">
        <v>153</v>
      </c>
      <c r="B162" s="1424"/>
      <c r="C162" s="1425"/>
      <c r="D162" s="483" t="s">
        <v>938</v>
      </c>
      <c r="E162" s="1422"/>
      <c r="F162" s="1426"/>
      <c r="G162" s="1461"/>
      <c r="H162" s="1427"/>
      <c r="I162" s="1428"/>
      <c r="J162" s="1561">
        <v>15000</v>
      </c>
      <c r="K162" s="1561"/>
      <c r="L162" s="1669">
        <f>SUM(I162:K162)</f>
        <v>15000</v>
      </c>
      <c r="M162" s="1429"/>
      <c r="N162" s="1430"/>
      <c r="O162" s="1430"/>
      <c r="P162" s="1430"/>
      <c r="Q162" s="1430"/>
      <c r="R162" s="1430"/>
      <c r="S162" s="1430"/>
      <c r="T162" s="1430"/>
      <c r="U162" s="1430"/>
      <c r="V162" s="1430"/>
      <c r="W162" s="1430"/>
      <c r="X162" s="1430"/>
      <c r="Y162" s="1430"/>
      <c r="Z162" s="1430"/>
      <c r="AA162" s="1430"/>
      <c r="AB162" s="1430"/>
      <c r="AC162" s="1430"/>
      <c r="AD162" s="1430"/>
      <c r="AE162" s="1430"/>
      <c r="AF162" s="1430"/>
      <c r="AG162" s="1430"/>
      <c r="AH162" s="1430"/>
      <c r="AI162" s="1430"/>
      <c r="AJ162" s="1430"/>
      <c r="AK162" s="1430"/>
      <c r="AL162" s="1430"/>
      <c r="AM162" s="1430"/>
      <c r="AN162" s="1430"/>
      <c r="AO162" s="1430"/>
      <c r="AP162" s="1430"/>
      <c r="AQ162" s="1430"/>
      <c r="AR162" s="1430"/>
      <c r="AS162" s="1430"/>
      <c r="AT162" s="1430"/>
      <c r="AU162" s="1430"/>
      <c r="AV162" s="1430"/>
      <c r="AW162" s="1430"/>
      <c r="AX162" s="1430"/>
      <c r="AY162" s="1430"/>
      <c r="AZ162" s="1430"/>
      <c r="BA162" s="1430"/>
      <c r="BB162" s="1430"/>
      <c r="BC162" s="1430"/>
      <c r="BD162" s="1430"/>
      <c r="BE162" s="1430"/>
      <c r="BF162" s="1430"/>
      <c r="BG162" s="1430"/>
      <c r="BH162" s="1430"/>
      <c r="BI162" s="1430"/>
      <c r="BJ162" s="1430"/>
      <c r="BK162" s="1430"/>
      <c r="BL162" s="1430"/>
      <c r="BM162" s="1430"/>
      <c r="BN162" s="1430"/>
      <c r="BO162" s="1430"/>
      <c r="BP162" s="1430"/>
      <c r="BQ162" s="1430"/>
      <c r="BR162" s="1430"/>
      <c r="BS162" s="1430"/>
      <c r="BT162" s="1430"/>
      <c r="BU162" s="1430"/>
      <c r="BV162" s="1430"/>
      <c r="BW162" s="1430"/>
      <c r="BX162" s="1430"/>
      <c r="BY162" s="1430"/>
      <c r="BZ162" s="1430"/>
      <c r="CA162" s="1430"/>
      <c r="CB162" s="1430"/>
      <c r="CC162" s="1430"/>
      <c r="CD162" s="1430"/>
      <c r="CE162" s="1430"/>
      <c r="CF162" s="1430"/>
      <c r="CG162" s="1430"/>
      <c r="CH162" s="1430"/>
      <c r="CI162" s="1430"/>
      <c r="CJ162" s="1430"/>
      <c r="CK162" s="1430"/>
      <c r="CL162" s="1430"/>
      <c r="CM162" s="1430"/>
      <c r="CN162" s="1430"/>
      <c r="CO162" s="1430"/>
      <c r="CP162" s="1430"/>
      <c r="CQ162" s="1430"/>
      <c r="CR162" s="1430"/>
      <c r="CS162" s="1430"/>
      <c r="CT162" s="1430"/>
      <c r="CU162" s="1430"/>
      <c r="CV162" s="1430"/>
      <c r="CW162" s="1430"/>
      <c r="CX162" s="1430"/>
      <c r="CY162" s="1430"/>
      <c r="CZ162" s="1430"/>
      <c r="DA162" s="1430"/>
      <c r="DB162" s="1430"/>
      <c r="DC162" s="1430"/>
      <c r="DD162" s="1430"/>
      <c r="DE162" s="1430"/>
      <c r="DF162" s="1430"/>
      <c r="DG162" s="1430"/>
      <c r="DH162" s="1430"/>
      <c r="DI162" s="1430"/>
      <c r="DJ162" s="1430"/>
      <c r="DK162" s="1430"/>
      <c r="DL162" s="1430"/>
      <c r="DM162" s="1430"/>
      <c r="DN162" s="1430"/>
      <c r="DO162" s="1430"/>
      <c r="DP162" s="1430"/>
      <c r="DQ162" s="1430"/>
      <c r="DR162" s="1430"/>
      <c r="DS162" s="1430"/>
      <c r="DT162" s="1430"/>
      <c r="DU162" s="1430"/>
      <c r="DV162" s="1430"/>
      <c r="DW162" s="1430"/>
      <c r="DX162" s="1430"/>
      <c r="DY162" s="1430"/>
      <c r="DZ162" s="1430"/>
      <c r="EA162" s="1430"/>
      <c r="EB162" s="1430"/>
      <c r="EC162" s="1430"/>
      <c r="ED162" s="1430"/>
      <c r="EE162" s="1430"/>
      <c r="EF162" s="1430"/>
      <c r="EG162" s="1430"/>
      <c r="EH162" s="1430"/>
      <c r="EI162" s="1430"/>
      <c r="EJ162" s="1430"/>
      <c r="EK162" s="1430"/>
      <c r="EL162" s="1430"/>
      <c r="EM162" s="1430"/>
      <c r="EN162" s="1430"/>
      <c r="EO162" s="1430"/>
      <c r="EP162" s="1430"/>
      <c r="EQ162" s="1430"/>
      <c r="ER162" s="1430"/>
      <c r="ES162" s="1430"/>
      <c r="ET162" s="1430"/>
      <c r="EU162" s="1430"/>
      <c r="EV162" s="1430"/>
      <c r="EW162" s="1430"/>
      <c r="EX162" s="1430"/>
      <c r="EY162" s="1430"/>
      <c r="EZ162" s="1430"/>
      <c r="FA162" s="1430"/>
      <c r="FB162" s="1430"/>
      <c r="FC162" s="1430"/>
      <c r="FD162" s="1430"/>
      <c r="FE162" s="1430"/>
      <c r="FF162" s="1430"/>
      <c r="FG162" s="1430"/>
      <c r="FH162" s="1430"/>
      <c r="FI162" s="1430"/>
      <c r="FJ162" s="1430"/>
      <c r="FK162" s="1430"/>
      <c r="FL162" s="1430"/>
      <c r="FM162" s="1430"/>
      <c r="FN162" s="1430"/>
      <c r="FO162" s="1430"/>
      <c r="FP162" s="1430"/>
      <c r="FQ162" s="1430"/>
      <c r="FR162" s="1430"/>
      <c r="FS162" s="1430"/>
      <c r="FT162" s="1430"/>
      <c r="FU162" s="1430"/>
      <c r="FV162" s="1430"/>
      <c r="FW162" s="1430"/>
      <c r="FX162" s="1430"/>
      <c r="FY162" s="1430"/>
      <c r="FZ162" s="1430"/>
      <c r="GA162" s="1430"/>
      <c r="GB162" s="1430"/>
      <c r="GC162" s="1430"/>
      <c r="GD162" s="1430"/>
      <c r="GE162" s="1430"/>
      <c r="GF162" s="1430"/>
      <c r="GG162" s="1430"/>
      <c r="GH162" s="1430"/>
      <c r="GI162" s="1430"/>
      <c r="GJ162" s="1430"/>
      <c r="GK162" s="1430"/>
      <c r="GL162" s="1430"/>
      <c r="GM162" s="1430"/>
      <c r="GN162" s="1430"/>
      <c r="GO162" s="1430"/>
      <c r="GP162" s="1430"/>
      <c r="GQ162" s="1430"/>
      <c r="GR162" s="1430"/>
      <c r="GS162" s="1430"/>
      <c r="GT162" s="1430"/>
      <c r="GU162" s="1430"/>
      <c r="GV162" s="1430"/>
      <c r="GW162" s="1430"/>
      <c r="GX162" s="1430"/>
      <c r="GY162" s="1430"/>
      <c r="GZ162" s="1430"/>
      <c r="HA162" s="1430"/>
      <c r="HB162" s="1430"/>
      <c r="HC162" s="1430"/>
      <c r="HD162" s="1430"/>
      <c r="HE162" s="1430"/>
      <c r="HF162" s="1430"/>
      <c r="HG162" s="1430"/>
      <c r="HH162" s="1430"/>
      <c r="HI162" s="1430"/>
      <c r="HJ162" s="1430"/>
      <c r="HK162" s="1430"/>
      <c r="HL162" s="1430"/>
      <c r="HM162" s="1430"/>
      <c r="HN162" s="1430"/>
      <c r="HO162" s="1430"/>
      <c r="HP162" s="1430"/>
      <c r="HQ162" s="1430"/>
      <c r="HR162" s="1430"/>
      <c r="HS162" s="1430"/>
      <c r="HT162" s="1430"/>
      <c r="HU162" s="1430"/>
      <c r="HV162" s="1430"/>
      <c r="HW162" s="1430"/>
      <c r="HX162" s="1430"/>
      <c r="HY162" s="1430"/>
      <c r="HZ162" s="1430"/>
      <c r="IA162" s="1430"/>
      <c r="IB162" s="1430"/>
      <c r="IC162" s="1430"/>
      <c r="ID162" s="1430"/>
      <c r="IE162" s="1430"/>
      <c r="IF162" s="1430"/>
      <c r="IG162" s="1430"/>
      <c r="IH162" s="1430"/>
      <c r="II162" s="1430"/>
      <c r="IJ162" s="1430"/>
      <c r="IK162" s="1430"/>
      <c r="IL162" s="1430"/>
      <c r="IM162" s="1430"/>
      <c r="IN162" s="1430"/>
      <c r="IO162" s="1430"/>
      <c r="IP162" s="1430"/>
      <c r="IQ162" s="1430"/>
    </row>
    <row r="163" spans="1:251" ht="18" customHeight="1">
      <c r="A163" s="525">
        <v>154</v>
      </c>
      <c r="B163" s="538"/>
      <c r="C163" s="543"/>
      <c r="D163" s="1146" t="s">
        <v>674</v>
      </c>
      <c r="E163" s="540"/>
      <c r="F163" s="541"/>
      <c r="G163" s="1460"/>
      <c r="H163" s="753"/>
      <c r="I163" s="728"/>
      <c r="J163" s="540"/>
      <c r="K163" s="540"/>
      <c r="L163" s="1241">
        <f>SUM(I163:K163)</f>
        <v>0</v>
      </c>
      <c r="M163" s="542"/>
      <c r="N163" s="526"/>
      <c r="O163" s="526"/>
      <c r="P163" s="526"/>
      <c r="Q163" s="526"/>
      <c r="R163" s="526"/>
      <c r="S163" s="526"/>
      <c r="T163" s="526"/>
      <c r="U163" s="526"/>
      <c r="V163" s="526"/>
      <c r="W163" s="526"/>
      <c r="X163" s="526"/>
      <c r="Y163" s="526"/>
      <c r="Z163" s="526"/>
      <c r="AA163" s="526"/>
      <c r="AB163" s="526"/>
      <c r="AC163" s="526"/>
      <c r="AD163" s="526"/>
      <c r="AE163" s="526"/>
      <c r="AF163" s="526"/>
      <c r="AG163" s="526"/>
      <c r="AH163" s="526"/>
      <c r="AI163" s="526"/>
      <c r="AJ163" s="526"/>
      <c r="AK163" s="526"/>
      <c r="AL163" s="526"/>
      <c r="AM163" s="526"/>
      <c r="AN163" s="526"/>
      <c r="AO163" s="526"/>
      <c r="AP163" s="526"/>
      <c r="AQ163" s="526"/>
      <c r="AR163" s="526"/>
      <c r="AS163" s="526"/>
      <c r="AT163" s="526"/>
      <c r="AU163" s="526"/>
      <c r="AV163" s="526"/>
      <c r="AW163" s="526"/>
      <c r="AX163" s="526"/>
      <c r="AY163" s="526"/>
      <c r="AZ163" s="526"/>
      <c r="BA163" s="526"/>
      <c r="BB163" s="526"/>
      <c r="BC163" s="526"/>
      <c r="BD163" s="526"/>
      <c r="BE163" s="526"/>
      <c r="BF163" s="526"/>
      <c r="BG163" s="526"/>
      <c r="BH163" s="526"/>
      <c r="BI163" s="526"/>
      <c r="BJ163" s="526"/>
      <c r="BK163" s="526"/>
      <c r="BL163" s="526"/>
      <c r="BM163" s="526"/>
      <c r="BN163" s="526"/>
      <c r="BO163" s="526"/>
      <c r="BP163" s="526"/>
      <c r="BQ163" s="526"/>
      <c r="BR163" s="526"/>
      <c r="BS163" s="526"/>
      <c r="BT163" s="526"/>
      <c r="BU163" s="526"/>
      <c r="BV163" s="526"/>
      <c r="BW163" s="526"/>
      <c r="BX163" s="526"/>
      <c r="BY163" s="526"/>
      <c r="BZ163" s="526"/>
      <c r="CA163" s="526"/>
      <c r="CB163" s="526"/>
      <c r="CC163" s="526"/>
      <c r="CD163" s="526"/>
      <c r="CE163" s="526"/>
      <c r="CF163" s="526"/>
      <c r="CG163" s="526"/>
      <c r="CH163" s="526"/>
      <c r="CI163" s="526"/>
      <c r="CJ163" s="526"/>
      <c r="CK163" s="526"/>
      <c r="CL163" s="526"/>
      <c r="CM163" s="526"/>
      <c r="CN163" s="526"/>
      <c r="CO163" s="526"/>
      <c r="CP163" s="526"/>
      <c r="CQ163" s="526"/>
      <c r="CR163" s="526"/>
      <c r="CS163" s="526"/>
      <c r="CT163" s="526"/>
      <c r="CU163" s="526"/>
      <c r="CV163" s="526"/>
      <c r="CW163" s="526"/>
      <c r="CX163" s="526"/>
      <c r="CY163" s="526"/>
      <c r="CZ163" s="526"/>
      <c r="DA163" s="526"/>
      <c r="DB163" s="526"/>
      <c r="DC163" s="526"/>
      <c r="DD163" s="526"/>
      <c r="DE163" s="526"/>
      <c r="DF163" s="526"/>
      <c r="DG163" s="526"/>
      <c r="DH163" s="526"/>
      <c r="DI163" s="526"/>
      <c r="DJ163" s="526"/>
      <c r="DK163" s="526"/>
      <c r="DL163" s="526"/>
      <c r="DM163" s="526"/>
      <c r="DN163" s="526"/>
      <c r="DO163" s="526"/>
      <c r="DP163" s="526"/>
      <c r="DQ163" s="526"/>
      <c r="DR163" s="526"/>
      <c r="DS163" s="526"/>
      <c r="DT163" s="526"/>
      <c r="DU163" s="526"/>
      <c r="DV163" s="526"/>
      <c r="DW163" s="526"/>
      <c r="DX163" s="526"/>
      <c r="DY163" s="526"/>
      <c r="DZ163" s="526"/>
      <c r="EA163" s="526"/>
      <c r="EB163" s="526"/>
      <c r="EC163" s="526"/>
      <c r="ED163" s="526"/>
      <c r="EE163" s="526"/>
      <c r="EF163" s="526"/>
      <c r="EG163" s="526"/>
      <c r="EH163" s="526"/>
      <c r="EI163" s="526"/>
      <c r="EJ163" s="526"/>
      <c r="EK163" s="526"/>
      <c r="EL163" s="526"/>
      <c r="EM163" s="526"/>
      <c r="EN163" s="526"/>
      <c r="EO163" s="526"/>
      <c r="EP163" s="526"/>
      <c r="EQ163" s="526"/>
      <c r="ER163" s="526"/>
      <c r="ES163" s="526"/>
      <c r="ET163" s="526"/>
      <c r="EU163" s="526"/>
      <c r="EV163" s="526"/>
      <c r="EW163" s="526"/>
      <c r="EX163" s="526"/>
      <c r="EY163" s="526"/>
      <c r="EZ163" s="526"/>
      <c r="FA163" s="526"/>
      <c r="FB163" s="526"/>
      <c r="FC163" s="526"/>
      <c r="FD163" s="526"/>
      <c r="FE163" s="526"/>
      <c r="FF163" s="526"/>
      <c r="FG163" s="526"/>
      <c r="FH163" s="526"/>
      <c r="FI163" s="526"/>
      <c r="FJ163" s="526"/>
      <c r="FK163" s="526"/>
      <c r="FL163" s="526"/>
      <c r="FM163" s="526"/>
      <c r="FN163" s="526"/>
      <c r="FO163" s="526"/>
      <c r="FP163" s="526"/>
      <c r="FQ163" s="526"/>
      <c r="FR163" s="526"/>
      <c r="FS163" s="526"/>
      <c r="FT163" s="526"/>
      <c r="FU163" s="526"/>
      <c r="FV163" s="526"/>
      <c r="FW163" s="526"/>
      <c r="FX163" s="526"/>
      <c r="FY163" s="526"/>
      <c r="FZ163" s="526"/>
      <c r="GA163" s="526"/>
      <c r="GB163" s="526"/>
      <c r="GC163" s="526"/>
      <c r="GD163" s="526"/>
      <c r="GE163" s="526"/>
      <c r="GF163" s="526"/>
      <c r="GG163" s="526"/>
      <c r="GH163" s="526"/>
      <c r="GI163" s="526"/>
      <c r="GJ163" s="526"/>
      <c r="GK163" s="526"/>
      <c r="GL163" s="526"/>
      <c r="GM163" s="526"/>
      <c r="GN163" s="526"/>
      <c r="GO163" s="526"/>
      <c r="GP163" s="526"/>
      <c r="GQ163" s="526"/>
      <c r="GR163" s="526"/>
      <c r="GS163" s="526"/>
      <c r="GT163" s="526"/>
      <c r="GU163" s="526"/>
      <c r="GV163" s="526"/>
      <c r="GW163" s="526"/>
      <c r="GX163" s="526"/>
      <c r="GY163" s="526"/>
      <c r="GZ163" s="526"/>
      <c r="HA163" s="526"/>
      <c r="HB163" s="526"/>
      <c r="HC163" s="526"/>
      <c r="HD163" s="526"/>
      <c r="HE163" s="526"/>
      <c r="HF163" s="526"/>
      <c r="HG163" s="526"/>
      <c r="HH163" s="526"/>
      <c r="HI163" s="526"/>
      <c r="HJ163" s="526"/>
      <c r="HK163" s="526"/>
      <c r="HL163" s="526"/>
      <c r="HM163" s="526"/>
      <c r="HN163" s="526"/>
      <c r="HO163" s="526"/>
      <c r="HP163" s="526"/>
      <c r="HQ163" s="526"/>
      <c r="HR163" s="526"/>
      <c r="HS163" s="526"/>
      <c r="HT163" s="526"/>
      <c r="HU163" s="526"/>
      <c r="HV163" s="526"/>
      <c r="HW163" s="526"/>
      <c r="HX163" s="526"/>
      <c r="HY163" s="526"/>
      <c r="HZ163" s="526"/>
      <c r="IA163" s="526"/>
      <c r="IB163" s="526"/>
      <c r="IC163" s="526"/>
      <c r="ID163" s="526"/>
      <c r="IE163" s="526"/>
      <c r="IF163" s="526"/>
      <c r="IG163" s="526"/>
      <c r="IH163" s="526"/>
      <c r="II163" s="526"/>
      <c r="IJ163" s="526"/>
      <c r="IK163" s="526"/>
      <c r="IL163" s="526"/>
      <c r="IM163" s="526"/>
      <c r="IN163" s="526"/>
      <c r="IO163" s="526"/>
      <c r="IP163" s="526"/>
      <c r="IQ163" s="526"/>
    </row>
    <row r="164" spans="1:251" ht="18" customHeight="1">
      <c r="A164" s="525">
        <v>155</v>
      </c>
      <c r="B164" s="538"/>
      <c r="C164" s="543"/>
      <c r="D164" s="483" t="s">
        <v>1091</v>
      </c>
      <c r="E164" s="540"/>
      <c r="F164" s="541"/>
      <c r="G164" s="1460"/>
      <c r="H164" s="753"/>
      <c r="I164" s="728"/>
      <c r="J164" s="1561">
        <f>SUM(J162:J163)</f>
        <v>15000</v>
      </c>
      <c r="K164" s="540"/>
      <c r="L164" s="1238">
        <f>SUM(I164:K164)</f>
        <v>15000</v>
      </c>
      <c r="M164" s="542"/>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526"/>
      <c r="AM164" s="526"/>
      <c r="AN164" s="526"/>
      <c r="AO164" s="526"/>
      <c r="AP164" s="526"/>
      <c r="AQ164" s="526"/>
      <c r="AR164" s="526"/>
      <c r="AS164" s="526"/>
      <c r="AT164" s="526"/>
      <c r="AU164" s="526"/>
      <c r="AV164" s="526"/>
      <c r="AW164" s="526"/>
      <c r="AX164" s="526"/>
      <c r="AY164" s="526"/>
      <c r="AZ164" s="526"/>
      <c r="BA164" s="526"/>
      <c r="BB164" s="526"/>
      <c r="BC164" s="526"/>
      <c r="BD164" s="526"/>
      <c r="BE164" s="526"/>
      <c r="BF164" s="526"/>
      <c r="BG164" s="526"/>
      <c r="BH164" s="526"/>
      <c r="BI164" s="526"/>
      <c r="BJ164" s="526"/>
      <c r="BK164" s="526"/>
      <c r="BL164" s="526"/>
      <c r="BM164" s="526"/>
      <c r="BN164" s="526"/>
      <c r="BO164" s="526"/>
      <c r="BP164" s="526"/>
      <c r="BQ164" s="526"/>
      <c r="BR164" s="526"/>
      <c r="BS164" s="526"/>
      <c r="BT164" s="526"/>
      <c r="BU164" s="526"/>
      <c r="BV164" s="526"/>
      <c r="BW164" s="526"/>
      <c r="BX164" s="526"/>
      <c r="BY164" s="526"/>
      <c r="BZ164" s="526"/>
      <c r="CA164" s="526"/>
      <c r="CB164" s="526"/>
      <c r="CC164" s="526"/>
      <c r="CD164" s="526"/>
      <c r="CE164" s="526"/>
      <c r="CF164" s="526"/>
      <c r="CG164" s="526"/>
      <c r="CH164" s="526"/>
      <c r="CI164" s="526"/>
      <c r="CJ164" s="526"/>
      <c r="CK164" s="526"/>
      <c r="CL164" s="526"/>
      <c r="CM164" s="526"/>
      <c r="CN164" s="526"/>
      <c r="CO164" s="526"/>
      <c r="CP164" s="526"/>
      <c r="CQ164" s="526"/>
      <c r="CR164" s="526"/>
      <c r="CS164" s="526"/>
      <c r="CT164" s="526"/>
      <c r="CU164" s="526"/>
      <c r="CV164" s="526"/>
      <c r="CW164" s="526"/>
      <c r="CX164" s="526"/>
      <c r="CY164" s="526"/>
      <c r="CZ164" s="526"/>
      <c r="DA164" s="526"/>
      <c r="DB164" s="526"/>
      <c r="DC164" s="526"/>
      <c r="DD164" s="526"/>
      <c r="DE164" s="526"/>
      <c r="DF164" s="526"/>
      <c r="DG164" s="526"/>
      <c r="DH164" s="526"/>
      <c r="DI164" s="526"/>
      <c r="DJ164" s="526"/>
      <c r="DK164" s="526"/>
      <c r="DL164" s="526"/>
      <c r="DM164" s="526"/>
      <c r="DN164" s="526"/>
      <c r="DO164" s="526"/>
      <c r="DP164" s="526"/>
      <c r="DQ164" s="526"/>
      <c r="DR164" s="526"/>
      <c r="DS164" s="526"/>
      <c r="DT164" s="526"/>
      <c r="DU164" s="526"/>
      <c r="DV164" s="526"/>
      <c r="DW164" s="526"/>
      <c r="DX164" s="526"/>
      <c r="DY164" s="526"/>
      <c r="DZ164" s="526"/>
      <c r="EA164" s="526"/>
      <c r="EB164" s="526"/>
      <c r="EC164" s="526"/>
      <c r="ED164" s="526"/>
      <c r="EE164" s="526"/>
      <c r="EF164" s="526"/>
      <c r="EG164" s="526"/>
      <c r="EH164" s="526"/>
      <c r="EI164" s="526"/>
      <c r="EJ164" s="526"/>
      <c r="EK164" s="526"/>
      <c r="EL164" s="526"/>
      <c r="EM164" s="526"/>
      <c r="EN164" s="526"/>
      <c r="EO164" s="526"/>
      <c r="EP164" s="526"/>
      <c r="EQ164" s="526"/>
      <c r="ER164" s="526"/>
      <c r="ES164" s="526"/>
      <c r="ET164" s="526"/>
      <c r="EU164" s="526"/>
      <c r="EV164" s="526"/>
      <c r="EW164" s="526"/>
      <c r="EX164" s="526"/>
      <c r="EY164" s="526"/>
      <c r="EZ164" s="526"/>
      <c r="FA164" s="526"/>
      <c r="FB164" s="526"/>
      <c r="FC164" s="526"/>
      <c r="FD164" s="526"/>
      <c r="FE164" s="526"/>
      <c r="FF164" s="526"/>
      <c r="FG164" s="526"/>
      <c r="FH164" s="526"/>
      <c r="FI164" s="526"/>
      <c r="FJ164" s="526"/>
      <c r="FK164" s="526"/>
      <c r="FL164" s="526"/>
      <c r="FM164" s="526"/>
      <c r="FN164" s="526"/>
      <c r="FO164" s="526"/>
      <c r="FP164" s="526"/>
      <c r="FQ164" s="526"/>
      <c r="FR164" s="526"/>
      <c r="FS164" s="526"/>
      <c r="FT164" s="526"/>
      <c r="FU164" s="526"/>
      <c r="FV164" s="526"/>
      <c r="FW164" s="526"/>
      <c r="FX164" s="526"/>
      <c r="FY164" s="526"/>
      <c r="FZ164" s="526"/>
      <c r="GA164" s="526"/>
      <c r="GB164" s="526"/>
      <c r="GC164" s="526"/>
      <c r="GD164" s="526"/>
      <c r="GE164" s="526"/>
      <c r="GF164" s="526"/>
      <c r="GG164" s="526"/>
      <c r="GH164" s="526"/>
      <c r="GI164" s="526"/>
      <c r="GJ164" s="526"/>
      <c r="GK164" s="526"/>
      <c r="GL164" s="526"/>
      <c r="GM164" s="526"/>
      <c r="GN164" s="526"/>
      <c r="GO164" s="526"/>
      <c r="GP164" s="526"/>
      <c r="GQ164" s="526"/>
      <c r="GR164" s="526"/>
      <c r="GS164" s="526"/>
      <c r="GT164" s="526"/>
      <c r="GU164" s="526"/>
      <c r="GV164" s="526"/>
      <c r="GW164" s="526"/>
      <c r="GX164" s="526"/>
      <c r="GY164" s="526"/>
      <c r="GZ164" s="526"/>
      <c r="HA164" s="526"/>
      <c r="HB164" s="526"/>
      <c r="HC164" s="526"/>
      <c r="HD164" s="526"/>
      <c r="HE164" s="526"/>
      <c r="HF164" s="526"/>
      <c r="HG164" s="526"/>
      <c r="HH164" s="526"/>
      <c r="HI164" s="526"/>
      <c r="HJ164" s="526"/>
      <c r="HK164" s="526"/>
      <c r="HL164" s="526"/>
      <c r="HM164" s="526"/>
      <c r="HN164" s="526"/>
      <c r="HO164" s="526"/>
      <c r="HP164" s="526"/>
      <c r="HQ164" s="526"/>
      <c r="HR164" s="526"/>
      <c r="HS164" s="526"/>
      <c r="HT164" s="526"/>
      <c r="HU164" s="526"/>
      <c r="HV164" s="526"/>
      <c r="HW164" s="526"/>
      <c r="HX164" s="526"/>
      <c r="HY164" s="526"/>
      <c r="HZ164" s="526"/>
      <c r="IA164" s="526"/>
      <c r="IB164" s="526"/>
      <c r="IC164" s="526"/>
      <c r="ID164" s="526"/>
      <c r="IE164" s="526"/>
      <c r="IF164" s="526"/>
      <c r="IG164" s="526"/>
      <c r="IH164" s="526"/>
      <c r="II164" s="526"/>
      <c r="IJ164" s="526"/>
      <c r="IK164" s="526"/>
      <c r="IL164" s="526"/>
      <c r="IM164" s="526"/>
      <c r="IN164" s="526"/>
      <c r="IO164" s="526"/>
      <c r="IP164" s="526"/>
      <c r="IQ164" s="526"/>
    </row>
    <row r="165" spans="1:251" ht="50.25" customHeight="1">
      <c r="A165" s="525">
        <v>156</v>
      </c>
      <c r="B165" s="538"/>
      <c r="C165" s="543">
        <v>32</v>
      </c>
      <c r="D165" s="1013" t="s">
        <v>802</v>
      </c>
      <c r="E165" s="540">
        <f>F165+G165+L169+M166</f>
        <v>100</v>
      </c>
      <c r="F165" s="541"/>
      <c r="G165" s="1460">
        <v>10</v>
      </c>
      <c r="H165" s="753" t="s">
        <v>23</v>
      </c>
      <c r="I165" s="728"/>
      <c r="J165" s="540"/>
      <c r="K165" s="540"/>
      <c r="L165" s="551"/>
      <c r="M165" s="542"/>
      <c r="N165" s="526"/>
      <c r="O165" s="526"/>
      <c r="P165" s="526"/>
      <c r="Q165" s="526"/>
      <c r="R165" s="526"/>
      <c r="S165" s="526"/>
      <c r="T165" s="526"/>
      <c r="U165" s="526"/>
      <c r="V165" s="526"/>
      <c r="W165" s="526"/>
      <c r="X165" s="526"/>
      <c r="Y165" s="526"/>
      <c r="Z165" s="526"/>
      <c r="AA165" s="526"/>
      <c r="AB165" s="526"/>
      <c r="AC165" s="526"/>
      <c r="AD165" s="526"/>
      <c r="AE165" s="526"/>
      <c r="AF165" s="526"/>
      <c r="AG165" s="526"/>
      <c r="AH165" s="526"/>
      <c r="AI165" s="526"/>
      <c r="AJ165" s="526"/>
      <c r="AK165" s="526"/>
      <c r="AL165" s="526"/>
      <c r="AM165" s="526"/>
      <c r="AN165" s="526"/>
      <c r="AO165" s="526"/>
      <c r="AP165" s="526"/>
      <c r="AQ165" s="526"/>
      <c r="AR165" s="526"/>
      <c r="AS165" s="526"/>
      <c r="AT165" s="526"/>
      <c r="AU165" s="526"/>
      <c r="AV165" s="526"/>
      <c r="AW165" s="526"/>
      <c r="AX165" s="526"/>
      <c r="AY165" s="526"/>
      <c r="AZ165" s="526"/>
      <c r="BA165" s="526"/>
      <c r="BB165" s="526"/>
      <c r="BC165" s="526"/>
      <c r="BD165" s="526"/>
      <c r="BE165" s="526"/>
      <c r="BF165" s="526"/>
      <c r="BG165" s="526"/>
      <c r="BH165" s="526"/>
      <c r="BI165" s="526"/>
      <c r="BJ165" s="526"/>
      <c r="BK165" s="526"/>
      <c r="BL165" s="526"/>
      <c r="BM165" s="526"/>
      <c r="BN165" s="526"/>
      <c r="BO165" s="526"/>
      <c r="BP165" s="526"/>
      <c r="BQ165" s="526"/>
      <c r="BR165" s="526"/>
      <c r="BS165" s="526"/>
      <c r="BT165" s="526"/>
      <c r="BU165" s="526"/>
      <c r="BV165" s="526"/>
      <c r="BW165" s="526"/>
      <c r="BX165" s="526"/>
      <c r="BY165" s="526"/>
      <c r="BZ165" s="526"/>
      <c r="CA165" s="526"/>
      <c r="CB165" s="526"/>
      <c r="CC165" s="526"/>
      <c r="CD165" s="526"/>
      <c r="CE165" s="526"/>
      <c r="CF165" s="526"/>
      <c r="CG165" s="526"/>
      <c r="CH165" s="526"/>
      <c r="CI165" s="526"/>
      <c r="CJ165" s="526"/>
      <c r="CK165" s="526"/>
      <c r="CL165" s="526"/>
      <c r="CM165" s="526"/>
      <c r="CN165" s="526"/>
      <c r="CO165" s="526"/>
      <c r="CP165" s="526"/>
      <c r="CQ165" s="526"/>
      <c r="CR165" s="526"/>
      <c r="CS165" s="526"/>
      <c r="CT165" s="526"/>
      <c r="CU165" s="526"/>
      <c r="CV165" s="526"/>
      <c r="CW165" s="526"/>
      <c r="CX165" s="526"/>
      <c r="CY165" s="526"/>
      <c r="CZ165" s="526"/>
      <c r="DA165" s="526"/>
      <c r="DB165" s="526"/>
      <c r="DC165" s="526"/>
      <c r="DD165" s="526"/>
      <c r="DE165" s="526"/>
      <c r="DF165" s="526"/>
      <c r="DG165" s="526"/>
      <c r="DH165" s="526"/>
      <c r="DI165" s="526"/>
      <c r="DJ165" s="526"/>
      <c r="DK165" s="526"/>
      <c r="DL165" s="526"/>
      <c r="DM165" s="526"/>
      <c r="DN165" s="526"/>
      <c r="DO165" s="526"/>
      <c r="DP165" s="526"/>
      <c r="DQ165" s="526"/>
      <c r="DR165" s="526"/>
      <c r="DS165" s="526"/>
      <c r="DT165" s="526"/>
      <c r="DU165" s="526"/>
      <c r="DV165" s="526"/>
      <c r="DW165" s="526"/>
      <c r="DX165" s="526"/>
      <c r="DY165" s="526"/>
      <c r="DZ165" s="526"/>
      <c r="EA165" s="526"/>
      <c r="EB165" s="526"/>
      <c r="EC165" s="526"/>
      <c r="ED165" s="526"/>
      <c r="EE165" s="526"/>
      <c r="EF165" s="526"/>
      <c r="EG165" s="526"/>
      <c r="EH165" s="526"/>
      <c r="EI165" s="526"/>
      <c r="EJ165" s="526"/>
      <c r="EK165" s="526"/>
      <c r="EL165" s="526"/>
      <c r="EM165" s="526"/>
      <c r="EN165" s="526"/>
      <c r="EO165" s="526"/>
      <c r="EP165" s="526"/>
      <c r="EQ165" s="526"/>
      <c r="ER165" s="526"/>
      <c r="ES165" s="526"/>
      <c r="ET165" s="526"/>
      <c r="EU165" s="526"/>
      <c r="EV165" s="526"/>
      <c r="EW165" s="526"/>
      <c r="EX165" s="526"/>
      <c r="EY165" s="526"/>
      <c r="EZ165" s="526"/>
      <c r="FA165" s="526"/>
      <c r="FB165" s="526"/>
      <c r="FC165" s="526"/>
      <c r="FD165" s="526"/>
      <c r="FE165" s="526"/>
      <c r="FF165" s="526"/>
      <c r="FG165" s="526"/>
      <c r="FH165" s="526"/>
      <c r="FI165" s="526"/>
      <c r="FJ165" s="526"/>
      <c r="FK165" s="526"/>
      <c r="FL165" s="526"/>
      <c r="FM165" s="526"/>
      <c r="FN165" s="526"/>
      <c r="FO165" s="526"/>
      <c r="FP165" s="526"/>
      <c r="FQ165" s="526"/>
      <c r="FR165" s="526"/>
      <c r="FS165" s="526"/>
      <c r="FT165" s="526"/>
      <c r="FU165" s="526"/>
      <c r="FV165" s="526"/>
      <c r="FW165" s="526"/>
      <c r="FX165" s="526"/>
      <c r="FY165" s="526"/>
      <c r="FZ165" s="526"/>
      <c r="GA165" s="526"/>
      <c r="GB165" s="526"/>
      <c r="GC165" s="526"/>
      <c r="GD165" s="526"/>
      <c r="GE165" s="526"/>
      <c r="GF165" s="526"/>
      <c r="GG165" s="526"/>
      <c r="GH165" s="526"/>
      <c r="GI165" s="526"/>
      <c r="GJ165" s="526"/>
      <c r="GK165" s="526"/>
      <c r="GL165" s="526"/>
      <c r="GM165" s="526"/>
      <c r="GN165" s="526"/>
      <c r="GO165" s="526"/>
      <c r="GP165" s="526"/>
      <c r="GQ165" s="526"/>
      <c r="GR165" s="526"/>
      <c r="GS165" s="526"/>
      <c r="GT165" s="526"/>
      <c r="GU165" s="526"/>
      <c r="GV165" s="526"/>
      <c r="GW165" s="526"/>
      <c r="GX165" s="526"/>
      <c r="GY165" s="526"/>
      <c r="GZ165" s="526"/>
      <c r="HA165" s="526"/>
      <c r="HB165" s="526"/>
      <c r="HC165" s="526"/>
      <c r="HD165" s="526"/>
      <c r="HE165" s="526"/>
      <c r="HF165" s="526"/>
      <c r="HG165" s="526"/>
      <c r="HH165" s="526"/>
      <c r="HI165" s="526"/>
      <c r="HJ165" s="526"/>
      <c r="HK165" s="526"/>
      <c r="HL165" s="526"/>
      <c r="HM165" s="526"/>
      <c r="HN165" s="526"/>
      <c r="HO165" s="526"/>
      <c r="HP165" s="526"/>
      <c r="HQ165" s="526"/>
      <c r="HR165" s="526"/>
      <c r="HS165" s="526"/>
      <c r="HT165" s="526"/>
      <c r="HU165" s="526"/>
      <c r="HV165" s="526"/>
      <c r="HW165" s="526"/>
      <c r="HX165" s="526"/>
      <c r="HY165" s="526"/>
      <c r="HZ165" s="526"/>
      <c r="IA165" s="526"/>
      <c r="IB165" s="526"/>
      <c r="IC165" s="526"/>
      <c r="ID165" s="526"/>
      <c r="IE165" s="526"/>
      <c r="IF165" s="526"/>
      <c r="IG165" s="526"/>
      <c r="IH165" s="526"/>
      <c r="II165" s="526"/>
      <c r="IJ165" s="526"/>
      <c r="IK165" s="526"/>
      <c r="IL165" s="526"/>
      <c r="IM165" s="526"/>
      <c r="IN165" s="526"/>
      <c r="IO165" s="526"/>
      <c r="IP165" s="526"/>
      <c r="IQ165" s="526"/>
    </row>
    <row r="166" spans="1:251" s="1431" customFormat="1" ht="18" customHeight="1">
      <c r="A166" s="525">
        <v>157</v>
      </c>
      <c r="B166" s="1424"/>
      <c r="C166" s="1425"/>
      <c r="D166" s="594" t="s">
        <v>283</v>
      </c>
      <c r="E166" s="1422"/>
      <c r="F166" s="1426"/>
      <c r="G166" s="1461"/>
      <c r="H166" s="1427"/>
      <c r="I166" s="1428"/>
      <c r="J166" s="1422">
        <v>90</v>
      </c>
      <c r="K166" s="1422"/>
      <c r="L166" s="1423">
        <f>SUM(I166:K166)</f>
        <v>90</v>
      </c>
      <c r="M166" s="1429"/>
      <c r="N166" s="1430"/>
      <c r="O166" s="1430"/>
      <c r="P166" s="1430"/>
      <c r="Q166" s="1430"/>
      <c r="R166" s="1430"/>
      <c r="S166" s="1430"/>
      <c r="T166" s="1430"/>
      <c r="U166" s="1430"/>
      <c r="V166" s="1430"/>
      <c r="W166" s="1430"/>
      <c r="X166" s="1430"/>
      <c r="Y166" s="1430"/>
      <c r="Z166" s="1430"/>
      <c r="AA166" s="1430"/>
      <c r="AB166" s="1430"/>
      <c r="AC166" s="1430"/>
      <c r="AD166" s="1430"/>
      <c r="AE166" s="1430"/>
      <c r="AF166" s="1430"/>
      <c r="AG166" s="1430"/>
      <c r="AH166" s="1430"/>
      <c r="AI166" s="1430"/>
      <c r="AJ166" s="1430"/>
      <c r="AK166" s="1430"/>
      <c r="AL166" s="1430"/>
      <c r="AM166" s="1430"/>
      <c r="AN166" s="1430"/>
      <c r="AO166" s="1430"/>
      <c r="AP166" s="1430"/>
      <c r="AQ166" s="1430"/>
      <c r="AR166" s="1430"/>
      <c r="AS166" s="1430"/>
      <c r="AT166" s="1430"/>
      <c r="AU166" s="1430"/>
      <c r="AV166" s="1430"/>
      <c r="AW166" s="1430"/>
      <c r="AX166" s="1430"/>
      <c r="AY166" s="1430"/>
      <c r="AZ166" s="1430"/>
      <c r="BA166" s="1430"/>
      <c r="BB166" s="1430"/>
      <c r="BC166" s="1430"/>
      <c r="BD166" s="1430"/>
      <c r="BE166" s="1430"/>
      <c r="BF166" s="1430"/>
      <c r="BG166" s="1430"/>
      <c r="BH166" s="1430"/>
      <c r="BI166" s="1430"/>
      <c r="BJ166" s="1430"/>
      <c r="BK166" s="1430"/>
      <c r="BL166" s="1430"/>
      <c r="BM166" s="1430"/>
      <c r="BN166" s="1430"/>
      <c r="BO166" s="1430"/>
      <c r="BP166" s="1430"/>
      <c r="BQ166" s="1430"/>
      <c r="BR166" s="1430"/>
      <c r="BS166" s="1430"/>
      <c r="BT166" s="1430"/>
      <c r="BU166" s="1430"/>
      <c r="BV166" s="1430"/>
      <c r="BW166" s="1430"/>
      <c r="BX166" s="1430"/>
      <c r="BY166" s="1430"/>
      <c r="BZ166" s="1430"/>
      <c r="CA166" s="1430"/>
      <c r="CB166" s="1430"/>
      <c r="CC166" s="1430"/>
      <c r="CD166" s="1430"/>
      <c r="CE166" s="1430"/>
      <c r="CF166" s="1430"/>
      <c r="CG166" s="1430"/>
      <c r="CH166" s="1430"/>
      <c r="CI166" s="1430"/>
      <c r="CJ166" s="1430"/>
      <c r="CK166" s="1430"/>
      <c r="CL166" s="1430"/>
      <c r="CM166" s="1430"/>
      <c r="CN166" s="1430"/>
      <c r="CO166" s="1430"/>
      <c r="CP166" s="1430"/>
      <c r="CQ166" s="1430"/>
      <c r="CR166" s="1430"/>
      <c r="CS166" s="1430"/>
      <c r="CT166" s="1430"/>
      <c r="CU166" s="1430"/>
      <c r="CV166" s="1430"/>
      <c r="CW166" s="1430"/>
      <c r="CX166" s="1430"/>
      <c r="CY166" s="1430"/>
      <c r="CZ166" s="1430"/>
      <c r="DA166" s="1430"/>
      <c r="DB166" s="1430"/>
      <c r="DC166" s="1430"/>
      <c r="DD166" s="1430"/>
      <c r="DE166" s="1430"/>
      <c r="DF166" s="1430"/>
      <c r="DG166" s="1430"/>
      <c r="DH166" s="1430"/>
      <c r="DI166" s="1430"/>
      <c r="DJ166" s="1430"/>
      <c r="DK166" s="1430"/>
      <c r="DL166" s="1430"/>
      <c r="DM166" s="1430"/>
      <c r="DN166" s="1430"/>
      <c r="DO166" s="1430"/>
      <c r="DP166" s="1430"/>
      <c r="DQ166" s="1430"/>
      <c r="DR166" s="1430"/>
      <c r="DS166" s="1430"/>
      <c r="DT166" s="1430"/>
      <c r="DU166" s="1430"/>
      <c r="DV166" s="1430"/>
      <c r="DW166" s="1430"/>
      <c r="DX166" s="1430"/>
      <c r="DY166" s="1430"/>
      <c r="DZ166" s="1430"/>
      <c r="EA166" s="1430"/>
      <c r="EB166" s="1430"/>
      <c r="EC166" s="1430"/>
      <c r="ED166" s="1430"/>
      <c r="EE166" s="1430"/>
      <c r="EF166" s="1430"/>
      <c r="EG166" s="1430"/>
      <c r="EH166" s="1430"/>
      <c r="EI166" s="1430"/>
      <c r="EJ166" s="1430"/>
      <c r="EK166" s="1430"/>
      <c r="EL166" s="1430"/>
      <c r="EM166" s="1430"/>
      <c r="EN166" s="1430"/>
      <c r="EO166" s="1430"/>
      <c r="EP166" s="1430"/>
      <c r="EQ166" s="1430"/>
      <c r="ER166" s="1430"/>
      <c r="ES166" s="1430"/>
      <c r="ET166" s="1430"/>
      <c r="EU166" s="1430"/>
      <c r="EV166" s="1430"/>
      <c r="EW166" s="1430"/>
      <c r="EX166" s="1430"/>
      <c r="EY166" s="1430"/>
      <c r="EZ166" s="1430"/>
      <c r="FA166" s="1430"/>
      <c r="FB166" s="1430"/>
      <c r="FC166" s="1430"/>
      <c r="FD166" s="1430"/>
      <c r="FE166" s="1430"/>
      <c r="FF166" s="1430"/>
      <c r="FG166" s="1430"/>
      <c r="FH166" s="1430"/>
      <c r="FI166" s="1430"/>
      <c r="FJ166" s="1430"/>
      <c r="FK166" s="1430"/>
      <c r="FL166" s="1430"/>
      <c r="FM166" s="1430"/>
      <c r="FN166" s="1430"/>
      <c r="FO166" s="1430"/>
      <c r="FP166" s="1430"/>
      <c r="FQ166" s="1430"/>
      <c r="FR166" s="1430"/>
      <c r="FS166" s="1430"/>
      <c r="FT166" s="1430"/>
      <c r="FU166" s="1430"/>
      <c r="FV166" s="1430"/>
      <c r="FW166" s="1430"/>
      <c r="FX166" s="1430"/>
      <c r="FY166" s="1430"/>
      <c r="FZ166" s="1430"/>
      <c r="GA166" s="1430"/>
      <c r="GB166" s="1430"/>
      <c r="GC166" s="1430"/>
      <c r="GD166" s="1430"/>
      <c r="GE166" s="1430"/>
      <c r="GF166" s="1430"/>
      <c r="GG166" s="1430"/>
      <c r="GH166" s="1430"/>
      <c r="GI166" s="1430"/>
      <c r="GJ166" s="1430"/>
      <c r="GK166" s="1430"/>
      <c r="GL166" s="1430"/>
      <c r="GM166" s="1430"/>
      <c r="GN166" s="1430"/>
      <c r="GO166" s="1430"/>
      <c r="GP166" s="1430"/>
      <c r="GQ166" s="1430"/>
      <c r="GR166" s="1430"/>
      <c r="GS166" s="1430"/>
      <c r="GT166" s="1430"/>
      <c r="GU166" s="1430"/>
      <c r="GV166" s="1430"/>
      <c r="GW166" s="1430"/>
      <c r="GX166" s="1430"/>
      <c r="GY166" s="1430"/>
      <c r="GZ166" s="1430"/>
      <c r="HA166" s="1430"/>
      <c r="HB166" s="1430"/>
      <c r="HC166" s="1430"/>
      <c r="HD166" s="1430"/>
      <c r="HE166" s="1430"/>
      <c r="HF166" s="1430"/>
      <c r="HG166" s="1430"/>
      <c r="HH166" s="1430"/>
      <c r="HI166" s="1430"/>
      <c r="HJ166" s="1430"/>
      <c r="HK166" s="1430"/>
      <c r="HL166" s="1430"/>
      <c r="HM166" s="1430"/>
      <c r="HN166" s="1430"/>
      <c r="HO166" s="1430"/>
      <c r="HP166" s="1430"/>
      <c r="HQ166" s="1430"/>
      <c r="HR166" s="1430"/>
      <c r="HS166" s="1430"/>
      <c r="HT166" s="1430"/>
      <c r="HU166" s="1430"/>
      <c r="HV166" s="1430"/>
      <c r="HW166" s="1430"/>
      <c r="HX166" s="1430"/>
      <c r="HY166" s="1430"/>
      <c r="HZ166" s="1430"/>
      <c r="IA166" s="1430"/>
      <c r="IB166" s="1430"/>
      <c r="IC166" s="1430"/>
      <c r="ID166" s="1430"/>
      <c r="IE166" s="1430"/>
      <c r="IF166" s="1430"/>
      <c r="IG166" s="1430"/>
      <c r="IH166" s="1430"/>
      <c r="II166" s="1430"/>
      <c r="IJ166" s="1430"/>
      <c r="IK166" s="1430"/>
      <c r="IL166" s="1430"/>
      <c r="IM166" s="1430"/>
      <c r="IN166" s="1430"/>
      <c r="IO166" s="1430"/>
      <c r="IP166" s="1430"/>
      <c r="IQ166" s="1430"/>
    </row>
    <row r="167" spans="1:251" s="1431" customFormat="1" ht="18" customHeight="1">
      <c r="A167" s="525">
        <v>158</v>
      </c>
      <c r="B167" s="1424"/>
      <c r="C167" s="1425"/>
      <c r="D167" s="483" t="s">
        <v>938</v>
      </c>
      <c r="E167" s="1422"/>
      <c r="F167" s="1426"/>
      <c r="G167" s="1461"/>
      <c r="H167" s="1427"/>
      <c r="I167" s="1428"/>
      <c r="J167" s="1561">
        <v>90</v>
      </c>
      <c r="K167" s="1561"/>
      <c r="L167" s="1669">
        <f>SUM(I167:K167)</f>
        <v>90</v>
      </c>
      <c r="M167" s="1429"/>
      <c r="N167" s="1430"/>
      <c r="O167" s="1430"/>
      <c r="P167" s="1430"/>
      <c r="Q167" s="1430"/>
      <c r="R167" s="1430"/>
      <c r="S167" s="1430"/>
      <c r="T167" s="1430"/>
      <c r="U167" s="1430"/>
      <c r="V167" s="1430"/>
      <c r="W167" s="1430"/>
      <c r="X167" s="1430"/>
      <c r="Y167" s="1430"/>
      <c r="Z167" s="1430"/>
      <c r="AA167" s="1430"/>
      <c r="AB167" s="1430"/>
      <c r="AC167" s="1430"/>
      <c r="AD167" s="1430"/>
      <c r="AE167" s="1430"/>
      <c r="AF167" s="1430"/>
      <c r="AG167" s="1430"/>
      <c r="AH167" s="1430"/>
      <c r="AI167" s="1430"/>
      <c r="AJ167" s="1430"/>
      <c r="AK167" s="1430"/>
      <c r="AL167" s="1430"/>
      <c r="AM167" s="1430"/>
      <c r="AN167" s="1430"/>
      <c r="AO167" s="1430"/>
      <c r="AP167" s="1430"/>
      <c r="AQ167" s="1430"/>
      <c r="AR167" s="1430"/>
      <c r="AS167" s="1430"/>
      <c r="AT167" s="1430"/>
      <c r="AU167" s="1430"/>
      <c r="AV167" s="1430"/>
      <c r="AW167" s="1430"/>
      <c r="AX167" s="1430"/>
      <c r="AY167" s="1430"/>
      <c r="AZ167" s="1430"/>
      <c r="BA167" s="1430"/>
      <c r="BB167" s="1430"/>
      <c r="BC167" s="1430"/>
      <c r="BD167" s="1430"/>
      <c r="BE167" s="1430"/>
      <c r="BF167" s="1430"/>
      <c r="BG167" s="1430"/>
      <c r="BH167" s="1430"/>
      <c r="BI167" s="1430"/>
      <c r="BJ167" s="1430"/>
      <c r="BK167" s="1430"/>
      <c r="BL167" s="1430"/>
      <c r="BM167" s="1430"/>
      <c r="BN167" s="1430"/>
      <c r="BO167" s="1430"/>
      <c r="BP167" s="1430"/>
      <c r="BQ167" s="1430"/>
      <c r="BR167" s="1430"/>
      <c r="BS167" s="1430"/>
      <c r="BT167" s="1430"/>
      <c r="BU167" s="1430"/>
      <c r="BV167" s="1430"/>
      <c r="BW167" s="1430"/>
      <c r="BX167" s="1430"/>
      <c r="BY167" s="1430"/>
      <c r="BZ167" s="1430"/>
      <c r="CA167" s="1430"/>
      <c r="CB167" s="1430"/>
      <c r="CC167" s="1430"/>
      <c r="CD167" s="1430"/>
      <c r="CE167" s="1430"/>
      <c r="CF167" s="1430"/>
      <c r="CG167" s="1430"/>
      <c r="CH167" s="1430"/>
      <c r="CI167" s="1430"/>
      <c r="CJ167" s="1430"/>
      <c r="CK167" s="1430"/>
      <c r="CL167" s="1430"/>
      <c r="CM167" s="1430"/>
      <c r="CN167" s="1430"/>
      <c r="CO167" s="1430"/>
      <c r="CP167" s="1430"/>
      <c r="CQ167" s="1430"/>
      <c r="CR167" s="1430"/>
      <c r="CS167" s="1430"/>
      <c r="CT167" s="1430"/>
      <c r="CU167" s="1430"/>
      <c r="CV167" s="1430"/>
      <c r="CW167" s="1430"/>
      <c r="CX167" s="1430"/>
      <c r="CY167" s="1430"/>
      <c r="CZ167" s="1430"/>
      <c r="DA167" s="1430"/>
      <c r="DB167" s="1430"/>
      <c r="DC167" s="1430"/>
      <c r="DD167" s="1430"/>
      <c r="DE167" s="1430"/>
      <c r="DF167" s="1430"/>
      <c r="DG167" s="1430"/>
      <c r="DH167" s="1430"/>
      <c r="DI167" s="1430"/>
      <c r="DJ167" s="1430"/>
      <c r="DK167" s="1430"/>
      <c r="DL167" s="1430"/>
      <c r="DM167" s="1430"/>
      <c r="DN167" s="1430"/>
      <c r="DO167" s="1430"/>
      <c r="DP167" s="1430"/>
      <c r="DQ167" s="1430"/>
      <c r="DR167" s="1430"/>
      <c r="DS167" s="1430"/>
      <c r="DT167" s="1430"/>
      <c r="DU167" s="1430"/>
      <c r="DV167" s="1430"/>
      <c r="DW167" s="1430"/>
      <c r="DX167" s="1430"/>
      <c r="DY167" s="1430"/>
      <c r="DZ167" s="1430"/>
      <c r="EA167" s="1430"/>
      <c r="EB167" s="1430"/>
      <c r="EC167" s="1430"/>
      <c r="ED167" s="1430"/>
      <c r="EE167" s="1430"/>
      <c r="EF167" s="1430"/>
      <c r="EG167" s="1430"/>
      <c r="EH167" s="1430"/>
      <c r="EI167" s="1430"/>
      <c r="EJ167" s="1430"/>
      <c r="EK167" s="1430"/>
      <c r="EL167" s="1430"/>
      <c r="EM167" s="1430"/>
      <c r="EN167" s="1430"/>
      <c r="EO167" s="1430"/>
      <c r="EP167" s="1430"/>
      <c r="EQ167" s="1430"/>
      <c r="ER167" s="1430"/>
      <c r="ES167" s="1430"/>
      <c r="ET167" s="1430"/>
      <c r="EU167" s="1430"/>
      <c r="EV167" s="1430"/>
      <c r="EW167" s="1430"/>
      <c r="EX167" s="1430"/>
      <c r="EY167" s="1430"/>
      <c r="EZ167" s="1430"/>
      <c r="FA167" s="1430"/>
      <c r="FB167" s="1430"/>
      <c r="FC167" s="1430"/>
      <c r="FD167" s="1430"/>
      <c r="FE167" s="1430"/>
      <c r="FF167" s="1430"/>
      <c r="FG167" s="1430"/>
      <c r="FH167" s="1430"/>
      <c r="FI167" s="1430"/>
      <c r="FJ167" s="1430"/>
      <c r="FK167" s="1430"/>
      <c r="FL167" s="1430"/>
      <c r="FM167" s="1430"/>
      <c r="FN167" s="1430"/>
      <c r="FO167" s="1430"/>
      <c r="FP167" s="1430"/>
      <c r="FQ167" s="1430"/>
      <c r="FR167" s="1430"/>
      <c r="FS167" s="1430"/>
      <c r="FT167" s="1430"/>
      <c r="FU167" s="1430"/>
      <c r="FV167" s="1430"/>
      <c r="FW167" s="1430"/>
      <c r="FX167" s="1430"/>
      <c r="FY167" s="1430"/>
      <c r="FZ167" s="1430"/>
      <c r="GA167" s="1430"/>
      <c r="GB167" s="1430"/>
      <c r="GC167" s="1430"/>
      <c r="GD167" s="1430"/>
      <c r="GE167" s="1430"/>
      <c r="GF167" s="1430"/>
      <c r="GG167" s="1430"/>
      <c r="GH167" s="1430"/>
      <c r="GI167" s="1430"/>
      <c r="GJ167" s="1430"/>
      <c r="GK167" s="1430"/>
      <c r="GL167" s="1430"/>
      <c r="GM167" s="1430"/>
      <c r="GN167" s="1430"/>
      <c r="GO167" s="1430"/>
      <c r="GP167" s="1430"/>
      <c r="GQ167" s="1430"/>
      <c r="GR167" s="1430"/>
      <c r="GS167" s="1430"/>
      <c r="GT167" s="1430"/>
      <c r="GU167" s="1430"/>
      <c r="GV167" s="1430"/>
      <c r="GW167" s="1430"/>
      <c r="GX167" s="1430"/>
      <c r="GY167" s="1430"/>
      <c r="GZ167" s="1430"/>
      <c r="HA167" s="1430"/>
      <c r="HB167" s="1430"/>
      <c r="HC167" s="1430"/>
      <c r="HD167" s="1430"/>
      <c r="HE167" s="1430"/>
      <c r="HF167" s="1430"/>
      <c r="HG167" s="1430"/>
      <c r="HH167" s="1430"/>
      <c r="HI167" s="1430"/>
      <c r="HJ167" s="1430"/>
      <c r="HK167" s="1430"/>
      <c r="HL167" s="1430"/>
      <c r="HM167" s="1430"/>
      <c r="HN167" s="1430"/>
      <c r="HO167" s="1430"/>
      <c r="HP167" s="1430"/>
      <c r="HQ167" s="1430"/>
      <c r="HR167" s="1430"/>
      <c r="HS167" s="1430"/>
      <c r="HT167" s="1430"/>
      <c r="HU167" s="1430"/>
      <c r="HV167" s="1430"/>
      <c r="HW167" s="1430"/>
      <c r="HX167" s="1430"/>
      <c r="HY167" s="1430"/>
      <c r="HZ167" s="1430"/>
      <c r="IA167" s="1430"/>
      <c r="IB167" s="1430"/>
      <c r="IC167" s="1430"/>
      <c r="ID167" s="1430"/>
      <c r="IE167" s="1430"/>
      <c r="IF167" s="1430"/>
      <c r="IG167" s="1430"/>
      <c r="IH167" s="1430"/>
      <c r="II167" s="1430"/>
      <c r="IJ167" s="1430"/>
      <c r="IK167" s="1430"/>
      <c r="IL167" s="1430"/>
      <c r="IM167" s="1430"/>
      <c r="IN167" s="1430"/>
      <c r="IO167" s="1430"/>
      <c r="IP167" s="1430"/>
      <c r="IQ167" s="1430"/>
    </row>
    <row r="168" spans="1:251" ht="18" customHeight="1">
      <c r="A168" s="525">
        <v>159</v>
      </c>
      <c r="B168" s="538"/>
      <c r="C168" s="543"/>
      <c r="D168" s="1146" t="s">
        <v>674</v>
      </c>
      <c r="E168" s="540"/>
      <c r="F168" s="541"/>
      <c r="G168" s="1460"/>
      <c r="H168" s="753"/>
      <c r="I168" s="728"/>
      <c r="J168" s="540"/>
      <c r="K168" s="540"/>
      <c r="L168" s="1241">
        <f>SUM(I168:K168)</f>
        <v>0</v>
      </c>
      <c r="M168" s="542"/>
      <c r="N168" s="526"/>
      <c r="O168" s="526"/>
      <c r="P168" s="526"/>
      <c r="Q168" s="526"/>
      <c r="R168" s="526"/>
      <c r="S168" s="526"/>
      <c r="T168" s="526"/>
      <c r="U168" s="526"/>
      <c r="V168" s="526"/>
      <c r="W168" s="526"/>
      <c r="X168" s="526"/>
      <c r="Y168" s="526"/>
      <c r="Z168" s="526"/>
      <c r="AA168" s="526"/>
      <c r="AB168" s="526"/>
      <c r="AC168" s="526"/>
      <c r="AD168" s="526"/>
      <c r="AE168" s="526"/>
      <c r="AF168" s="526"/>
      <c r="AG168" s="526"/>
      <c r="AH168" s="526"/>
      <c r="AI168" s="526"/>
      <c r="AJ168" s="526"/>
      <c r="AK168" s="526"/>
      <c r="AL168" s="526"/>
      <c r="AM168" s="526"/>
      <c r="AN168" s="526"/>
      <c r="AO168" s="526"/>
      <c r="AP168" s="526"/>
      <c r="AQ168" s="526"/>
      <c r="AR168" s="526"/>
      <c r="AS168" s="526"/>
      <c r="AT168" s="526"/>
      <c r="AU168" s="526"/>
      <c r="AV168" s="526"/>
      <c r="AW168" s="526"/>
      <c r="AX168" s="526"/>
      <c r="AY168" s="526"/>
      <c r="AZ168" s="526"/>
      <c r="BA168" s="526"/>
      <c r="BB168" s="526"/>
      <c r="BC168" s="526"/>
      <c r="BD168" s="526"/>
      <c r="BE168" s="526"/>
      <c r="BF168" s="526"/>
      <c r="BG168" s="526"/>
      <c r="BH168" s="526"/>
      <c r="BI168" s="526"/>
      <c r="BJ168" s="526"/>
      <c r="BK168" s="526"/>
      <c r="BL168" s="526"/>
      <c r="BM168" s="526"/>
      <c r="BN168" s="526"/>
      <c r="BO168" s="526"/>
      <c r="BP168" s="526"/>
      <c r="BQ168" s="526"/>
      <c r="BR168" s="526"/>
      <c r="BS168" s="526"/>
      <c r="BT168" s="526"/>
      <c r="BU168" s="526"/>
      <c r="BV168" s="526"/>
      <c r="BW168" s="526"/>
      <c r="BX168" s="526"/>
      <c r="BY168" s="526"/>
      <c r="BZ168" s="526"/>
      <c r="CA168" s="526"/>
      <c r="CB168" s="526"/>
      <c r="CC168" s="526"/>
      <c r="CD168" s="526"/>
      <c r="CE168" s="526"/>
      <c r="CF168" s="526"/>
      <c r="CG168" s="526"/>
      <c r="CH168" s="526"/>
      <c r="CI168" s="526"/>
      <c r="CJ168" s="526"/>
      <c r="CK168" s="526"/>
      <c r="CL168" s="526"/>
      <c r="CM168" s="526"/>
      <c r="CN168" s="526"/>
      <c r="CO168" s="526"/>
      <c r="CP168" s="526"/>
      <c r="CQ168" s="526"/>
      <c r="CR168" s="526"/>
      <c r="CS168" s="526"/>
      <c r="CT168" s="526"/>
      <c r="CU168" s="526"/>
      <c r="CV168" s="526"/>
      <c r="CW168" s="526"/>
      <c r="CX168" s="526"/>
      <c r="CY168" s="526"/>
      <c r="CZ168" s="526"/>
      <c r="DA168" s="526"/>
      <c r="DB168" s="526"/>
      <c r="DC168" s="526"/>
      <c r="DD168" s="526"/>
      <c r="DE168" s="526"/>
      <c r="DF168" s="526"/>
      <c r="DG168" s="526"/>
      <c r="DH168" s="526"/>
      <c r="DI168" s="526"/>
      <c r="DJ168" s="526"/>
      <c r="DK168" s="526"/>
      <c r="DL168" s="526"/>
      <c r="DM168" s="526"/>
      <c r="DN168" s="526"/>
      <c r="DO168" s="526"/>
      <c r="DP168" s="526"/>
      <c r="DQ168" s="526"/>
      <c r="DR168" s="526"/>
      <c r="DS168" s="526"/>
      <c r="DT168" s="526"/>
      <c r="DU168" s="526"/>
      <c r="DV168" s="526"/>
      <c r="DW168" s="526"/>
      <c r="DX168" s="526"/>
      <c r="DY168" s="526"/>
      <c r="DZ168" s="526"/>
      <c r="EA168" s="526"/>
      <c r="EB168" s="526"/>
      <c r="EC168" s="526"/>
      <c r="ED168" s="526"/>
      <c r="EE168" s="526"/>
      <c r="EF168" s="526"/>
      <c r="EG168" s="526"/>
      <c r="EH168" s="526"/>
      <c r="EI168" s="526"/>
      <c r="EJ168" s="526"/>
      <c r="EK168" s="526"/>
      <c r="EL168" s="526"/>
      <c r="EM168" s="526"/>
      <c r="EN168" s="526"/>
      <c r="EO168" s="526"/>
      <c r="EP168" s="526"/>
      <c r="EQ168" s="526"/>
      <c r="ER168" s="526"/>
      <c r="ES168" s="526"/>
      <c r="ET168" s="526"/>
      <c r="EU168" s="526"/>
      <c r="EV168" s="526"/>
      <c r="EW168" s="526"/>
      <c r="EX168" s="526"/>
      <c r="EY168" s="526"/>
      <c r="EZ168" s="526"/>
      <c r="FA168" s="526"/>
      <c r="FB168" s="526"/>
      <c r="FC168" s="526"/>
      <c r="FD168" s="526"/>
      <c r="FE168" s="526"/>
      <c r="FF168" s="526"/>
      <c r="FG168" s="526"/>
      <c r="FH168" s="526"/>
      <c r="FI168" s="526"/>
      <c r="FJ168" s="526"/>
      <c r="FK168" s="526"/>
      <c r="FL168" s="526"/>
      <c r="FM168" s="526"/>
      <c r="FN168" s="526"/>
      <c r="FO168" s="526"/>
      <c r="FP168" s="526"/>
      <c r="FQ168" s="526"/>
      <c r="FR168" s="526"/>
      <c r="FS168" s="526"/>
      <c r="FT168" s="526"/>
      <c r="FU168" s="526"/>
      <c r="FV168" s="526"/>
      <c r="FW168" s="526"/>
      <c r="FX168" s="526"/>
      <c r="FY168" s="526"/>
      <c r="FZ168" s="526"/>
      <c r="GA168" s="526"/>
      <c r="GB168" s="526"/>
      <c r="GC168" s="526"/>
      <c r="GD168" s="526"/>
      <c r="GE168" s="526"/>
      <c r="GF168" s="526"/>
      <c r="GG168" s="526"/>
      <c r="GH168" s="526"/>
      <c r="GI168" s="526"/>
      <c r="GJ168" s="526"/>
      <c r="GK168" s="526"/>
      <c r="GL168" s="526"/>
      <c r="GM168" s="526"/>
      <c r="GN168" s="526"/>
      <c r="GO168" s="526"/>
      <c r="GP168" s="526"/>
      <c r="GQ168" s="526"/>
      <c r="GR168" s="526"/>
      <c r="GS168" s="526"/>
      <c r="GT168" s="526"/>
      <c r="GU168" s="526"/>
      <c r="GV168" s="526"/>
      <c r="GW168" s="526"/>
      <c r="GX168" s="526"/>
      <c r="GY168" s="526"/>
      <c r="GZ168" s="526"/>
      <c r="HA168" s="526"/>
      <c r="HB168" s="526"/>
      <c r="HC168" s="526"/>
      <c r="HD168" s="526"/>
      <c r="HE168" s="526"/>
      <c r="HF168" s="526"/>
      <c r="HG168" s="526"/>
      <c r="HH168" s="526"/>
      <c r="HI168" s="526"/>
      <c r="HJ168" s="526"/>
      <c r="HK168" s="526"/>
      <c r="HL168" s="526"/>
      <c r="HM168" s="526"/>
      <c r="HN168" s="526"/>
      <c r="HO168" s="526"/>
      <c r="HP168" s="526"/>
      <c r="HQ168" s="526"/>
      <c r="HR168" s="526"/>
      <c r="HS168" s="526"/>
      <c r="HT168" s="526"/>
      <c r="HU168" s="526"/>
      <c r="HV168" s="526"/>
      <c r="HW168" s="526"/>
      <c r="HX168" s="526"/>
      <c r="HY168" s="526"/>
      <c r="HZ168" s="526"/>
      <c r="IA168" s="526"/>
      <c r="IB168" s="526"/>
      <c r="IC168" s="526"/>
      <c r="ID168" s="526"/>
      <c r="IE168" s="526"/>
      <c r="IF168" s="526"/>
      <c r="IG168" s="526"/>
      <c r="IH168" s="526"/>
      <c r="II168" s="526"/>
      <c r="IJ168" s="526"/>
      <c r="IK168" s="526"/>
      <c r="IL168" s="526"/>
      <c r="IM168" s="526"/>
      <c r="IN168" s="526"/>
      <c r="IO168" s="526"/>
      <c r="IP168" s="526"/>
      <c r="IQ168" s="526"/>
    </row>
    <row r="169" spans="1:251" ht="18" customHeight="1">
      <c r="A169" s="525">
        <v>160</v>
      </c>
      <c r="B169" s="538"/>
      <c r="C169" s="543"/>
      <c r="D169" s="483" t="s">
        <v>1091</v>
      </c>
      <c r="E169" s="540"/>
      <c r="F169" s="541"/>
      <c r="G169" s="1460"/>
      <c r="H169" s="753"/>
      <c r="I169" s="728"/>
      <c r="J169" s="1561">
        <f>SUM(J167:J168)</f>
        <v>90</v>
      </c>
      <c r="K169" s="540"/>
      <c r="L169" s="1238">
        <f>SUM(I169:K169)</f>
        <v>90</v>
      </c>
      <c r="M169" s="542"/>
      <c r="N169" s="526"/>
      <c r="O169" s="526"/>
      <c r="P169" s="526"/>
      <c r="Q169" s="526"/>
      <c r="R169" s="526"/>
      <c r="S169" s="526"/>
      <c r="T169" s="526"/>
      <c r="U169" s="526"/>
      <c r="V169" s="526"/>
      <c r="W169" s="526"/>
      <c r="X169" s="526"/>
      <c r="Y169" s="526"/>
      <c r="Z169" s="526"/>
      <c r="AA169" s="526"/>
      <c r="AB169" s="526"/>
      <c r="AC169" s="526"/>
      <c r="AD169" s="526"/>
      <c r="AE169" s="526"/>
      <c r="AF169" s="526"/>
      <c r="AG169" s="526"/>
      <c r="AH169" s="526"/>
      <c r="AI169" s="526"/>
      <c r="AJ169" s="526"/>
      <c r="AK169" s="526"/>
      <c r="AL169" s="526"/>
      <c r="AM169" s="526"/>
      <c r="AN169" s="526"/>
      <c r="AO169" s="526"/>
      <c r="AP169" s="526"/>
      <c r="AQ169" s="526"/>
      <c r="AR169" s="526"/>
      <c r="AS169" s="526"/>
      <c r="AT169" s="526"/>
      <c r="AU169" s="526"/>
      <c r="AV169" s="526"/>
      <c r="AW169" s="526"/>
      <c r="AX169" s="526"/>
      <c r="AY169" s="526"/>
      <c r="AZ169" s="526"/>
      <c r="BA169" s="526"/>
      <c r="BB169" s="526"/>
      <c r="BC169" s="526"/>
      <c r="BD169" s="526"/>
      <c r="BE169" s="526"/>
      <c r="BF169" s="526"/>
      <c r="BG169" s="526"/>
      <c r="BH169" s="526"/>
      <c r="BI169" s="526"/>
      <c r="BJ169" s="526"/>
      <c r="BK169" s="526"/>
      <c r="BL169" s="526"/>
      <c r="BM169" s="526"/>
      <c r="BN169" s="526"/>
      <c r="BO169" s="526"/>
      <c r="BP169" s="526"/>
      <c r="BQ169" s="526"/>
      <c r="BR169" s="526"/>
      <c r="BS169" s="526"/>
      <c r="BT169" s="526"/>
      <c r="BU169" s="526"/>
      <c r="BV169" s="526"/>
      <c r="BW169" s="526"/>
      <c r="BX169" s="526"/>
      <c r="BY169" s="526"/>
      <c r="BZ169" s="526"/>
      <c r="CA169" s="526"/>
      <c r="CB169" s="526"/>
      <c r="CC169" s="526"/>
      <c r="CD169" s="526"/>
      <c r="CE169" s="526"/>
      <c r="CF169" s="526"/>
      <c r="CG169" s="526"/>
      <c r="CH169" s="526"/>
      <c r="CI169" s="526"/>
      <c r="CJ169" s="526"/>
      <c r="CK169" s="526"/>
      <c r="CL169" s="526"/>
      <c r="CM169" s="526"/>
      <c r="CN169" s="526"/>
      <c r="CO169" s="526"/>
      <c r="CP169" s="526"/>
      <c r="CQ169" s="526"/>
      <c r="CR169" s="526"/>
      <c r="CS169" s="526"/>
      <c r="CT169" s="526"/>
      <c r="CU169" s="526"/>
      <c r="CV169" s="526"/>
      <c r="CW169" s="526"/>
      <c r="CX169" s="526"/>
      <c r="CY169" s="526"/>
      <c r="CZ169" s="526"/>
      <c r="DA169" s="526"/>
      <c r="DB169" s="526"/>
      <c r="DC169" s="526"/>
      <c r="DD169" s="526"/>
      <c r="DE169" s="526"/>
      <c r="DF169" s="526"/>
      <c r="DG169" s="526"/>
      <c r="DH169" s="526"/>
      <c r="DI169" s="526"/>
      <c r="DJ169" s="526"/>
      <c r="DK169" s="526"/>
      <c r="DL169" s="526"/>
      <c r="DM169" s="526"/>
      <c r="DN169" s="526"/>
      <c r="DO169" s="526"/>
      <c r="DP169" s="526"/>
      <c r="DQ169" s="526"/>
      <c r="DR169" s="526"/>
      <c r="DS169" s="526"/>
      <c r="DT169" s="526"/>
      <c r="DU169" s="526"/>
      <c r="DV169" s="526"/>
      <c r="DW169" s="526"/>
      <c r="DX169" s="526"/>
      <c r="DY169" s="526"/>
      <c r="DZ169" s="526"/>
      <c r="EA169" s="526"/>
      <c r="EB169" s="526"/>
      <c r="EC169" s="526"/>
      <c r="ED169" s="526"/>
      <c r="EE169" s="526"/>
      <c r="EF169" s="526"/>
      <c r="EG169" s="526"/>
      <c r="EH169" s="526"/>
      <c r="EI169" s="526"/>
      <c r="EJ169" s="526"/>
      <c r="EK169" s="526"/>
      <c r="EL169" s="526"/>
      <c r="EM169" s="526"/>
      <c r="EN169" s="526"/>
      <c r="EO169" s="526"/>
      <c r="EP169" s="526"/>
      <c r="EQ169" s="526"/>
      <c r="ER169" s="526"/>
      <c r="ES169" s="526"/>
      <c r="ET169" s="526"/>
      <c r="EU169" s="526"/>
      <c r="EV169" s="526"/>
      <c r="EW169" s="526"/>
      <c r="EX169" s="526"/>
      <c r="EY169" s="526"/>
      <c r="EZ169" s="526"/>
      <c r="FA169" s="526"/>
      <c r="FB169" s="526"/>
      <c r="FC169" s="526"/>
      <c r="FD169" s="526"/>
      <c r="FE169" s="526"/>
      <c r="FF169" s="526"/>
      <c r="FG169" s="526"/>
      <c r="FH169" s="526"/>
      <c r="FI169" s="526"/>
      <c r="FJ169" s="526"/>
      <c r="FK169" s="526"/>
      <c r="FL169" s="526"/>
      <c r="FM169" s="526"/>
      <c r="FN169" s="526"/>
      <c r="FO169" s="526"/>
      <c r="FP169" s="526"/>
      <c r="FQ169" s="526"/>
      <c r="FR169" s="526"/>
      <c r="FS169" s="526"/>
      <c r="FT169" s="526"/>
      <c r="FU169" s="526"/>
      <c r="FV169" s="526"/>
      <c r="FW169" s="526"/>
      <c r="FX169" s="526"/>
      <c r="FY169" s="526"/>
      <c r="FZ169" s="526"/>
      <c r="GA169" s="526"/>
      <c r="GB169" s="526"/>
      <c r="GC169" s="526"/>
      <c r="GD169" s="526"/>
      <c r="GE169" s="526"/>
      <c r="GF169" s="526"/>
      <c r="GG169" s="526"/>
      <c r="GH169" s="526"/>
      <c r="GI169" s="526"/>
      <c r="GJ169" s="526"/>
      <c r="GK169" s="526"/>
      <c r="GL169" s="526"/>
      <c r="GM169" s="526"/>
      <c r="GN169" s="526"/>
      <c r="GO169" s="526"/>
      <c r="GP169" s="526"/>
      <c r="GQ169" s="526"/>
      <c r="GR169" s="526"/>
      <c r="GS169" s="526"/>
      <c r="GT169" s="526"/>
      <c r="GU169" s="526"/>
      <c r="GV169" s="526"/>
      <c r="GW169" s="526"/>
      <c r="GX169" s="526"/>
      <c r="GY169" s="526"/>
      <c r="GZ169" s="526"/>
      <c r="HA169" s="526"/>
      <c r="HB169" s="526"/>
      <c r="HC169" s="526"/>
      <c r="HD169" s="526"/>
      <c r="HE169" s="526"/>
      <c r="HF169" s="526"/>
      <c r="HG169" s="526"/>
      <c r="HH169" s="526"/>
      <c r="HI169" s="526"/>
      <c r="HJ169" s="526"/>
      <c r="HK169" s="526"/>
      <c r="HL169" s="526"/>
      <c r="HM169" s="526"/>
      <c r="HN169" s="526"/>
      <c r="HO169" s="526"/>
      <c r="HP169" s="526"/>
      <c r="HQ169" s="526"/>
      <c r="HR169" s="526"/>
      <c r="HS169" s="526"/>
      <c r="HT169" s="526"/>
      <c r="HU169" s="526"/>
      <c r="HV169" s="526"/>
      <c r="HW169" s="526"/>
      <c r="HX169" s="526"/>
      <c r="HY169" s="526"/>
      <c r="HZ169" s="526"/>
      <c r="IA169" s="526"/>
      <c r="IB169" s="526"/>
      <c r="IC169" s="526"/>
      <c r="ID169" s="526"/>
      <c r="IE169" s="526"/>
      <c r="IF169" s="526"/>
      <c r="IG169" s="526"/>
      <c r="IH169" s="526"/>
      <c r="II169" s="526"/>
      <c r="IJ169" s="526"/>
      <c r="IK169" s="526"/>
      <c r="IL169" s="526"/>
      <c r="IM169" s="526"/>
      <c r="IN169" s="526"/>
      <c r="IO169" s="526"/>
      <c r="IP169" s="526"/>
      <c r="IQ169" s="526"/>
    </row>
    <row r="170" spans="1:251" ht="33.75" customHeight="1">
      <c r="A170" s="525">
        <v>161</v>
      </c>
      <c r="B170" s="538"/>
      <c r="C170" s="543">
        <v>33</v>
      </c>
      <c r="D170" s="1013" t="s">
        <v>635</v>
      </c>
      <c r="E170" s="540">
        <f>F170+G170+L174+M171</f>
        <v>6357</v>
      </c>
      <c r="F170" s="541"/>
      <c r="G170" s="1460">
        <v>6357</v>
      </c>
      <c r="H170" s="753" t="s">
        <v>23</v>
      </c>
      <c r="I170" s="728"/>
      <c r="J170" s="540"/>
      <c r="K170" s="540"/>
      <c r="L170" s="551"/>
      <c r="M170" s="542"/>
      <c r="N170" s="526"/>
      <c r="O170" s="526"/>
      <c r="P170" s="526"/>
      <c r="Q170" s="526"/>
      <c r="R170" s="526"/>
      <c r="S170" s="526"/>
      <c r="T170" s="526"/>
      <c r="U170" s="526"/>
      <c r="V170" s="526"/>
      <c r="W170" s="526"/>
      <c r="X170" s="526"/>
      <c r="Y170" s="526"/>
      <c r="Z170" s="526"/>
      <c r="AA170" s="526"/>
      <c r="AB170" s="526"/>
      <c r="AC170" s="526"/>
      <c r="AD170" s="526"/>
      <c r="AE170" s="526"/>
      <c r="AF170" s="526"/>
      <c r="AG170" s="526"/>
      <c r="AH170" s="526"/>
      <c r="AI170" s="526"/>
      <c r="AJ170" s="526"/>
      <c r="AK170" s="526"/>
      <c r="AL170" s="526"/>
      <c r="AM170" s="526"/>
      <c r="AN170" s="526"/>
      <c r="AO170" s="526"/>
      <c r="AP170" s="526"/>
      <c r="AQ170" s="526"/>
      <c r="AR170" s="526"/>
      <c r="AS170" s="526"/>
      <c r="AT170" s="526"/>
      <c r="AU170" s="526"/>
      <c r="AV170" s="526"/>
      <c r="AW170" s="526"/>
      <c r="AX170" s="526"/>
      <c r="AY170" s="526"/>
      <c r="AZ170" s="526"/>
      <c r="BA170" s="526"/>
      <c r="BB170" s="526"/>
      <c r="BC170" s="526"/>
      <c r="BD170" s="526"/>
      <c r="BE170" s="526"/>
      <c r="BF170" s="526"/>
      <c r="BG170" s="526"/>
      <c r="BH170" s="526"/>
      <c r="BI170" s="526"/>
      <c r="BJ170" s="526"/>
      <c r="BK170" s="526"/>
      <c r="BL170" s="526"/>
      <c r="BM170" s="526"/>
      <c r="BN170" s="526"/>
      <c r="BO170" s="526"/>
      <c r="BP170" s="526"/>
      <c r="BQ170" s="526"/>
      <c r="BR170" s="526"/>
      <c r="BS170" s="526"/>
      <c r="BT170" s="526"/>
      <c r="BU170" s="526"/>
      <c r="BV170" s="526"/>
      <c r="BW170" s="526"/>
      <c r="BX170" s="526"/>
      <c r="BY170" s="526"/>
      <c r="BZ170" s="526"/>
      <c r="CA170" s="526"/>
      <c r="CB170" s="526"/>
      <c r="CC170" s="526"/>
      <c r="CD170" s="526"/>
      <c r="CE170" s="526"/>
      <c r="CF170" s="526"/>
      <c r="CG170" s="526"/>
      <c r="CH170" s="526"/>
      <c r="CI170" s="526"/>
      <c r="CJ170" s="526"/>
      <c r="CK170" s="526"/>
      <c r="CL170" s="526"/>
      <c r="CM170" s="526"/>
      <c r="CN170" s="526"/>
      <c r="CO170" s="526"/>
      <c r="CP170" s="526"/>
      <c r="CQ170" s="526"/>
      <c r="CR170" s="526"/>
      <c r="CS170" s="526"/>
      <c r="CT170" s="526"/>
      <c r="CU170" s="526"/>
      <c r="CV170" s="526"/>
      <c r="CW170" s="526"/>
      <c r="CX170" s="526"/>
      <c r="CY170" s="526"/>
      <c r="CZ170" s="526"/>
      <c r="DA170" s="526"/>
      <c r="DB170" s="526"/>
      <c r="DC170" s="526"/>
      <c r="DD170" s="526"/>
      <c r="DE170" s="526"/>
      <c r="DF170" s="526"/>
      <c r="DG170" s="526"/>
      <c r="DH170" s="526"/>
      <c r="DI170" s="526"/>
      <c r="DJ170" s="526"/>
      <c r="DK170" s="526"/>
      <c r="DL170" s="526"/>
      <c r="DM170" s="526"/>
      <c r="DN170" s="526"/>
      <c r="DO170" s="526"/>
      <c r="DP170" s="526"/>
      <c r="DQ170" s="526"/>
      <c r="DR170" s="526"/>
      <c r="DS170" s="526"/>
      <c r="DT170" s="526"/>
      <c r="DU170" s="526"/>
      <c r="DV170" s="526"/>
      <c r="DW170" s="526"/>
      <c r="DX170" s="526"/>
      <c r="DY170" s="526"/>
      <c r="DZ170" s="526"/>
      <c r="EA170" s="526"/>
      <c r="EB170" s="526"/>
      <c r="EC170" s="526"/>
      <c r="ED170" s="526"/>
      <c r="EE170" s="526"/>
      <c r="EF170" s="526"/>
      <c r="EG170" s="526"/>
      <c r="EH170" s="526"/>
      <c r="EI170" s="526"/>
      <c r="EJ170" s="526"/>
      <c r="EK170" s="526"/>
      <c r="EL170" s="526"/>
      <c r="EM170" s="526"/>
      <c r="EN170" s="526"/>
      <c r="EO170" s="526"/>
      <c r="EP170" s="526"/>
      <c r="EQ170" s="526"/>
      <c r="ER170" s="526"/>
      <c r="ES170" s="526"/>
      <c r="ET170" s="526"/>
      <c r="EU170" s="526"/>
      <c r="EV170" s="526"/>
      <c r="EW170" s="526"/>
      <c r="EX170" s="526"/>
      <c r="EY170" s="526"/>
      <c r="EZ170" s="526"/>
      <c r="FA170" s="526"/>
      <c r="FB170" s="526"/>
      <c r="FC170" s="526"/>
      <c r="FD170" s="526"/>
      <c r="FE170" s="526"/>
      <c r="FF170" s="526"/>
      <c r="FG170" s="526"/>
      <c r="FH170" s="526"/>
      <c r="FI170" s="526"/>
      <c r="FJ170" s="526"/>
      <c r="FK170" s="526"/>
      <c r="FL170" s="526"/>
      <c r="FM170" s="526"/>
      <c r="FN170" s="526"/>
      <c r="FO170" s="526"/>
      <c r="FP170" s="526"/>
      <c r="FQ170" s="526"/>
      <c r="FR170" s="526"/>
      <c r="FS170" s="526"/>
      <c r="FT170" s="526"/>
      <c r="FU170" s="526"/>
      <c r="FV170" s="526"/>
      <c r="FW170" s="526"/>
      <c r="FX170" s="526"/>
      <c r="FY170" s="526"/>
      <c r="FZ170" s="526"/>
      <c r="GA170" s="526"/>
      <c r="GB170" s="526"/>
      <c r="GC170" s="526"/>
      <c r="GD170" s="526"/>
      <c r="GE170" s="526"/>
      <c r="GF170" s="526"/>
      <c r="GG170" s="526"/>
      <c r="GH170" s="526"/>
      <c r="GI170" s="526"/>
      <c r="GJ170" s="526"/>
      <c r="GK170" s="526"/>
      <c r="GL170" s="526"/>
      <c r="GM170" s="526"/>
      <c r="GN170" s="526"/>
      <c r="GO170" s="526"/>
      <c r="GP170" s="526"/>
      <c r="GQ170" s="526"/>
      <c r="GR170" s="526"/>
      <c r="GS170" s="526"/>
      <c r="GT170" s="526"/>
      <c r="GU170" s="526"/>
      <c r="GV170" s="526"/>
      <c r="GW170" s="526"/>
      <c r="GX170" s="526"/>
      <c r="GY170" s="526"/>
      <c r="GZ170" s="526"/>
      <c r="HA170" s="526"/>
      <c r="HB170" s="526"/>
      <c r="HC170" s="526"/>
      <c r="HD170" s="526"/>
      <c r="HE170" s="526"/>
      <c r="HF170" s="526"/>
      <c r="HG170" s="526"/>
      <c r="HH170" s="526"/>
      <c r="HI170" s="526"/>
      <c r="HJ170" s="526"/>
      <c r="HK170" s="526"/>
      <c r="HL170" s="526"/>
      <c r="HM170" s="526"/>
      <c r="HN170" s="526"/>
      <c r="HO170" s="526"/>
      <c r="HP170" s="526"/>
      <c r="HQ170" s="526"/>
      <c r="HR170" s="526"/>
      <c r="HS170" s="526"/>
      <c r="HT170" s="526"/>
      <c r="HU170" s="526"/>
      <c r="HV170" s="526"/>
      <c r="HW170" s="526"/>
      <c r="HX170" s="526"/>
      <c r="HY170" s="526"/>
      <c r="HZ170" s="526"/>
      <c r="IA170" s="526"/>
      <c r="IB170" s="526"/>
      <c r="IC170" s="526"/>
      <c r="ID170" s="526"/>
      <c r="IE170" s="526"/>
      <c r="IF170" s="526"/>
      <c r="IG170" s="526"/>
      <c r="IH170" s="526"/>
      <c r="II170" s="526"/>
      <c r="IJ170" s="526"/>
      <c r="IK170" s="526"/>
      <c r="IL170" s="526"/>
      <c r="IM170" s="526"/>
      <c r="IN170" s="526"/>
      <c r="IO170" s="526"/>
      <c r="IP170" s="526"/>
      <c r="IQ170" s="526"/>
    </row>
    <row r="171" spans="1:251" ht="18" customHeight="1">
      <c r="A171" s="525">
        <v>162</v>
      </c>
      <c r="B171" s="538"/>
      <c r="C171" s="543"/>
      <c r="D171" s="594" t="s">
        <v>283</v>
      </c>
      <c r="E171" s="540"/>
      <c r="F171" s="541"/>
      <c r="G171" s="1460"/>
      <c r="H171" s="753"/>
      <c r="I171" s="728"/>
      <c r="J171" s="1422">
        <v>4643</v>
      </c>
      <c r="K171" s="1422"/>
      <c r="L171" s="1423">
        <f>SUM(I171:K171)</f>
        <v>4643</v>
      </c>
      <c r="M171" s="542"/>
      <c r="N171" s="526"/>
      <c r="O171" s="526"/>
      <c r="P171" s="526"/>
      <c r="Q171" s="526"/>
      <c r="R171" s="526"/>
      <c r="S171" s="526"/>
      <c r="T171" s="526"/>
      <c r="U171" s="526"/>
      <c r="V171" s="526"/>
      <c r="W171" s="526"/>
      <c r="X171" s="526"/>
      <c r="Y171" s="526"/>
      <c r="Z171" s="526"/>
      <c r="AA171" s="526"/>
      <c r="AB171" s="526"/>
      <c r="AC171" s="526"/>
      <c r="AD171" s="526"/>
      <c r="AE171" s="526"/>
      <c r="AF171" s="526"/>
      <c r="AG171" s="526"/>
      <c r="AH171" s="526"/>
      <c r="AI171" s="526"/>
      <c r="AJ171" s="526"/>
      <c r="AK171" s="526"/>
      <c r="AL171" s="526"/>
      <c r="AM171" s="526"/>
      <c r="AN171" s="526"/>
      <c r="AO171" s="526"/>
      <c r="AP171" s="526"/>
      <c r="AQ171" s="526"/>
      <c r="AR171" s="526"/>
      <c r="AS171" s="526"/>
      <c r="AT171" s="526"/>
      <c r="AU171" s="526"/>
      <c r="AV171" s="526"/>
      <c r="AW171" s="526"/>
      <c r="AX171" s="526"/>
      <c r="AY171" s="526"/>
      <c r="AZ171" s="526"/>
      <c r="BA171" s="526"/>
      <c r="BB171" s="526"/>
      <c r="BC171" s="526"/>
      <c r="BD171" s="526"/>
      <c r="BE171" s="526"/>
      <c r="BF171" s="526"/>
      <c r="BG171" s="526"/>
      <c r="BH171" s="526"/>
      <c r="BI171" s="526"/>
      <c r="BJ171" s="526"/>
      <c r="BK171" s="526"/>
      <c r="BL171" s="526"/>
      <c r="BM171" s="526"/>
      <c r="BN171" s="526"/>
      <c r="BO171" s="526"/>
      <c r="BP171" s="526"/>
      <c r="BQ171" s="526"/>
      <c r="BR171" s="526"/>
      <c r="BS171" s="526"/>
      <c r="BT171" s="526"/>
      <c r="BU171" s="526"/>
      <c r="BV171" s="526"/>
      <c r="BW171" s="526"/>
      <c r="BX171" s="526"/>
      <c r="BY171" s="526"/>
      <c r="BZ171" s="526"/>
      <c r="CA171" s="526"/>
      <c r="CB171" s="526"/>
      <c r="CC171" s="526"/>
      <c r="CD171" s="526"/>
      <c r="CE171" s="526"/>
      <c r="CF171" s="526"/>
      <c r="CG171" s="526"/>
      <c r="CH171" s="526"/>
      <c r="CI171" s="526"/>
      <c r="CJ171" s="526"/>
      <c r="CK171" s="526"/>
      <c r="CL171" s="526"/>
      <c r="CM171" s="526"/>
      <c r="CN171" s="526"/>
      <c r="CO171" s="526"/>
      <c r="CP171" s="526"/>
      <c r="CQ171" s="526"/>
      <c r="CR171" s="526"/>
      <c r="CS171" s="526"/>
      <c r="CT171" s="526"/>
      <c r="CU171" s="526"/>
      <c r="CV171" s="526"/>
      <c r="CW171" s="526"/>
      <c r="CX171" s="526"/>
      <c r="CY171" s="526"/>
      <c r="CZ171" s="526"/>
      <c r="DA171" s="526"/>
      <c r="DB171" s="526"/>
      <c r="DC171" s="526"/>
      <c r="DD171" s="526"/>
      <c r="DE171" s="526"/>
      <c r="DF171" s="526"/>
      <c r="DG171" s="526"/>
      <c r="DH171" s="526"/>
      <c r="DI171" s="526"/>
      <c r="DJ171" s="526"/>
      <c r="DK171" s="526"/>
      <c r="DL171" s="526"/>
      <c r="DM171" s="526"/>
      <c r="DN171" s="526"/>
      <c r="DO171" s="526"/>
      <c r="DP171" s="526"/>
      <c r="DQ171" s="526"/>
      <c r="DR171" s="526"/>
      <c r="DS171" s="526"/>
      <c r="DT171" s="526"/>
      <c r="DU171" s="526"/>
      <c r="DV171" s="526"/>
      <c r="DW171" s="526"/>
      <c r="DX171" s="526"/>
      <c r="DY171" s="526"/>
      <c r="DZ171" s="526"/>
      <c r="EA171" s="526"/>
      <c r="EB171" s="526"/>
      <c r="EC171" s="526"/>
      <c r="ED171" s="526"/>
      <c r="EE171" s="526"/>
      <c r="EF171" s="526"/>
      <c r="EG171" s="526"/>
      <c r="EH171" s="526"/>
      <c r="EI171" s="526"/>
      <c r="EJ171" s="526"/>
      <c r="EK171" s="526"/>
      <c r="EL171" s="526"/>
      <c r="EM171" s="526"/>
      <c r="EN171" s="526"/>
      <c r="EO171" s="526"/>
      <c r="EP171" s="526"/>
      <c r="EQ171" s="526"/>
      <c r="ER171" s="526"/>
      <c r="ES171" s="526"/>
      <c r="ET171" s="526"/>
      <c r="EU171" s="526"/>
      <c r="EV171" s="526"/>
      <c r="EW171" s="526"/>
      <c r="EX171" s="526"/>
      <c r="EY171" s="526"/>
      <c r="EZ171" s="526"/>
      <c r="FA171" s="526"/>
      <c r="FB171" s="526"/>
      <c r="FC171" s="526"/>
      <c r="FD171" s="526"/>
      <c r="FE171" s="526"/>
      <c r="FF171" s="526"/>
      <c r="FG171" s="526"/>
      <c r="FH171" s="526"/>
      <c r="FI171" s="526"/>
      <c r="FJ171" s="526"/>
      <c r="FK171" s="526"/>
      <c r="FL171" s="526"/>
      <c r="FM171" s="526"/>
      <c r="FN171" s="526"/>
      <c r="FO171" s="526"/>
      <c r="FP171" s="526"/>
      <c r="FQ171" s="526"/>
      <c r="FR171" s="526"/>
      <c r="FS171" s="526"/>
      <c r="FT171" s="526"/>
      <c r="FU171" s="526"/>
      <c r="FV171" s="526"/>
      <c r="FW171" s="526"/>
      <c r="FX171" s="526"/>
      <c r="FY171" s="526"/>
      <c r="FZ171" s="526"/>
      <c r="GA171" s="526"/>
      <c r="GB171" s="526"/>
      <c r="GC171" s="526"/>
      <c r="GD171" s="526"/>
      <c r="GE171" s="526"/>
      <c r="GF171" s="526"/>
      <c r="GG171" s="526"/>
      <c r="GH171" s="526"/>
      <c r="GI171" s="526"/>
      <c r="GJ171" s="526"/>
      <c r="GK171" s="526"/>
      <c r="GL171" s="526"/>
      <c r="GM171" s="526"/>
      <c r="GN171" s="526"/>
      <c r="GO171" s="526"/>
      <c r="GP171" s="526"/>
      <c r="GQ171" s="526"/>
      <c r="GR171" s="526"/>
      <c r="GS171" s="526"/>
      <c r="GT171" s="526"/>
      <c r="GU171" s="526"/>
      <c r="GV171" s="526"/>
      <c r="GW171" s="526"/>
      <c r="GX171" s="526"/>
      <c r="GY171" s="526"/>
      <c r="GZ171" s="526"/>
      <c r="HA171" s="526"/>
      <c r="HB171" s="526"/>
      <c r="HC171" s="526"/>
      <c r="HD171" s="526"/>
      <c r="HE171" s="526"/>
      <c r="HF171" s="526"/>
      <c r="HG171" s="526"/>
      <c r="HH171" s="526"/>
      <c r="HI171" s="526"/>
      <c r="HJ171" s="526"/>
      <c r="HK171" s="526"/>
      <c r="HL171" s="526"/>
      <c r="HM171" s="526"/>
      <c r="HN171" s="526"/>
      <c r="HO171" s="526"/>
      <c r="HP171" s="526"/>
      <c r="HQ171" s="526"/>
      <c r="HR171" s="526"/>
      <c r="HS171" s="526"/>
      <c r="HT171" s="526"/>
      <c r="HU171" s="526"/>
      <c r="HV171" s="526"/>
      <c r="HW171" s="526"/>
      <c r="HX171" s="526"/>
      <c r="HY171" s="526"/>
      <c r="HZ171" s="526"/>
      <c r="IA171" s="526"/>
      <c r="IB171" s="526"/>
      <c r="IC171" s="526"/>
      <c r="ID171" s="526"/>
      <c r="IE171" s="526"/>
      <c r="IF171" s="526"/>
      <c r="IG171" s="526"/>
      <c r="IH171" s="526"/>
      <c r="II171" s="526"/>
      <c r="IJ171" s="526"/>
      <c r="IK171" s="526"/>
      <c r="IL171" s="526"/>
      <c r="IM171" s="526"/>
      <c r="IN171" s="526"/>
      <c r="IO171" s="526"/>
      <c r="IP171" s="526"/>
      <c r="IQ171" s="526"/>
    </row>
    <row r="172" spans="1:251" ht="18" customHeight="1">
      <c r="A172" s="525">
        <v>163</v>
      </c>
      <c r="B172" s="538"/>
      <c r="C172" s="543"/>
      <c r="D172" s="483" t="s">
        <v>938</v>
      </c>
      <c r="E172" s="540"/>
      <c r="F172" s="541"/>
      <c r="G172" s="1460"/>
      <c r="H172" s="753"/>
      <c r="I172" s="728"/>
      <c r="J172" s="1561">
        <v>0</v>
      </c>
      <c r="K172" s="1561"/>
      <c r="L172" s="1669">
        <f>SUM(I172:K172)</f>
        <v>0</v>
      </c>
      <c r="M172" s="542"/>
      <c r="N172" s="526"/>
      <c r="O172" s="526"/>
      <c r="P172" s="526"/>
      <c r="Q172" s="526"/>
      <c r="R172" s="526"/>
      <c r="S172" s="526"/>
      <c r="T172" s="526"/>
      <c r="U172" s="526"/>
      <c r="V172" s="526"/>
      <c r="W172" s="526"/>
      <c r="X172" s="526"/>
      <c r="Y172" s="526"/>
      <c r="Z172" s="526"/>
      <c r="AA172" s="526"/>
      <c r="AB172" s="526"/>
      <c r="AC172" s="526"/>
      <c r="AD172" s="526"/>
      <c r="AE172" s="526"/>
      <c r="AF172" s="526"/>
      <c r="AG172" s="526"/>
      <c r="AH172" s="526"/>
      <c r="AI172" s="526"/>
      <c r="AJ172" s="526"/>
      <c r="AK172" s="526"/>
      <c r="AL172" s="526"/>
      <c r="AM172" s="526"/>
      <c r="AN172" s="526"/>
      <c r="AO172" s="526"/>
      <c r="AP172" s="526"/>
      <c r="AQ172" s="526"/>
      <c r="AR172" s="526"/>
      <c r="AS172" s="526"/>
      <c r="AT172" s="526"/>
      <c r="AU172" s="526"/>
      <c r="AV172" s="526"/>
      <c r="AW172" s="526"/>
      <c r="AX172" s="526"/>
      <c r="AY172" s="526"/>
      <c r="AZ172" s="526"/>
      <c r="BA172" s="526"/>
      <c r="BB172" s="526"/>
      <c r="BC172" s="526"/>
      <c r="BD172" s="526"/>
      <c r="BE172" s="526"/>
      <c r="BF172" s="526"/>
      <c r="BG172" s="526"/>
      <c r="BH172" s="526"/>
      <c r="BI172" s="526"/>
      <c r="BJ172" s="526"/>
      <c r="BK172" s="526"/>
      <c r="BL172" s="526"/>
      <c r="BM172" s="526"/>
      <c r="BN172" s="526"/>
      <c r="BO172" s="526"/>
      <c r="BP172" s="526"/>
      <c r="BQ172" s="526"/>
      <c r="BR172" s="526"/>
      <c r="BS172" s="526"/>
      <c r="BT172" s="526"/>
      <c r="BU172" s="526"/>
      <c r="BV172" s="526"/>
      <c r="BW172" s="526"/>
      <c r="BX172" s="526"/>
      <c r="BY172" s="526"/>
      <c r="BZ172" s="526"/>
      <c r="CA172" s="526"/>
      <c r="CB172" s="526"/>
      <c r="CC172" s="526"/>
      <c r="CD172" s="526"/>
      <c r="CE172" s="526"/>
      <c r="CF172" s="526"/>
      <c r="CG172" s="526"/>
      <c r="CH172" s="526"/>
      <c r="CI172" s="526"/>
      <c r="CJ172" s="526"/>
      <c r="CK172" s="526"/>
      <c r="CL172" s="526"/>
      <c r="CM172" s="526"/>
      <c r="CN172" s="526"/>
      <c r="CO172" s="526"/>
      <c r="CP172" s="526"/>
      <c r="CQ172" s="526"/>
      <c r="CR172" s="526"/>
      <c r="CS172" s="526"/>
      <c r="CT172" s="526"/>
      <c r="CU172" s="526"/>
      <c r="CV172" s="526"/>
      <c r="CW172" s="526"/>
      <c r="CX172" s="526"/>
      <c r="CY172" s="526"/>
      <c r="CZ172" s="526"/>
      <c r="DA172" s="526"/>
      <c r="DB172" s="526"/>
      <c r="DC172" s="526"/>
      <c r="DD172" s="526"/>
      <c r="DE172" s="526"/>
      <c r="DF172" s="526"/>
      <c r="DG172" s="526"/>
      <c r="DH172" s="526"/>
      <c r="DI172" s="526"/>
      <c r="DJ172" s="526"/>
      <c r="DK172" s="526"/>
      <c r="DL172" s="526"/>
      <c r="DM172" s="526"/>
      <c r="DN172" s="526"/>
      <c r="DO172" s="526"/>
      <c r="DP172" s="526"/>
      <c r="DQ172" s="526"/>
      <c r="DR172" s="526"/>
      <c r="DS172" s="526"/>
      <c r="DT172" s="526"/>
      <c r="DU172" s="526"/>
      <c r="DV172" s="526"/>
      <c r="DW172" s="526"/>
      <c r="DX172" s="526"/>
      <c r="DY172" s="526"/>
      <c r="DZ172" s="526"/>
      <c r="EA172" s="526"/>
      <c r="EB172" s="526"/>
      <c r="EC172" s="526"/>
      <c r="ED172" s="526"/>
      <c r="EE172" s="526"/>
      <c r="EF172" s="526"/>
      <c r="EG172" s="526"/>
      <c r="EH172" s="526"/>
      <c r="EI172" s="526"/>
      <c r="EJ172" s="526"/>
      <c r="EK172" s="526"/>
      <c r="EL172" s="526"/>
      <c r="EM172" s="526"/>
      <c r="EN172" s="526"/>
      <c r="EO172" s="526"/>
      <c r="EP172" s="526"/>
      <c r="EQ172" s="526"/>
      <c r="ER172" s="526"/>
      <c r="ES172" s="526"/>
      <c r="ET172" s="526"/>
      <c r="EU172" s="526"/>
      <c r="EV172" s="526"/>
      <c r="EW172" s="526"/>
      <c r="EX172" s="526"/>
      <c r="EY172" s="526"/>
      <c r="EZ172" s="526"/>
      <c r="FA172" s="526"/>
      <c r="FB172" s="526"/>
      <c r="FC172" s="526"/>
      <c r="FD172" s="526"/>
      <c r="FE172" s="526"/>
      <c r="FF172" s="526"/>
      <c r="FG172" s="526"/>
      <c r="FH172" s="526"/>
      <c r="FI172" s="526"/>
      <c r="FJ172" s="526"/>
      <c r="FK172" s="526"/>
      <c r="FL172" s="526"/>
      <c r="FM172" s="526"/>
      <c r="FN172" s="526"/>
      <c r="FO172" s="526"/>
      <c r="FP172" s="526"/>
      <c r="FQ172" s="526"/>
      <c r="FR172" s="526"/>
      <c r="FS172" s="526"/>
      <c r="FT172" s="526"/>
      <c r="FU172" s="526"/>
      <c r="FV172" s="526"/>
      <c r="FW172" s="526"/>
      <c r="FX172" s="526"/>
      <c r="FY172" s="526"/>
      <c r="FZ172" s="526"/>
      <c r="GA172" s="526"/>
      <c r="GB172" s="526"/>
      <c r="GC172" s="526"/>
      <c r="GD172" s="526"/>
      <c r="GE172" s="526"/>
      <c r="GF172" s="526"/>
      <c r="GG172" s="526"/>
      <c r="GH172" s="526"/>
      <c r="GI172" s="526"/>
      <c r="GJ172" s="526"/>
      <c r="GK172" s="526"/>
      <c r="GL172" s="526"/>
      <c r="GM172" s="526"/>
      <c r="GN172" s="526"/>
      <c r="GO172" s="526"/>
      <c r="GP172" s="526"/>
      <c r="GQ172" s="526"/>
      <c r="GR172" s="526"/>
      <c r="GS172" s="526"/>
      <c r="GT172" s="526"/>
      <c r="GU172" s="526"/>
      <c r="GV172" s="526"/>
      <c r="GW172" s="526"/>
      <c r="GX172" s="526"/>
      <c r="GY172" s="526"/>
      <c r="GZ172" s="526"/>
      <c r="HA172" s="526"/>
      <c r="HB172" s="526"/>
      <c r="HC172" s="526"/>
      <c r="HD172" s="526"/>
      <c r="HE172" s="526"/>
      <c r="HF172" s="526"/>
      <c r="HG172" s="526"/>
      <c r="HH172" s="526"/>
      <c r="HI172" s="526"/>
      <c r="HJ172" s="526"/>
      <c r="HK172" s="526"/>
      <c r="HL172" s="526"/>
      <c r="HM172" s="526"/>
      <c r="HN172" s="526"/>
      <c r="HO172" s="526"/>
      <c r="HP172" s="526"/>
      <c r="HQ172" s="526"/>
      <c r="HR172" s="526"/>
      <c r="HS172" s="526"/>
      <c r="HT172" s="526"/>
      <c r="HU172" s="526"/>
      <c r="HV172" s="526"/>
      <c r="HW172" s="526"/>
      <c r="HX172" s="526"/>
      <c r="HY172" s="526"/>
      <c r="HZ172" s="526"/>
      <c r="IA172" s="526"/>
      <c r="IB172" s="526"/>
      <c r="IC172" s="526"/>
      <c r="ID172" s="526"/>
      <c r="IE172" s="526"/>
      <c r="IF172" s="526"/>
      <c r="IG172" s="526"/>
      <c r="IH172" s="526"/>
      <c r="II172" s="526"/>
      <c r="IJ172" s="526"/>
      <c r="IK172" s="526"/>
      <c r="IL172" s="526"/>
      <c r="IM172" s="526"/>
      <c r="IN172" s="526"/>
      <c r="IO172" s="526"/>
      <c r="IP172" s="526"/>
      <c r="IQ172" s="526"/>
    </row>
    <row r="173" spans="1:251" ht="18" customHeight="1">
      <c r="A173" s="525">
        <v>164</v>
      </c>
      <c r="B173" s="538"/>
      <c r="C173" s="543"/>
      <c r="D173" s="1146" t="s">
        <v>725</v>
      </c>
      <c r="E173" s="540"/>
      <c r="F173" s="541"/>
      <c r="G173" s="1460"/>
      <c r="H173" s="753"/>
      <c r="I173" s="728"/>
      <c r="J173" s="1458"/>
      <c r="K173" s="540"/>
      <c r="L173" s="1241">
        <f>SUM(I173:K173)</f>
        <v>0</v>
      </c>
      <c r="M173" s="542"/>
      <c r="N173" s="526"/>
      <c r="O173" s="526"/>
      <c r="P173" s="526"/>
      <c r="Q173" s="526"/>
      <c r="R173" s="526"/>
      <c r="S173" s="526"/>
      <c r="T173" s="526"/>
      <c r="U173" s="526"/>
      <c r="V173" s="526"/>
      <c r="W173" s="526"/>
      <c r="X173" s="526"/>
      <c r="Y173" s="526"/>
      <c r="Z173" s="526"/>
      <c r="AA173" s="526"/>
      <c r="AB173" s="526"/>
      <c r="AC173" s="526"/>
      <c r="AD173" s="526"/>
      <c r="AE173" s="526"/>
      <c r="AF173" s="526"/>
      <c r="AG173" s="526"/>
      <c r="AH173" s="526"/>
      <c r="AI173" s="526"/>
      <c r="AJ173" s="526"/>
      <c r="AK173" s="526"/>
      <c r="AL173" s="526"/>
      <c r="AM173" s="526"/>
      <c r="AN173" s="526"/>
      <c r="AO173" s="526"/>
      <c r="AP173" s="526"/>
      <c r="AQ173" s="526"/>
      <c r="AR173" s="526"/>
      <c r="AS173" s="526"/>
      <c r="AT173" s="526"/>
      <c r="AU173" s="526"/>
      <c r="AV173" s="526"/>
      <c r="AW173" s="526"/>
      <c r="AX173" s="526"/>
      <c r="AY173" s="526"/>
      <c r="AZ173" s="526"/>
      <c r="BA173" s="526"/>
      <c r="BB173" s="526"/>
      <c r="BC173" s="526"/>
      <c r="BD173" s="526"/>
      <c r="BE173" s="526"/>
      <c r="BF173" s="526"/>
      <c r="BG173" s="526"/>
      <c r="BH173" s="526"/>
      <c r="BI173" s="526"/>
      <c r="BJ173" s="526"/>
      <c r="BK173" s="526"/>
      <c r="BL173" s="526"/>
      <c r="BM173" s="526"/>
      <c r="BN173" s="526"/>
      <c r="BO173" s="526"/>
      <c r="BP173" s="526"/>
      <c r="BQ173" s="526"/>
      <c r="BR173" s="526"/>
      <c r="BS173" s="526"/>
      <c r="BT173" s="526"/>
      <c r="BU173" s="526"/>
      <c r="BV173" s="526"/>
      <c r="BW173" s="526"/>
      <c r="BX173" s="526"/>
      <c r="BY173" s="526"/>
      <c r="BZ173" s="526"/>
      <c r="CA173" s="526"/>
      <c r="CB173" s="526"/>
      <c r="CC173" s="526"/>
      <c r="CD173" s="526"/>
      <c r="CE173" s="526"/>
      <c r="CF173" s="526"/>
      <c r="CG173" s="526"/>
      <c r="CH173" s="526"/>
      <c r="CI173" s="526"/>
      <c r="CJ173" s="526"/>
      <c r="CK173" s="526"/>
      <c r="CL173" s="526"/>
      <c r="CM173" s="526"/>
      <c r="CN173" s="526"/>
      <c r="CO173" s="526"/>
      <c r="CP173" s="526"/>
      <c r="CQ173" s="526"/>
      <c r="CR173" s="526"/>
      <c r="CS173" s="526"/>
      <c r="CT173" s="526"/>
      <c r="CU173" s="526"/>
      <c r="CV173" s="526"/>
      <c r="CW173" s="526"/>
      <c r="CX173" s="526"/>
      <c r="CY173" s="526"/>
      <c r="CZ173" s="526"/>
      <c r="DA173" s="526"/>
      <c r="DB173" s="526"/>
      <c r="DC173" s="526"/>
      <c r="DD173" s="526"/>
      <c r="DE173" s="526"/>
      <c r="DF173" s="526"/>
      <c r="DG173" s="526"/>
      <c r="DH173" s="526"/>
      <c r="DI173" s="526"/>
      <c r="DJ173" s="526"/>
      <c r="DK173" s="526"/>
      <c r="DL173" s="526"/>
      <c r="DM173" s="526"/>
      <c r="DN173" s="526"/>
      <c r="DO173" s="526"/>
      <c r="DP173" s="526"/>
      <c r="DQ173" s="526"/>
      <c r="DR173" s="526"/>
      <c r="DS173" s="526"/>
      <c r="DT173" s="526"/>
      <c r="DU173" s="526"/>
      <c r="DV173" s="526"/>
      <c r="DW173" s="526"/>
      <c r="DX173" s="526"/>
      <c r="DY173" s="526"/>
      <c r="DZ173" s="526"/>
      <c r="EA173" s="526"/>
      <c r="EB173" s="526"/>
      <c r="EC173" s="526"/>
      <c r="ED173" s="526"/>
      <c r="EE173" s="526"/>
      <c r="EF173" s="526"/>
      <c r="EG173" s="526"/>
      <c r="EH173" s="526"/>
      <c r="EI173" s="526"/>
      <c r="EJ173" s="526"/>
      <c r="EK173" s="526"/>
      <c r="EL173" s="526"/>
      <c r="EM173" s="526"/>
      <c r="EN173" s="526"/>
      <c r="EO173" s="526"/>
      <c r="EP173" s="526"/>
      <c r="EQ173" s="526"/>
      <c r="ER173" s="526"/>
      <c r="ES173" s="526"/>
      <c r="ET173" s="526"/>
      <c r="EU173" s="526"/>
      <c r="EV173" s="526"/>
      <c r="EW173" s="526"/>
      <c r="EX173" s="526"/>
      <c r="EY173" s="526"/>
      <c r="EZ173" s="526"/>
      <c r="FA173" s="526"/>
      <c r="FB173" s="526"/>
      <c r="FC173" s="526"/>
      <c r="FD173" s="526"/>
      <c r="FE173" s="526"/>
      <c r="FF173" s="526"/>
      <c r="FG173" s="526"/>
      <c r="FH173" s="526"/>
      <c r="FI173" s="526"/>
      <c r="FJ173" s="526"/>
      <c r="FK173" s="526"/>
      <c r="FL173" s="526"/>
      <c r="FM173" s="526"/>
      <c r="FN173" s="526"/>
      <c r="FO173" s="526"/>
      <c r="FP173" s="526"/>
      <c r="FQ173" s="526"/>
      <c r="FR173" s="526"/>
      <c r="FS173" s="526"/>
      <c r="FT173" s="526"/>
      <c r="FU173" s="526"/>
      <c r="FV173" s="526"/>
      <c r="FW173" s="526"/>
      <c r="FX173" s="526"/>
      <c r="FY173" s="526"/>
      <c r="FZ173" s="526"/>
      <c r="GA173" s="526"/>
      <c r="GB173" s="526"/>
      <c r="GC173" s="526"/>
      <c r="GD173" s="526"/>
      <c r="GE173" s="526"/>
      <c r="GF173" s="526"/>
      <c r="GG173" s="526"/>
      <c r="GH173" s="526"/>
      <c r="GI173" s="526"/>
      <c r="GJ173" s="526"/>
      <c r="GK173" s="526"/>
      <c r="GL173" s="526"/>
      <c r="GM173" s="526"/>
      <c r="GN173" s="526"/>
      <c r="GO173" s="526"/>
      <c r="GP173" s="526"/>
      <c r="GQ173" s="526"/>
      <c r="GR173" s="526"/>
      <c r="GS173" s="526"/>
      <c r="GT173" s="526"/>
      <c r="GU173" s="526"/>
      <c r="GV173" s="526"/>
      <c r="GW173" s="526"/>
      <c r="GX173" s="526"/>
      <c r="GY173" s="526"/>
      <c r="GZ173" s="526"/>
      <c r="HA173" s="526"/>
      <c r="HB173" s="526"/>
      <c r="HC173" s="526"/>
      <c r="HD173" s="526"/>
      <c r="HE173" s="526"/>
      <c r="HF173" s="526"/>
      <c r="HG173" s="526"/>
      <c r="HH173" s="526"/>
      <c r="HI173" s="526"/>
      <c r="HJ173" s="526"/>
      <c r="HK173" s="526"/>
      <c r="HL173" s="526"/>
      <c r="HM173" s="526"/>
      <c r="HN173" s="526"/>
      <c r="HO173" s="526"/>
      <c r="HP173" s="526"/>
      <c r="HQ173" s="526"/>
      <c r="HR173" s="526"/>
      <c r="HS173" s="526"/>
      <c r="HT173" s="526"/>
      <c r="HU173" s="526"/>
      <c r="HV173" s="526"/>
      <c r="HW173" s="526"/>
      <c r="HX173" s="526"/>
      <c r="HY173" s="526"/>
      <c r="HZ173" s="526"/>
      <c r="IA173" s="526"/>
      <c r="IB173" s="526"/>
      <c r="IC173" s="526"/>
      <c r="ID173" s="526"/>
      <c r="IE173" s="526"/>
      <c r="IF173" s="526"/>
      <c r="IG173" s="526"/>
      <c r="IH173" s="526"/>
      <c r="II173" s="526"/>
      <c r="IJ173" s="526"/>
      <c r="IK173" s="526"/>
      <c r="IL173" s="526"/>
      <c r="IM173" s="526"/>
      <c r="IN173" s="526"/>
      <c r="IO173" s="526"/>
      <c r="IP173" s="526"/>
      <c r="IQ173" s="526"/>
    </row>
    <row r="174" spans="1:251" ht="18" customHeight="1">
      <c r="A174" s="525">
        <v>165</v>
      </c>
      <c r="B174" s="538"/>
      <c r="C174" s="543"/>
      <c r="D174" s="483" t="s">
        <v>1091</v>
      </c>
      <c r="E174" s="540"/>
      <c r="F174" s="541"/>
      <c r="G174" s="1460"/>
      <c r="H174" s="753"/>
      <c r="I174" s="728"/>
      <c r="J174" s="1561">
        <f>SUM(J172:J173)</f>
        <v>0</v>
      </c>
      <c r="K174" s="540"/>
      <c r="L174" s="1238">
        <f>SUM(I174:K174)</f>
        <v>0</v>
      </c>
      <c r="M174" s="542"/>
      <c r="N174" s="526"/>
      <c r="O174" s="526"/>
      <c r="P174" s="526"/>
      <c r="Q174" s="526"/>
      <c r="R174" s="526"/>
      <c r="S174" s="526"/>
      <c r="T174" s="526"/>
      <c r="U174" s="526"/>
      <c r="V174" s="526"/>
      <c r="W174" s="526"/>
      <c r="X174" s="526"/>
      <c r="Y174" s="526"/>
      <c r="Z174" s="526"/>
      <c r="AA174" s="526"/>
      <c r="AB174" s="526"/>
      <c r="AC174" s="526"/>
      <c r="AD174" s="526"/>
      <c r="AE174" s="526"/>
      <c r="AF174" s="526"/>
      <c r="AG174" s="526"/>
      <c r="AH174" s="526"/>
      <c r="AI174" s="526"/>
      <c r="AJ174" s="526"/>
      <c r="AK174" s="526"/>
      <c r="AL174" s="526"/>
      <c r="AM174" s="526"/>
      <c r="AN174" s="526"/>
      <c r="AO174" s="526"/>
      <c r="AP174" s="526"/>
      <c r="AQ174" s="526"/>
      <c r="AR174" s="526"/>
      <c r="AS174" s="526"/>
      <c r="AT174" s="526"/>
      <c r="AU174" s="526"/>
      <c r="AV174" s="526"/>
      <c r="AW174" s="526"/>
      <c r="AX174" s="526"/>
      <c r="AY174" s="526"/>
      <c r="AZ174" s="526"/>
      <c r="BA174" s="526"/>
      <c r="BB174" s="526"/>
      <c r="BC174" s="526"/>
      <c r="BD174" s="526"/>
      <c r="BE174" s="526"/>
      <c r="BF174" s="526"/>
      <c r="BG174" s="526"/>
      <c r="BH174" s="526"/>
      <c r="BI174" s="526"/>
      <c r="BJ174" s="526"/>
      <c r="BK174" s="526"/>
      <c r="BL174" s="526"/>
      <c r="BM174" s="526"/>
      <c r="BN174" s="526"/>
      <c r="BO174" s="526"/>
      <c r="BP174" s="526"/>
      <c r="BQ174" s="526"/>
      <c r="BR174" s="526"/>
      <c r="BS174" s="526"/>
      <c r="BT174" s="526"/>
      <c r="BU174" s="526"/>
      <c r="BV174" s="526"/>
      <c r="BW174" s="526"/>
      <c r="BX174" s="526"/>
      <c r="BY174" s="526"/>
      <c r="BZ174" s="526"/>
      <c r="CA174" s="526"/>
      <c r="CB174" s="526"/>
      <c r="CC174" s="526"/>
      <c r="CD174" s="526"/>
      <c r="CE174" s="526"/>
      <c r="CF174" s="526"/>
      <c r="CG174" s="526"/>
      <c r="CH174" s="526"/>
      <c r="CI174" s="526"/>
      <c r="CJ174" s="526"/>
      <c r="CK174" s="526"/>
      <c r="CL174" s="526"/>
      <c r="CM174" s="526"/>
      <c r="CN174" s="526"/>
      <c r="CO174" s="526"/>
      <c r="CP174" s="526"/>
      <c r="CQ174" s="526"/>
      <c r="CR174" s="526"/>
      <c r="CS174" s="526"/>
      <c r="CT174" s="526"/>
      <c r="CU174" s="526"/>
      <c r="CV174" s="526"/>
      <c r="CW174" s="526"/>
      <c r="CX174" s="526"/>
      <c r="CY174" s="526"/>
      <c r="CZ174" s="526"/>
      <c r="DA174" s="526"/>
      <c r="DB174" s="526"/>
      <c r="DC174" s="526"/>
      <c r="DD174" s="526"/>
      <c r="DE174" s="526"/>
      <c r="DF174" s="526"/>
      <c r="DG174" s="526"/>
      <c r="DH174" s="526"/>
      <c r="DI174" s="526"/>
      <c r="DJ174" s="526"/>
      <c r="DK174" s="526"/>
      <c r="DL174" s="526"/>
      <c r="DM174" s="526"/>
      <c r="DN174" s="526"/>
      <c r="DO174" s="526"/>
      <c r="DP174" s="526"/>
      <c r="DQ174" s="526"/>
      <c r="DR174" s="526"/>
      <c r="DS174" s="526"/>
      <c r="DT174" s="526"/>
      <c r="DU174" s="526"/>
      <c r="DV174" s="526"/>
      <c r="DW174" s="526"/>
      <c r="DX174" s="526"/>
      <c r="DY174" s="526"/>
      <c r="DZ174" s="526"/>
      <c r="EA174" s="526"/>
      <c r="EB174" s="526"/>
      <c r="EC174" s="526"/>
      <c r="ED174" s="526"/>
      <c r="EE174" s="526"/>
      <c r="EF174" s="526"/>
      <c r="EG174" s="526"/>
      <c r="EH174" s="526"/>
      <c r="EI174" s="526"/>
      <c r="EJ174" s="526"/>
      <c r="EK174" s="526"/>
      <c r="EL174" s="526"/>
      <c r="EM174" s="526"/>
      <c r="EN174" s="526"/>
      <c r="EO174" s="526"/>
      <c r="EP174" s="526"/>
      <c r="EQ174" s="526"/>
      <c r="ER174" s="526"/>
      <c r="ES174" s="526"/>
      <c r="ET174" s="526"/>
      <c r="EU174" s="526"/>
      <c r="EV174" s="526"/>
      <c r="EW174" s="526"/>
      <c r="EX174" s="526"/>
      <c r="EY174" s="526"/>
      <c r="EZ174" s="526"/>
      <c r="FA174" s="526"/>
      <c r="FB174" s="526"/>
      <c r="FC174" s="526"/>
      <c r="FD174" s="526"/>
      <c r="FE174" s="526"/>
      <c r="FF174" s="526"/>
      <c r="FG174" s="526"/>
      <c r="FH174" s="526"/>
      <c r="FI174" s="526"/>
      <c r="FJ174" s="526"/>
      <c r="FK174" s="526"/>
      <c r="FL174" s="526"/>
      <c r="FM174" s="526"/>
      <c r="FN174" s="526"/>
      <c r="FO174" s="526"/>
      <c r="FP174" s="526"/>
      <c r="FQ174" s="526"/>
      <c r="FR174" s="526"/>
      <c r="FS174" s="526"/>
      <c r="FT174" s="526"/>
      <c r="FU174" s="526"/>
      <c r="FV174" s="526"/>
      <c r="FW174" s="526"/>
      <c r="FX174" s="526"/>
      <c r="FY174" s="526"/>
      <c r="FZ174" s="526"/>
      <c r="GA174" s="526"/>
      <c r="GB174" s="526"/>
      <c r="GC174" s="526"/>
      <c r="GD174" s="526"/>
      <c r="GE174" s="526"/>
      <c r="GF174" s="526"/>
      <c r="GG174" s="526"/>
      <c r="GH174" s="526"/>
      <c r="GI174" s="526"/>
      <c r="GJ174" s="526"/>
      <c r="GK174" s="526"/>
      <c r="GL174" s="526"/>
      <c r="GM174" s="526"/>
      <c r="GN174" s="526"/>
      <c r="GO174" s="526"/>
      <c r="GP174" s="526"/>
      <c r="GQ174" s="526"/>
      <c r="GR174" s="526"/>
      <c r="GS174" s="526"/>
      <c r="GT174" s="526"/>
      <c r="GU174" s="526"/>
      <c r="GV174" s="526"/>
      <c r="GW174" s="526"/>
      <c r="GX174" s="526"/>
      <c r="GY174" s="526"/>
      <c r="GZ174" s="526"/>
      <c r="HA174" s="526"/>
      <c r="HB174" s="526"/>
      <c r="HC174" s="526"/>
      <c r="HD174" s="526"/>
      <c r="HE174" s="526"/>
      <c r="HF174" s="526"/>
      <c r="HG174" s="526"/>
      <c r="HH174" s="526"/>
      <c r="HI174" s="526"/>
      <c r="HJ174" s="526"/>
      <c r="HK174" s="526"/>
      <c r="HL174" s="526"/>
      <c r="HM174" s="526"/>
      <c r="HN174" s="526"/>
      <c r="HO174" s="526"/>
      <c r="HP174" s="526"/>
      <c r="HQ174" s="526"/>
      <c r="HR174" s="526"/>
      <c r="HS174" s="526"/>
      <c r="HT174" s="526"/>
      <c r="HU174" s="526"/>
      <c r="HV174" s="526"/>
      <c r="HW174" s="526"/>
      <c r="HX174" s="526"/>
      <c r="HY174" s="526"/>
      <c r="HZ174" s="526"/>
      <c r="IA174" s="526"/>
      <c r="IB174" s="526"/>
      <c r="IC174" s="526"/>
      <c r="ID174" s="526"/>
      <c r="IE174" s="526"/>
      <c r="IF174" s="526"/>
      <c r="IG174" s="526"/>
      <c r="IH174" s="526"/>
      <c r="II174" s="526"/>
      <c r="IJ174" s="526"/>
      <c r="IK174" s="526"/>
      <c r="IL174" s="526"/>
      <c r="IM174" s="526"/>
      <c r="IN174" s="526"/>
      <c r="IO174" s="526"/>
      <c r="IP174" s="526"/>
      <c r="IQ174" s="526"/>
    </row>
    <row r="175" spans="1:251" ht="22.5" customHeight="1">
      <c r="A175" s="525">
        <v>166</v>
      </c>
      <c r="B175" s="538"/>
      <c r="C175" s="539">
        <v>34</v>
      </c>
      <c r="D175" s="328" t="s">
        <v>636</v>
      </c>
      <c r="E175" s="540">
        <f>F175+G175+L179+M176</f>
        <v>7000</v>
      </c>
      <c r="F175" s="541"/>
      <c r="G175" s="1460">
        <f>1525+4544</f>
        <v>6069</v>
      </c>
      <c r="H175" s="753" t="s">
        <v>23</v>
      </c>
      <c r="I175" s="728"/>
      <c r="J175" s="512"/>
      <c r="K175" s="1297"/>
      <c r="L175" s="512"/>
      <c r="M175" s="542"/>
      <c r="N175" s="526"/>
      <c r="O175" s="526"/>
      <c r="P175" s="526"/>
      <c r="Q175" s="526"/>
      <c r="R175" s="526"/>
      <c r="S175" s="526"/>
      <c r="T175" s="526"/>
      <c r="U175" s="526"/>
      <c r="V175" s="526"/>
      <c r="W175" s="526"/>
      <c r="X175" s="526"/>
      <c r="Y175" s="526"/>
      <c r="Z175" s="526"/>
      <c r="AA175" s="526"/>
      <c r="AB175" s="526"/>
      <c r="AC175" s="526"/>
      <c r="AD175" s="526"/>
      <c r="AE175" s="526"/>
      <c r="AF175" s="526"/>
      <c r="AG175" s="526"/>
      <c r="AH175" s="526"/>
      <c r="AI175" s="526"/>
      <c r="AJ175" s="526"/>
      <c r="AK175" s="526"/>
      <c r="AL175" s="526"/>
      <c r="AM175" s="526"/>
      <c r="AN175" s="526"/>
      <c r="AO175" s="526"/>
      <c r="AP175" s="526"/>
      <c r="AQ175" s="526"/>
      <c r="AR175" s="526"/>
      <c r="AS175" s="526"/>
      <c r="AT175" s="526"/>
      <c r="AU175" s="526"/>
      <c r="AV175" s="526"/>
      <c r="AW175" s="526"/>
      <c r="AX175" s="526"/>
      <c r="AY175" s="526"/>
      <c r="AZ175" s="526"/>
      <c r="BA175" s="526"/>
      <c r="BB175" s="526"/>
      <c r="BC175" s="526"/>
      <c r="BD175" s="526"/>
      <c r="BE175" s="526"/>
      <c r="BF175" s="526"/>
      <c r="BG175" s="526"/>
      <c r="BH175" s="526"/>
      <c r="BI175" s="526"/>
      <c r="BJ175" s="526"/>
      <c r="BK175" s="526"/>
      <c r="BL175" s="526"/>
      <c r="BM175" s="526"/>
      <c r="BN175" s="526"/>
      <c r="BO175" s="526"/>
      <c r="BP175" s="526"/>
      <c r="BQ175" s="526"/>
      <c r="BR175" s="526"/>
      <c r="BS175" s="526"/>
      <c r="BT175" s="526"/>
      <c r="BU175" s="526"/>
      <c r="BV175" s="526"/>
      <c r="BW175" s="526"/>
      <c r="BX175" s="526"/>
      <c r="BY175" s="526"/>
      <c r="BZ175" s="526"/>
      <c r="CA175" s="526"/>
      <c r="CB175" s="526"/>
      <c r="CC175" s="526"/>
      <c r="CD175" s="526"/>
      <c r="CE175" s="526"/>
      <c r="CF175" s="526"/>
      <c r="CG175" s="526"/>
      <c r="CH175" s="526"/>
      <c r="CI175" s="526"/>
      <c r="CJ175" s="526"/>
      <c r="CK175" s="526"/>
      <c r="CL175" s="526"/>
      <c r="CM175" s="526"/>
      <c r="CN175" s="526"/>
      <c r="CO175" s="526"/>
      <c r="CP175" s="526"/>
      <c r="CQ175" s="526"/>
      <c r="CR175" s="526"/>
      <c r="CS175" s="526"/>
      <c r="CT175" s="526"/>
      <c r="CU175" s="526"/>
      <c r="CV175" s="526"/>
      <c r="CW175" s="526"/>
      <c r="CX175" s="526"/>
      <c r="CY175" s="526"/>
      <c r="CZ175" s="526"/>
      <c r="DA175" s="526"/>
      <c r="DB175" s="526"/>
      <c r="DC175" s="526"/>
      <c r="DD175" s="526"/>
      <c r="DE175" s="526"/>
      <c r="DF175" s="526"/>
      <c r="DG175" s="526"/>
      <c r="DH175" s="526"/>
      <c r="DI175" s="526"/>
      <c r="DJ175" s="526"/>
      <c r="DK175" s="526"/>
      <c r="DL175" s="526"/>
      <c r="DM175" s="526"/>
      <c r="DN175" s="526"/>
      <c r="DO175" s="526"/>
      <c r="DP175" s="526"/>
      <c r="DQ175" s="526"/>
      <c r="DR175" s="526"/>
      <c r="DS175" s="526"/>
      <c r="DT175" s="526"/>
      <c r="DU175" s="526"/>
      <c r="DV175" s="526"/>
      <c r="DW175" s="526"/>
      <c r="DX175" s="526"/>
      <c r="DY175" s="526"/>
      <c r="DZ175" s="526"/>
      <c r="EA175" s="526"/>
      <c r="EB175" s="526"/>
      <c r="EC175" s="526"/>
      <c r="ED175" s="526"/>
      <c r="EE175" s="526"/>
      <c r="EF175" s="526"/>
      <c r="EG175" s="526"/>
      <c r="EH175" s="526"/>
      <c r="EI175" s="526"/>
      <c r="EJ175" s="526"/>
      <c r="EK175" s="526"/>
      <c r="EL175" s="526"/>
      <c r="EM175" s="526"/>
      <c r="EN175" s="526"/>
      <c r="EO175" s="526"/>
      <c r="EP175" s="526"/>
      <c r="EQ175" s="526"/>
      <c r="ER175" s="526"/>
      <c r="ES175" s="526"/>
      <c r="ET175" s="526"/>
      <c r="EU175" s="526"/>
      <c r="EV175" s="526"/>
      <c r="EW175" s="526"/>
      <c r="EX175" s="526"/>
      <c r="EY175" s="526"/>
      <c r="EZ175" s="526"/>
      <c r="FA175" s="526"/>
      <c r="FB175" s="526"/>
      <c r="FC175" s="526"/>
      <c r="FD175" s="526"/>
      <c r="FE175" s="526"/>
      <c r="FF175" s="526"/>
      <c r="FG175" s="526"/>
      <c r="FH175" s="526"/>
      <c r="FI175" s="526"/>
      <c r="FJ175" s="526"/>
      <c r="FK175" s="526"/>
      <c r="FL175" s="526"/>
      <c r="FM175" s="526"/>
      <c r="FN175" s="526"/>
      <c r="FO175" s="526"/>
      <c r="FP175" s="526"/>
      <c r="FQ175" s="526"/>
      <c r="FR175" s="526"/>
      <c r="FS175" s="526"/>
      <c r="FT175" s="526"/>
      <c r="FU175" s="526"/>
      <c r="FV175" s="526"/>
      <c r="FW175" s="526"/>
      <c r="FX175" s="526"/>
      <c r="FY175" s="526"/>
      <c r="FZ175" s="526"/>
      <c r="GA175" s="526"/>
      <c r="GB175" s="526"/>
      <c r="GC175" s="526"/>
      <c r="GD175" s="526"/>
      <c r="GE175" s="526"/>
      <c r="GF175" s="526"/>
      <c r="GG175" s="526"/>
      <c r="GH175" s="526"/>
      <c r="GI175" s="526"/>
      <c r="GJ175" s="526"/>
      <c r="GK175" s="526"/>
      <c r="GL175" s="526"/>
      <c r="GM175" s="526"/>
      <c r="GN175" s="526"/>
      <c r="GO175" s="526"/>
      <c r="GP175" s="526"/>
      <c r="GQ175" s="526"/>
      <c r="GR175" s="526"/>
      <c r="GS175" s="526"/>
      <c r="GT175" s="526"/>
      <c r="GU175" s="526"/>
      <c r="GV175" s="526"/>
      <c r="GW175" s="526"/>
      <c r="GX175" s="526"/>
      <c r="GY175" s="526"/>
      <c r="GZ175" s="526"/>
      <c r="HA175" s="526"/>
      <c r="HB175" s="526"/>
      <c r="HC175" s="526"/>
      <c r="HD175" s="526"/>
      <c r="HE175" s="526"/>
      <c r="HF175" s="526"/>
      <c r="HG175" s="526"/>
      <c r="HH175" s="526"/>
      <c r="HI175" s="526"/>
      <c r="HJ175" s="526"/>
      <c r="HK175" s="526"/>
      <c r="HL175" s="526"/>
      <c r="HM175" s="526"/>
      <c r="HN175" s="526"/>
      <c r="HO175" s="526"/>
      <c r="HP175" s="526"/>
      <c r="HQ175" s="526"/>
      <c r="HR175" s="526"/>
      <c r="HS175" s="526"/>
      <c r="HT175" s="526"/>
      <c r="HU175" s="526"/>
      <c r="HV175" s="526"/>
      <c r="HW175" s="526"/>
      <c r="HX175" s="526"/>
      <c r="HY175" s="526"/>
      <c r="HZ175" s="526"/>
      <c r="IA175" s="526"/>
      <c r="IB175" s="526"/>
      <c r="IC175" s="526"/>
      <c r="ID175" s="526"/>
      <c r="IE175" s="526"/>
      <c r="IF175" s="526"/>
      <c r="IG175" s="526"/>
      <c r="IH175" s="526"/>
      <c r="II175" s="526"/>
      <c r="IJ175" s="526"/>
      <c r="IK175" s="526"/>
      <c r="IL175" s="526"/>
      <c r="IM175" s="526"/>
      <c r="IN175" s="526"/>
      <c r="IO175" s="526"/>
      <c r="IP175" s="526"/>
      <c r="IQ175" s="526"/>
    </row>
    <row r="176" spans="1:251" ht="18" customHeight="1">
      <c r="A176" s="525">
        <v>167</v>
      </c>
      <c r="B176" s="538"/>
      <c r="C176" s="543"/>
      <c r="D176" s="594" t="s">
        <v>283</v>
      </c>
      <c r="E176" s="540"/>
      <c r="F176" s="541"/>
      <c r="G176" s="1460"/>
      <c r="H176" s="753"/>
      <c r="I176" s="728"/>
      <c r="J176" s="1422">
        <v>931</v>
      </c>
      <c r="K176" s="1422"/>
      <c r="L176" s="1423">
        <f>SUM(I176:K176)</f>
        <v>931</v>
      </c>
      <c r="M176" s="542"/>
      <c r="N176" s="526"/>
      <c r="O176" s="526"/>
      <c r="P176" s="526"/>
      <c r="Q176" s="526"/>
      <c r="R176" s="526"/>
      <c r="S176" s="526"/>
      <c r="T176" s="526"/>
      <c r="U176" s="526"/>
      <c r="V176" s="526"/>
      <c r="W176" s="526"/>
      <c r="X176" s="526"/>
      <c r="Y176" s="526"/>
      <c r="Z176" s="526"/>
      <c r="AA176" s="526"/>
      <c r="AB176" s="526"/>
      <c r="AC176" s="526"/>
      <c r="AD176" s="526"/>
      <c r="AE176" s="526"/>
      <c r="AF176" s="526"/>
      <c r="AG176" s="526"/>
      <c r="AH176" s="526"/>
      <c r="AI176" s="526"/>
      <c r="AJ176" s="526"/>
      <c r="AK176" s="526"/>
      <c r="AL176" s="526"/>
      <c r="AM176" s="526"/>
      <c r="AN176" s="526"/>
      <c r="AO176" s="526"/>
      <c r="AP176" s="526"/>
      <c r="AQ176" s="526"/>
      <c r="AR176" s="526"/>
      <c r="AS176" s="526"/>
      <c r="AT176" s="526"/>
      <c r="AU176" s="526"/>
      <c r="AV176" s="526"/>
      <c r="AW176" s="526"/>
      <c r="AX176" s="526"/>
      <c r="AY176" s="526"/>
      <c r="AZ176" s="526"/>
      <c r="BA176" s="526"/>
      <c r="BB176" s="526"/>
      <c r="BC176" s="526"/>
      <c r="BD176" s="526"/>
      <c r="BE176" s="526"/>
      <c r="BF176" s="526"/>
      <c r="BG176" s="526"/>
      <c r="BH176" s="526"/>
      <c r="BI176" s="526"/>
      <c r="BJ176" s="526"/>
      <c r="BK176" s="526"/>
      <c r="BL176" s="526"/>
      <c r="BM176" s="526"/>
      <c r="BN176" s="526"/>
      <c r="BO176" s="526"/>
      <c r="BP176" s="526"/>
      <c r="BQ176" s="526"/>
      <c r="BR176" s="526"/>
      <c r="BS176" s="526"/>
      <c r="BT176" s="526"/>
      <c r="BU176" s="526"/>
      <c r="BV176" s="526"/>
      <c r="BW176" s="526"/>
      <c r="BX176" s="526"/>
      <c r="BY176" s="526"/>
      <c r="BZ176" s="526"/>
      <c r="CA176" s="526"/>
      <c r="CB176" s="526"/>
      <c r="CC176" s="526"/>
      <c r="CD176" s="526"/>
      <c r="CE176" s="526"/>
      <c r="CF176" s="526"/>
      <c r="CG176" s="526"/>
      <c r="CH176" s="526"/>
      <c r="CI176" s="526"/>
      <c r="CJ176" s="526"/>
      <c r="CK176" s="526"/>
      <c r="CL176" s="526"/>
      <c r="CM176" s="526"/>
      <c r="CN176" s="526"/>
      <c r="CO176" s="526"/>
      <c r="CP176" s="526"/>
      <c r="CQ176" s="526"/>
      <c r="CR176" s="526"/>
      <c r="CS176" s="526"/>
      <c r="CT176" s="526"/>
      <c r="CU176" s="526"/>
      <c r="CV176" s="526"/>
      <c r="CW176" s="526"/>
      <c r="CX176" s="526"/>
      <c r="CY176" s="526"/>
      <c r="CZ176" s="526"/>
      <c r="DA176" s="526"/>
      <c r="DB176" s="526"/>
      <c r="DC176" s="526"/>
      <c r="DD176" s="526"/>
      <c r="DE176" s="526"/>
      <c r="DF176" s="526"/>
      <c r="DG176" s="526"/>
      <c r="DH176" s="526"/>
      <c r="DI176" s="526"/>
      <c r="DJ176" s="526"/>
      <c r="DK176" s="526"/>
      <c r="DL176" s="526"/>
      <c r="DM176" s="526"/>
      <c r="DN176" s="526"/>
      <c r="DO176" s="526"/>
      <c r="DP176" s="526"/>
      <c r="DQ176" s="526"/>
      <c r="DR176" s="526"/>
      <c r="DS176" s="526"/>
      <c r="DT176" s="526"/>
      <c r="DU176" s="526"/>
      <c r="DV176" s="526"/>
      <c r="DW176" s="526"/>
      <c r="DX176" s="526"/>
      <c r="DY176" s="526"/>
      <c r="DZ176" s="526"/>
      <c r="EA176" s="526"/>
      <c r="EB176" s="526"/>
      <c r="EC176" s="526"/>
      <c r="ED176" s="526"/>
      <c r="EE176" s="526"/>
      <c r="EF176" s="526"/>
      <c r="EG176" s="526"/>
      <c r="EH176" s="526"/>
      <c r="EI176" s="526"/>
      <c r="EJ176" s="526"/>
      <c r="EK176" s="526"/>
      <c r="EL176" s="526"/>
      <c r="EM176" s="526"/>
      <c r="EN176" s="526"/>
      <c r="EO176" s="526"/>
      <c r="EP176" s="526"/>
      <c r="EQ176" s="526"/>
      <c r="ER176" s="526"/>
      <c r="ES176" s="526"/>
      <c r="ET176" s="526"/>
      <c r="EU176" s="526"/>
      <c r="EV176" s="526"/>
      <c r="EW176" s="526"/>
      <c r="EX176" s="526"/>
      <c r="EY176" s="526"/>
      <c r="EZ176" s="526"/>
      <c r="FA176" s="526"/>
      <c r="FB176" s="526"/>
      <c r="FC176" s="526"/>
      <c r="FD176" s="526"/>
      <c r="FE176" s="526"/>
      <c r="FF176" s="526"/>
      <c r="FG176" s="526"/>
      <c r="FH176" s="526"/>
      <c r="FI176" s="526"/>
      <c r="FJ176" s="526"/>
      <c r="FK176" s="526"/>
      <c r="FL176" s="526"/>
      <c r="FM176" s="526"/>
      <c r="FN176" s="526"/>
      <c r="FO176" s="526"/>
      <c r="FP176" s="526"/>
      <c r="FQ176" s="526"/>
      <c r="FR176" s="526"/>
      <c r="FS176" s="526"/>
      <c r="FT176" s="526"/>
      <c r="FU176" s="526"/>
      <c r="FV176" s="526"/>
      <c r="FW176" s="526"/>
      <c r="FX176" s="526"/>
      <c r="FY176" s="526"/>
      <c r="FZ176" s="526"/>
      <c r="GA176" s="526"/>
      <c r="GB176" s="526"/>
      <c r="GC176" s="526"/>
      <c r="GD176" s="526"/>
      <c r="GE176" s="526"/>
      <c r="GF176" s="526"/>
      <c r="GG176" s="526"/>
      <c r="GH176" s="526"/>
      <c r="GI176" s="526"/>
      <c r="GJ176" s="526"/>
      <c r="GK176" s="526"/>
      <c r="GL176" s="526"/>
      <c r="GM176" s="526"/>
      <c r="GN176" s="526"/>
      <c r="GO176" s="526"/>
      <c r="GP176" s="526"/>
      <c r="GQ176" s="526"/>
      <c r="GR176" s="526"/>
      <c r="GS176" s="526"/>
      <c r="GT176" s="526"/>
      <c r="GU176" s="526"/>
      <c r="GV176" s="526"/>
      <c r="GW176" s="526"/>
      <c r="GX176" s="526"/>
      <c r="GY176" s="526"/>
      <c r="GZ176" s="526"/>
      <c r="HA176" s="526"/>
      <c r="HB176" s="526"/>
      <c r="HC176" s="526"/>
      <c r="HD176" s="526"/>
      <c r="HE176" s="526"/>
      <c r="HF176" s="526"/>
      <c r="HG176" s="526"/>
      <c r="HH176" s="526"/>
      <c r="HI176" s="526"/>
      <c r="HJ176" s="526"/>
      <c r="HK176" s="526"/>
      <c r="HL176" s="526"/>
      <c r="HM176" s="526"/>
      <c r="HN176" s="526"/>
      <c r="HO176" s="526"/>
      <c r="HP176" s="526"/>
      <c r="HQ176" s="526"/>
      <c r="HR176" s="526"/>
      <c r="HS176" s="526"/>
      <c r="HT176" s="526"/>
      <c r="HU176" s="526"/>
      <c r="HV176" s="526"/>
      <c r="HW176" s="526"/>
      <c r="HX176" s="526"/>
      <c r="HY176" s="526"/>
      <c r="HZ176" s="526"/>
      <c r="IA176" s="526"/>
      <c r="IB176" s="526"/>
      <c r="IC176" s="526"/>
      <c r="ID176" s="526"/>
      <c r="IE176" s="526"/>
      <c r="IF176" s="526"/>
      <c r="IG176" s="526"/>
      <c r="IH176" s="526"/>
      <c r="II176" s="526"/>
      <c r="IJ176" s="526"/>
      <c r="IK176" s="526"/>
      <c r="IL176" s="526"/>
      <c r="IM176" s="526"/>
      <c r="IN176" s="526"/>
      <c r="IO176" s="526"/>
      <c r="IP176" s="526"/>
      <c r="IQ176" s="526"/>
    </row>
    <row r="177" spans="1:251" ht="18" customHeight="1">
      <c r="A177" s="525">
        <v>168</v>
      </c>
      <c r="B177" s="538"/>
      <c r="C177" s="543"/>
      <c r="D177" s="483" t="s">
        <v>938</v>
      </c>
      <c r="E177" s="540"/>
      <c r="F177" s="541"/>
      <c r="G177" s="1460"/>
      <c r="H177" s="753"/>
      <c r="I177" s="1739">
        <v>674</v>
      </c>
      <c r="J177" s="1561">
        <v>257</v>
      </c>
      <c r="K177" s="1561"/>
      <c r="L177" s="1669">
        <f>SUM(I177:K177)</f>
        <v>931</v>
      </c>
      <c r="M177" s="542"/>
      <c r="N177" s="526"/>
      <c r="O177" s="526"/>
      <c r="P177" s="526"/>
      <c r="Q177" s="526"/>
      <c r="R177" s="526"/>
      <c r="S177" s="526"/>
      <c r="T177" s="526"/>
      <c r="U177" s="526"/>
      <c r="V177" s="526"/>
      <c r="W177" s="526"/>
      <c r="X177" s="526"/>
      <c r="Y177" s="526"/>
      <c r="Z177" s="526"/>
      <c r="AA177" s="526"/>
      <c r="AB177" s="526"/>
      <c r="AC177" s="526"/>
      <c r="AD177" s="526"/>
      <c r="AE177" s="526"/>
      <c r="AF177" s="526"/>
      <c r="AG177" s="526"/>
      <c r="AH177" s="526"/>
      <c r="AI177" s="526"/>
      <c r="AJ177" s="526"/>
      <c r="AK177" s="526"/>
      <c r="AL177" s="526"/>
      <c r="AM177" s="526"/>
      <c r="AN177" s="526"/>
      <c r="AO177" s="526"/>
      <c r="AP177" s="526"/>
      <c r="AQ177" s="526"/>
      <c r="AR177" s="526"/>
      <c r="AS177" s="526"/>
      <c r="AT177" s="526"/>
      <c r="AU177" s="526"/>
      <c r="AV177" s="526"/>
      <c r="AW177" s="526"/>
      <c r="AX177" s="526"/>
      <c r="AY177" s="526"/>
      <c r="AZ177" s="526"/>
      <c r="BA177" s="526"/>
      <c r="BB177" s="526"/>
      <c r="BC177" s="526"/>
      <c r="BD177" s="526"/>
      <c r="BE177" s="526"/>
      <c r="BF177" s="526"/>
      <c r="BG177" s="526"/>
      <c r="BH177" s="526"/>
      <c r="BI177" s="526"/>
      <c r="BJ177" s="526"/>
      <c r="BK177" s="526"/>
      <c r="BL177" s="526"/>
      <c r="BM177" s="526"/>
      <c r="BN177" s="526"/>
      <c r="BO177" s="526"/>
      <c r="BP177" s="526"/>
      <c r="BQ177" s="526"/>
      <c r="BR177" s="526"/>
      <c r="BS177" s="526"/>
      <c r="BT177" s="526"/>
      <c r="BU177" s="526"/>
      <c r="BV177" s="526"/>
      <c r="BW177" s="526"/>
      <c r="BX177" s="526"/>
      <c r="BY177" s="526"/>
      <c r="BZ177" s="526"/>
      <c r="CA177" s="526"/>
      <c r="CB177" s="526"/>
      <c r="CC177" s="526"/>
      <c r="CD177" s="526"/>
      <c r="CE177" s="526"/>
      <c r="CF177" s="526"/>
      <c r="CG177" s="526"/>
      <c r="CH177" s="526"/>
      <c r="CI177" s="526"/>
      <c r="CJ177" s="526"/>
      <c r="CK177" s="526"/>
      <c r="CL177" s="526"/>
      <c r="CM177" s="526"/>
      <c r="CN177" s="526"/>
      <c r="CO177" s="526"/>
      <c r="CP177" s="526"/>
      <c r="CQ177" s="526"/>
      <c r="CR177" s="526"/>
      <c r="CS177" s="526"/>
      <c r="CT177" s="526"/>
      <c r="CU177" s="526"/>
      <c r="CV177" s="526"/>
      <c r="CW177" s="526"/>
      <c r="CX177" s="526"/>
      <c r="CY177" s="526"/>
      <c r="CZ177" s="526"/>
      <c r="DA177" s="526"/>
      <c r="DB177" s="526"/>
      <c r="DC177" s="526"/>
      <c r="DD177" s="526"/>
      <c r="DE177" s="526"/>
      <c r="DF177" s="526"/>
      <c r="DG177" s="526"/>
      <c r="DH177" s="526"/>
      <c r="DI177" s="526"/>
      <c r="DJ177" s="526"/>
      <c r="DK177" s="526"/>
      <c r="DL177" s="526"/>
      <c r="DM177" s="526"/>
      <c r="DN177" s="526"/>
      <c r="DO177" s="526"/>
      <c r="DP177" s="526"/>
      <c r="DQ177" s="526"/>
      <c r="DR177" s="526"/>
      <c r="DS177" s="526"/>
      <c r="DT177" s="526"/>
      <c r="DU177" s="526"/>
      <c r="DV177" s="526"/>
      <c r="DW177" s="526"/>
      <c r="DX177" s="526"/>
      <c r="DY177" s="526"/>
      <c r="DZ177" s="526"/>
      <c r="EA177" s="526"/>
      <c r="EB177" s="526"/>
      <c r="EC177" s="526"/>
      <c r="ED177" s="526"/>
      <c r="EE177" s="526"/>
      <c r="EF177" s="526"/>
      <c r="EG177" s="526"/>
      <c r="EH177" s="526"/>
      <c r="EI177" s="526"/>
      <c r="EJ177" s="526"/>
      <c r="EK177" s="526"/>
      <c r="EL177" s="526"/>
      <c r="EM177" s="526"/>
      <c r="EN177" s="526"/>
      <c r="EO177" s="526"/>
      <c r="EP177" s="526"/>
      <c r="EQ177" s="526"/>
      <c r="ER177" s="526"/>
      <c r="ES177" s="526"/>
      <c r="ET177" s="526"/>
      <c r="EU177" s="526"/>
      <c r="EV177" s="526"/>
      <c r="EW177" s="526"/>
      <c r="EX177" s="526"/>
      <c r="EY177" s="526"/>
      <c r="EZ177" s="526"/>
      <c r="FA177" s="526"/>
      <c r="FB177" s="526"/>
      <c r="FC177" s="526"/>
      <c r="FD177" s="526"/>
      <c r="FE177" s="526"/>
      <c r="FF177" s="526"/>
      <c r="FG177" s="526"/>
      <c r="FH177" s="526"/>
      <c r="FI177" s="526"/>
      <c r="FJ177" s="526"/>
      <c r="FK177" s="526"/>
      <c r="FL177" s="526"/>
      <c r="FM177" s="526"/>
      <c r="FN177" s="526"/>
      <c r="FO177" s="526"/>
      <c r="FP177" s="526"/>
      <c r="FQ177" s="526"/>
      <c r="FR177" s="526"/>
      <c r="FS177" s="526"/>
      <c r="FT177" s="526"/>
      <c r="FU177" s="526"/>
      <c r="FV177" s="526"/>
      <c r="FW177" s="526"/>
      <c r="FX177" s="526"/>
      <c r="FY177" s="526"/>
      <c r="FZ177" s="526"/>
      <c r="GA177" s="526"/>
      <c r="GB177" s="526"/>
      <c r="GC177" s="526"/>
      <c r="GD177" s="526"/>
      <c r="GE177" s="526"/>
      <c r="GF177" s="526"/>
      <c r="GG177" s="526"/>
      <c r="GH177" s="526"/>
      <c r="GI177" s="526"/>
      <c r="GJ177" s="526"/>
      <c r="GK177" s="526"/>
      <c r="GL177" s="526"/>
      <c r="GM177" s="526"/>
      <c r="GN177" s="526"/>
      <c r="GO177" s="526"/>
      <c r="GP177" s="526"/>
      <c r="GQ177" s="526"/>
      <c r="GR177" s="526"/>
      <c r="GS177" s="526"/>
      <c r="GT177" s="526"/>
      <c r="GU177" s="526"/>
      <c r="GV177" s="526"/>
      <c r="GW177" s="526"/>
      <c r="GX177" s="526"/>
      <c r="GY177" s="526"/>
      <c r="GZ177" s="526"/>
      <c r="HA177" s="526"/>
      <c r="HB177" s="526"/>
      <c r="HC177" s="526"/>
      <c r="HD177" s="526"/>
      <c r="HE177" s="526"/>
      <c r="HF177" s="526"/>
      <c r="HG177" s="526"/>
      <c r="HH177" s="526"/>
      <c r="HI177" s="526"/>
      <c r="HJ177" s="526"/>
      <c r="HK177" s="526"/>
      <c r="HL177" s="526"/>
      <c r="HM177" s="526"/>
      <c r="HN177" s="526"/>
      <c r="HO177" s="526"/>
      <c r="HP177" s="526"/>
      <c r="HQ177" s="526"/>
      <c r="HR177" s="526"/>
      <c r="HS177" s="526"/>
      <c r="HT177" s="526"/>
      <c r="HU177" s="526"/>
      <c r="HV177" s="526"/>
      <c r="HW177" s="526"/>
      <c r="HX177" s="526"/>
      <c r="HY177" s="526"/>
      <c r="HZ177" s="526"/>
      <c r="IA177" s="526"/>
      <c r="IB177" s="526"/>
      <c r="IC177" s="526"/>
      <c r="ID177" s="526"/>
      <c r="IE177" s="526"/>
      <c r="IF177" s="526"/>
      <c r="IG177" s="526"/>
      <c r="IH177" s="526"/>
      <c r="II177" s="526"/>
      <c r="IJ177" s="526"/>
      <c r="IK177" s="526"/>
      <c r="IL177" s="526"/>
      <c r="IM177" s="526"/>
      <c r="IN177" s="526"/>
      <c r="IO177" s="526"/>
      <c r="IP177" s="526"/>
      <c r="IQ177" s="526"/>
    </row>
    <row r="178" spans="1:251" ht="18" customHeight="1">
      <c r="A178" s="525">
        <v>169</v>
      </c>
      <c r="B178" s="538"/>
      <c r="C178" s="543"/>
      <c r="D178" s="1146" t="s">
        <v>674</v>
      </c>
      <c r="E178" s="540"/>
      <c r="F178" s="541"/>
      <c r="G178" s="1460"/>
      <c r="H178" s="753"/>
      <c r="I178" s="1740"/>
      <c r="J178" s="1458"/>
      <c r="K178" s="540"/>
      <c r="L178" s="1241">
        <f>SUM(I178:K178)</f>
        <v>0</v>
      </c>
      <c r="M178" s="542"/>
      <c r="N178" s="526"/>
      <c r="O178" s="526"/>
      <c r="P178" s="526"/>
      <c r="Q178" s="526"/>
      <c r="R178" s="526"/>
      <c r="S178" s="526"/>
      <c r="T178" s="526"/>
      <c r="U178" s="526"/>
      <c r="V178" s="526"/>
      <c r="W178" s="526"/>
      <c r="X178" s="526"/>
      <c r="Y178" s="526"/>
      <c r="Z178" s="526"/>
      <c r="AA178" s="526"/>
      <c r="AB178" s="526"/>
      <c r="AC178" s="526"/>
      <c r="AD178" s="526"/>
      <c r="AE178" s="526"/>
      <c r="AF178" s="526"/>
      <c r="AG178" s="526"/>
      <c r="AH178" s="526"/>
      <c r="AI178" s="526"/>
      <c r="AJ178" s="526"/>
      <c r="AK178" s="526"/>
      <c r="AL178" s="526"/>
      <c r="AM178" s="526"/>
      <c r="AN178" s="526"/>
      <c r="AO178" s="526"/>
      <c r="AP178" s="526"/>
      <c r="AQ178" s="526"/>
      <c r="AR178" s="526"/>
      <c r="AS178" s="526"/>
      <c r="AT178" s="526"/>
      <c r="AU178" s="526"/>
      <c r="AV178" s="526"/>
      <c r="AW178" s="526"/>
      <c r="AX178" s="526"/>
      <c r="AY178" s="526"/>
      <c r="AZ178" s="526"/>
      <c r="BA178" s="526"/>
      <c r="BB178" s="526"/>
      <c r="BC178" s="526"/>
      <c r="BD178" s="526"/>
      <c r="BE178" s="526"/>
      <c r="BF178" s="526"/>
      <c r="BG178" s="526"/>
      <c r="BH178" s="526"/>
      <c r="BI178" s="526"/>
      <c r="BJ178" s="526"/>
      <c r="BK178" s="526"/>
      <c r="BL178" s="526"/>
      <c r="BM178" s="526"/>
      <c r="BN178" s="526"/>
      <c r="BO178" s="526"/>
      <c r="BP178" s="526"/>
      <c r="BQ178" s="526"/>
      <c r="BR178" s="526"/>
      <c r="BS178" s="526"/>
      <c r="BT178" s="526"/>
      <c r="BU178" s="526"/>
      <c r="BV178" s="526"/>
      <c r="BW178" s="526"/>
      <c r="BX178" s="526"/>
      <c r="BY178" s="526"/>
      <c r="BZ178" s="526"/>
      <c r="CA178" s="526"/>
      <c r="CB178" s="526"/>
      <c r="CC178" s="526"/>
      <c r="CD178" s="526"/>
      <c r="CE178" s="526"/>
      <c r="CF178" s="526"/>
      <c r="CG178" s="526"/>
      <c r="CH178" s="526"/>
      <c r="CI178" s="526"/>
      <c r="CJ178" s="526"/>
      <c r="CK178" s="526"/>
      <c r="CL178" s="526"/>
      <c r="CM178" s="526"/>
      <c r="CN178" s="526"/>
      <c r="CO178" s="526"/>
      <c r="CP178" s="526"/>
      <c r="CQ178" s="526"/>
      <c r="CR178" s="526"/>
      <c r="CS178" s="526"/>
      <c r="CT178" s="526"/>
      <c r="CU178" s="526"/>
      <c r="CV178" s="526"/>
      <c r="CW178" s="526"/>
      <c r="CX178" s="526"/>
      <c r="CY178" s="526"/>
      <c r="CZ178" s="526"/>
      <c r="DA178" s="526"/>
      <c r="DB178" s="526"/>
      <c r="DC178" s="526"/>
      <c r="DD178" s="526"/>
      <c r="DE178" s="526"/>
      <c r="DF178" s="526"/>
      <c r="DG178" s="526"/>
      <c r="DH178" s="526"/>
      <c r="DI178" s="526"/>
      <c r="DJ178" s="526"/>
      <c r="DK178" s="526"/>
      <c r="DL178" s="526"/>
      <c r="DM178" s="526"/>
      <c r="DN178" s="526"/>
      <c r="DO178" s="526"/>
      <c r="DP178" s="526"/>
      <c r="DQ178" s="526"/>
      <c r="DR178" s="526"/>
      <c r="DS178" s="526"/>
      <c r="DT178" s="526"/>
      <c r="DU178" s="526"/>
      <c r="DV178" s="526"/>
      <c r="DW178" s="526"/>
      <c r="DX178" s="526"/>
      <c r="DY178" s="526"/>
      <c r="DZ178" s="526"/>
      <c r="EA178" s="526"/>
      <c r="EB178" s="526"/>
      <c r="EC178" s="526"/>
      <c r="ED178" s="526"/>
      <c r="EE178" s="526"/>
      <c r="EF178" s="526"/>
      <c r="EG178" s="526"/>
      <c r="EH178" s="526"/>
      <c r="EI178" s="526"/>
      <c r="EJ178" s="526"/>
      <c r="EK178" s="526"/>
      <c r="EL178" s="526"/>
      <c r="EM178" s="526"/>
      <c r="EN178" s="526"/>
      <c r="EO178" s="526"/>
      <c r="EP178" s="526"/>
      <c r="EQ178" s="526"/>
      <c r="ER178" s="526"/>
      <c r="ES178" s="526"/>
      <c r="ET178" s="526"/>
      <c r="EU178" s="526"/>
      <c r="EV178" s="526"/>
      <c r="EW178" s="526"/>
      <c r="EX178" s="526"/>
      <c r="EY178" s="526"/>
      <c r="EZ178" s="526"/>
      <c r="FA178" s="526"/>
      <c r="FB178" s="526"/>
      <c r="FC178" s="526"/>
      <c r="FD178" s="526"/>
      <c r="FE178" s="526"/>
      <c r="FF178" s="526"/>
      <c r="FG178" s="526"/>
      <c r="FH178" s="526"/>
      <c r="FI178" s="526"/>
      <c r="FJ178" s="526"/>
      <c r="FK178" s="526"/>
      <c r="FL178" s="526"/>
      <c r="FM178" s="526"/>
      <c r="FN178" s="526"/>
      <c r="FO178" s="526"/>
      <c r="FP178" s="526"/>
      <c r="FQ178" s="526"/>
      <c r="FR178" s="526"/>
      <c r="FS178" s="526"/>
      <c r="FT178" s="526"/>
      <c r="FU178" s="526"/>
      <c r="FV178" s="526"/>
      <c r="FW178" s="526"/>
      <c r="FX178" s="526"/>
      <c r="FY178" s="526"/>
      <c r="FZ178" s="526"/>
      <c r="GA178" s="526"/>
      <c r="GB178" s="526"/>
      <c r="GC178" s="526"/>
      <c r="GD178" s="526"/>
      <c r="GE178" s="526"/>
      <c r="GF178" s="526"/>
      <c r="GG178" s="526"/>
      <c r="GH178" s="526"/>
      <c r="GI178" s="526"/>
      <c r="GJ178" s="526"/>
      <c r="GK178" s="526"/>
      <c r="GL178" s="526"/>
      <c r="GM178" s="526"/>
      <c r="GN178" s="526"/>
      <c r="GO178" s="526"/>
      <c r="GP178" s="526"/>
      <c r="GQ178" s="526"/>
      <c r="GR178" s="526"/>
      <c r="GS178" s="526"/>
      <c r="GT178" s="526"/>
      <c r="GU178" s="526"/>
      <c r="GV178" s="526"/>
      <c r="GW178" s="526"/>
      <c r="GX178" s="526"/>
      <c r="GY178" s="526"/>
      <c r="GZ178" s="526"/>
      <c r="HA178" s="526"/>
      <c r="HB178" s="526"/>
      <c r="HC178" s="526"/>
      <c r="HD178" s="526"/>
      <c r="HE178" s="526"/>
      <c r="HF178" s="526"/>
      <c r="HG178" s="526"/>
      <c r="HH178" s="526"/>
      <c r="HI178" s="526"/>
      <c r="HJ178" s="526"/>
      <c r="HK178" s="526"/>
      <c r="HL178" s="526"/>
      <c r="HM178" s="526"/>
      <c r="HN178" s="526"/>
      <c r="HO178" s="526"/>
      <c r="HP178" s="526"/>
      <c r="HQ178" s="526"/>
      <c r="HR178" s="526"/>
      <c r="HS178" s="526"/>
      <c r="HT178" s="526"/>
      <c r="HU178" s="526"/>
      <c r="HV178" s="526"/>
      <c r="HW178" s="526"/>
      <c r="HX178" s="526"/>
      <c r="HY178" s="526"/>
      <c r="HZ178" s="526"/>
      <c r="IA178" s="526"/>
      <c r="IB178" s="526"/>
      <c r="IC178" s="526"/>
      <c r="ID178" s="526"/>
      <c r="IE178" s="526"/>
      <c r="IF178" s="526"/>
      <c r="IG178" s="526"/>
      <c r="IH178" s="526"/>
      <c r="II178" s="526"/>
      <c r="IJ178" s="526"/>
      <c r="IK178" s="526"/>
      <c r="IL178" s="526"/>
      <c r="IM178" s="526"/>
      <c r="IN178" s="526"/>
      <c r="IO178" s="526"/>
      <c r="IP178" s="526"/>
      <c r="IQ178" s="526"/>
    </row>
    <row r="179" spans="1:251" ht="18" customHeight="1">
      <c r="A179" s="525">
        <v>170</v>
      </c>
      <c r="B179" s="538"/>
      <c r="C179" s="543"/>
      <c r="D179" s="483" t="s">
        <v>1091</v>
      </c>
      <c r="E179" s="540"/>
      <c r="F179" s="541"/>
      <c r="G179" s="1460"/>
      <c r="H179" s="753"/>
      <c r="I179" s="1739">
        <f>SUM(I177:I178)</f>
        <v>674</v>
      </c>
      <c r="J179" s="1561">
        <f>SUM(J177:J178)</f>
        <v>257</v>
      </c>
      <c r="K179" s="540"/>
      <c r="L179" s="1238">
        <f>SUM(I179:K179)</f>
        <v>931</v>
      </c>
      <c r="M179" s="542"/>
      <c r="N179" s="526"/>
      <c r="O179" s="526"/>
      <c r="P179" s="526"/>
      <c r="Q179" s="526"/>
      <c r="R179" s="526"/>
      <c r="S179" s="526"/>
      <c r="T179" s="526"/>
      <c r="U179" s="526"/>
      <c r="V179" s="526"/>
      <c r="W179" s="526"/>
      <c r="X179" s="526"/>
      <c r="Y179" s="526"/>
      <c r="Z179" s="526"/>
      <c r="AA179" s="526"/>
      <c r="AB179" s="526"/>
      <c r="AC179" s="526"/>
      <c r="AD179" s="526"/>
      <c r="AE179" s="526"/>
      <c r="AF179" s="526"/>
      <c r="AG179" s="526"/>
      <c r="AH179" s="526"/>
      <c r="AI179" s="526"/>
      <c r="AJ179" s="526"/>
      <c r="AK179" s="526"/>
      <c r="AL179" s="526"/>
      <c r="AM179" s="526"/>
      <c r="AN179" s="526"/>
      <c r="AO179" s="526"/>
      <c r="AP179" s="526"/>
      <c r="AQ179" s="526"/>
      <c r="AR179" s="526"/>
      <c r="AS179" s="526"/>
      <c r="AT179" s="526"/>
      <c r="AU179" s="526"/>
      <c r="AV179" s="526"/>
      <c r="AW179" s="526"/>
      <c r="AX179" s="526"/>
      <c r="AY179" s="526"/>
      <c r="AZ179" s="526"/>
      <c r="BA179" s="526"/>
      <c r="BB179" s="526"/>
      <c r="BC179" s="526"/>
      <c r="BD179" s="526"/>
      <c r="BE179" s="526"/>
      <c r="BF179" s="526"/>
      <c r="BG179" s="526"/>
      <c r="BH179" s="526"/>
      <c r="BI179" s="526"/>
      <c r="BJ179" s="526"/>
      <c r="BK179" s="526"/>
      <c r="BL179" s="526"/>
      <c r="BM179" s="526"/>
      <c r="BN179" s="526"/>
      <c r="BO179" s="526"/>
      <c r="BP179" s="526"/>
      <c r="BQ179" s="526"/>
      <c r="BR179" s="526"/>
      <c r="BS179" s="526"/>
      <c r="BT179" s="526"/>
      <c r="BU179" s="526"/>
      <c r="BV179" s="526"/>
      <c r="BW179" s="526"/>
      <c r="BX179" s="526"/>
      <c r="BY179" s="526"/>
      <c r="BZ179" s="526"/>
      <c r="CA179" s="526"/>
      <c r="CB179" s="526"/>
      <c r="CC179" s="526"/>
      <c r="CD179" s="526"/>
      <c r="CE179" s="526"/>
      <c r="CF179" s="526"/>
      <c r="CG179" s="526"/>
      <c r="CH179" s="526"/>
      <c r="CI179" s="526"/>
      <c r="CJ179" s="526"/>
      <c r="CK179" s="526"/>
      <c r="CL179" s="526"/>
      <c r="CM179" s="526"/>
      <c r="CN179" s="526"/>
      <c r="CO179" s="526"/>
      <c r="CP179" s="526"/>
      <c r="CQ179" s="526"/>
      <c r="CR179" s="526"/>
      <c r="CS179" s="526"/>
      <c r="CT179" s="526"/>
      <c r="CU179" s="526"/>
      <c r="CV179" s="526"/>
      <c r="CW179" s="526"/>
      <c r="CX179" s="526"/>
      <c r="CY179" s="526"/>
      <c r="CZ179" s="526"/>
      <c r="DA179" s="526"/>
      <c r="DB179" s="526"/>
      <c r="DC179" s="526"/>
      <c r="DD179" s="526"/>
      <c r="DE179" s="526"/>
      <c r="DF179" s="526"/>
      <c r="DG179" s="526"/>
      <c r="DH179" s="526"/>
      <c r="DI179" s="526"/>
      <c r="DJ179" s="526"/>
      <c r="DK179" s="526"/>
      <c r="DL179" s="526"/>
      <c r="DM179" s="526"/>
      <c r="DN179" s="526"/>
      <c r="DO179" s="526"/>
      <c r="DP179" s="526"/>
      <c r="DQ179" s="526"/>
      <c r="DR179" s="526"/>
      <c r="DS179" s="526"/>
      <c r="DT179" s="526"/>
      <c r="DU179" s="526"/>
      <c r="DV179" s="526"/>
      <c r="DW179" s="526"/>
      <c r="DX179" s="526"/>
      <c r="DY179" s="526"/>
      <c r="DZ179" s="526"/>
      <c r="EA179" s="526"/>
      <c r="EB179" s="526"/>
      <c r="EC179" s="526"/>
      <c r="ED179" s="526"/>
      <c r="EE179" s="526"/>
      <c r="EF179" s="526"/>
      <c r="EG179" s="526"/>
      <c r="EH179" s="526"/>
      <c r="EI179" s="526"/>
      <c r="EJ179" s="526"/>
      <c r="EK179" s="526"/>
      <c r="EL179" s="526"/>
      <c r="EM179" s="526"/>
      <c r="EN179" s="526"/>
      <c r="EO179" s="526"/>
      <c r="EP179" s="526"/>
      <c r="EQ179" s="526"/>
      <c r="ER179" s="526"/>
      <c r="ES179" s="526"/>
      <c r="ET179" s="526"/>
      <c r="EU179" s="526"/>
      <c r="EV179" s="526"/>
      <c r="EW179" s="526"/>
      <c r="EX179" s="526"/>
      <c r="EY179" s="526"/>
      <c r="EZ179" s="526"/>
      <c r="FA179" s="526"/>
      <c r="FB179" s="526"/>
      <c r="FC179" s="526"/>
      <c r="FD179" s="526"/>
      <c r="FE179" s="526"/>
      <c r="FF179" s="526"/>
      <c r="FG179" s="526"/>
      <c r="FH179" s="526"/>
      <c r="FI179" s="526"/>
      <c r="FJ179" s="526"/>
      <c r="FK179" s="526"/>
      <c r="FL179" s="526"/>
      <c r="FM179" s="526"/>
      <c r="FN179" s="526"/>
      <c r="FO179" s="526"/>
      <c r="FP179" s="526"/>
      <c r="FQ179" s="526"/>
      <c r="FR179" s="526"/>
      <c r="FS179" s="526"/>
      <c r="FT179" s="526"/>
      <c r="FU179" s="526"/>
      <c r="FV179" s="526"/>
      <c r="FW179" s="526"/>
      <c r="FX179" s="526"/>
      <c r="FY179" s="526"/>
      <c r="FZ179" s="526"/>
      <c r="GA179" s="526"/>
      <c r="GB179" s="526"/>
      <c r="GC179" s="526"/>
      <c r="GD179" s="526"/>
      <c r="GE179" s="526"/>
      <c r="GF179" s="526"/>
      <c r="GG179" s="526"/>
      <c r="GH179" s="526"/>
      <c r="GI179" s="526"/>
      <c r="GJ179" s="526"/>
      <c r="GK179" s="526"/>
      <c r="GL179" s="526"/>
      <c r="GM179" s="526"/>
      <c r="GN179" s="526"/>
      <c r="GO179" s="526"/>
      <c r="GP179" s="526"/>
      <c r="GQ179" s="526"/>
      <c r="GR179" s="526"/>
      <c r="GS179" s="526"/>
      <c r="GT179" s="526"/>
      <c r="GU179" s="526"/>
      <c r="GV179" s="526"/>
      <c r="GW179" s="526"/>
      <c r="GX179" s="526"/>
      <c r="GY179" s="526"/>
      <c r="GZ179" s="526"/>
      <c r="HA179" s="526"/>
      <c r="HB179" s="526"/>
      <c r="HC179" s="526"/>
      <c r="HD179" s="526"/>
      <c r="HE179" s="526"/>
      <c r="HF179" s="526"/>
      <c r="HG179" s="526"/>
      <c r="HH179" s="526"/>
      <c r="HI179" s="526"/>
      <c r="HJ179" s="526"/>
      <c r="HK179" s="526"/>
      <c r="HL179" s="526"/>
      <c r="HM179" s="526"/>
      <c r="HN179" s="526"/>
      <c r="HO179" s="526"/>
      <c r="HP179" s="526"/>
      <c r="HQ179" s="526"/>
      <c r="HR179" s="526"/>
      <c r="HS179" s="526"/>
      <c r="HT179" s="526"/>
      <c r="HU179" s="526"/>
      <c r="HV179" s="526"/>
      <c r="HW179" s="526"/>
      <c r="HX179" s="526"/>
      <c r="HY179" s="526"/>
      <c r="HZ179" s="526"/>
      <c r="IA179" s="526"/>
      <c r="IB179" s="526"/>
      <c r="IC179" s="526"/>
      <c r="ID179" s="526"/>
      <c r="IE179" s="526"/>
      <c r="IF179" s="526"/>
      <c r="IG179" s="526"/>
      <c r="IH179" s="526"/>
      <c r="II179" s="526"/>
      <c r="IJ179" s="526"/>
      <c r="IK179" s="526"/>
      <c r="IL179" s="526"/>
      <c r="IM179" s="526"/>
      <c r="IN179" s="526"/>
      <c r="IO179" s="526"/>
      <c r="IP179" s="526"/>
      <c r="IQ179" s="526"/>
    </row>
    <row r="180" spans="1:251" ht="22.5" customHeight="1">
      <c r="A180" s="525">
        <v>171</v>
      </c>
      <c r="B180" s="538"/>
      <c r="C180" s="539">
        <v>35</v>
      </c>
      <c r="D180" s="328" t="s">
        <v>637</v>
      </c>
      <c r="E180" s="540">
        <f>F180+G180+L184+M181</f>
        <v>200</v>
      </c>
      <c r="F180" s="541"/>
      <c r="G180" s="1460"/>
      <c r="H180" s="753" t="s">
        <v>23</v>
      </c>
      <c r="I180" s="728"/>
      <c r="J180" s="512"/>
      <c r="K180" s="1297"/>
      <c r="L180" s="512"/>
      <c r="M180" s="542"/>
      <c r="N180" s="526"/>
      <c r="O180" s="526"/>
      <c r="P180" s="526"/>
      <c r="Q180" s="526"/>
      <c r="R180" s="526"/>
      <c r="S180" s="526"/>
      <c r="T180" s="526"/>
      <c r="U180" s="526"/>
      <c r="V180" s="526"/>
      <c r="W180" s="526"/>
      <c r="X180" s="526"/>
      <c r="Y180" s="526"/>
      <c r="Z180" s="526"/>
      <c r="AA180" s="526"/>
      <c r="AB180" s="526"/>
      <c r="AC180" s="526"/>
      <c r="AD180" s="526"/>
      <c r="AE180" s="526"/>
      <c r="AF180" s="526"/>
      <c r="AG180" s="526"/>
      <c r="AH180" s="526"/>
      <c r="AI180" s="526"/>
      <c r="AJ180" s="526"/>
      <c r="AK180" s="526"/>
      <c r="AL180" s="526"/>
      <c r="AM180" s="526"/>
      <c r="AN180" s="526"/>
      <c r="AO180" s="526"/>
      <c r="AP180" s="526"/>
      <c r="AQ180" s="526"/>
      <c r="AR180" s="526"/>
      <c r="AS180" s="526"/>
      <c r="AT180" s="526"/>
      <c r="AU180" s="526"/>
      <c r="AV180" s="526"/>
      <c r="AW180" s="526"/>
      <c r="AX180" s="526"/>
      <c r="AY180" s="526"/>
      <c r="AZ180" s="526"/>
      <c r="BA180" s="526"/>
      <c r="BB180" s="526"/>
      <c r="BC180" s="526"/>
      <c r="BD180" s="526"/>
      <c r="BE180" s="526"/>
      <c r="BF180" s="526"/>
      <c r="BG180" s="526"/>
      <c r="BH180" s="526"/>
      <c r="BI180" s="526"/>
      <c r="BJ180" s="526"/>
      <c r="BK180" s="526"/>
      <c r="BL180" s="526"/>
      <c r="BM180" s="526"/>
      <c r="BN180" s="526"/>
      <c r="BO180" s="526"/>
      <c r="BP180" s="526"/>
      <c r="BQ180" s="526"/>
      <c r="BR180" s="526"/>
      <c r="BS180" s="526"/>
      <c r="BT180" s="526"/>
      <c r="BU180" s="526"/>
      <c r="BV180" s="526"/>
      <c r="BW180" s="526"/>
      <c r="BX180" s="526"/>
      <c r="BY180" s="526"/>
      <c r="BZ180" s="526"/>
      <c r="CA180" s="526"/>
      <c r="CB180" s="526"/>
      <c r="CC180" s="526"/>
      <c r="CD180" s="526"/>
      <c r="CE180" s="526"/>
      <c r="CF180" s="526"/>
      <c r="CG180" s="526"/>
      <c r="CH180" s="526"/>
      <c r="CI180" s="526"/>
      <c r="CJ180" s="526"/>
      <c r="CK180" s="526"/>
      <c r="CL180" s="526"/>
      <c r="CM180" s="526"/>
      <c r="CN180" s="526"/>
      <c r="CO180" s="526"/>
      <c r="CP180" s="526"/>
      <c r="CQ180" s="526"/>
      <c r="CR180" s="526"/>
      <c r="CS180" s="526"/>
      <c r="CT180" s="526"/>
      <c r="CU180" s="526"/>
      <c r="CV180" s="526"/>
      <c r="CW180" s="526"/>
      <c r="CX180" s="526"/>
      <c r="CY180" s="526"/>
      <c r="CZ180" s="526"/>
      <c r="DA180" s="526"/>
      <c r="DB180" s="526"/>
      <c r="DC180" s="526"/>
      <c r="DD180" s="526"/>
      <c r="DE180" s="526"/>
      <c r="DF180" s="526"/>
      <c r="DG180" s="526"/>
      <c r="DH180" s="526"/>
      <c r="DI180" s="526"/>
      <c r="DJ180" s="526"/>
      <c r="DK180" s="526"/>
      <c r="DL180" s="526"/>
      <c r="DM180" s="526"/>
      <c r="DN180" s="526"/>
      <c r="DO180" s="526"/>
      <c r="DP180" s="526"/>
      <c r="DQ180" s="526"/>
      <c r="DR180" s="526"/>
      <c r="DS180" s="526"/>
      <c r="DT180" s="526"/>
      <c r="DU180" s="526"/>
      <c r="DV180" s="526"/>
      <c r="DW180" s="526"/>
      <c r="DX180" s="526"/>
      <c r="DY180" s="526"/>
      <c r="DZ180" s="526"/>
      <c r="EA180" s="526"/>
      <c r="EB180" s="526"/>
      <c r="EC180" s="526"/>
      <c r="ED180" s="526"/>
      <c r="EE180" s="526"/>
      <c r="EF180" s="526"/>
      <c r="EG180" s="526"/>
      <c r="EH180" s="526"/>
      <c r="EI180" s="526"/>
      <c r="EJ180" s="526"/>
      <c r="EK180" s="526"/>
      <c r="EL180" s="526"/>
      <c r="EM180" s="526"/>
      <c r="EN180" s="526"/>
      <c r="EO180" s="526"/>
      <c r="EP180" s="526"/>
      <c r="EQ180" s="526"/>
      <c r="ER180" s="526"/>
      <c r="ES180" s="526"/>
      <c r="ET180" s="526"/>
      <c r="EU180" s="526"/>
      <c r="EV180" s="526"/>
      <c r="EW180" s="526"/>
      <c r="EX180" s="526"/>
      <c r="EY180" s="526"/>
      <c r="EZ180" s="526"/>
      <c r="FA180" s="526"/>
      <c r="FB180" s="526"/>
      <c r="FC180" s="526"/>
      <c r="FD180" s="526"/>
      <c r="FE180" s="526"/>
      <c r="FF180" s="526"/>
      <c r="FG180" s="526"/>
      <c r="FH180" s="526"/>
      <c r="FI180" s="526"/>
      <c r="FJ180" s="526"/>
      <c r="FK180" s="526"/>
      <c r="FL180" s="526"/>
      <c r="FM180" s="526"/>
      <c r="FN180" s="526"/>
      <c r="FO180" s="526"/>
      <c r="FP180" s="526"/>
      <c r="FQ180" s="526"/>
      <c r="FR180" s="526"/>
      <c r="FS180" s="526"/>
      <c r="FT180" s="526"/>
      <c r="FU180" s="526"/>
      <c r="FV180" s="526"/>
      <c r="FW180" s="526"/>
      <c r="FX180" s="526"/>
      <c r="FY180" s="526"/>
      <c r="FZ180" s="526"/>
      <c r="GA180" s="526"/>
      <c r="GB180" s="526"/>
      <c r="GC180" s="526"/>
      <c r="GD180" s="526"/>
      <c r="GE180" s="526"/>
      <c r="GF180" s="526"/>
      <c r="GG180" s="526"/>
      <c r="GH180" s="526"/>
      <c r="GI180" s="526"/>
      <c r="GJ180" s="526"/>
      <c r="GK180" s="526"/>
      <c r="GL180" s="526"/>
      <c r="GM180" s="526"/>
      <c r="GN180" s="526"/>
      <c r="GO180" s="526"/>
      <c r="GP180" s="526"/>
      <c r="GQ180" s="526"/>
      <c r="GR180" s="526"/>
      <c r="GS180" s="526"/>
      <c r="GT180" s="526"/>
      <c r="GU180" s="526"/>
      <c r="GV180" s="526"/>
      <c r="GW180" s="526"/>
      <c r="GX180" s="526"/>
      <c r="GY180" s="526"/>
      <c r="GZ180" s="526"/>
      <c r="HA180" s="526"/>
      <c r="HB180" s="526"/>
      <c r="HC180" s="526"/>
      <c r="HD180" s="526"/>
      <c r="HE180" s="526"/>
      <c r="HF180" s="526"/>
      <c r="HG180" s="526"/>
      <c r="HH180" s="526"/>
      <c r="HI180" s="526"/>
      <c r="HJ180" s="526"/>
      <c r="HK180" s="526"/>
      <c r="HL180" s="526"/>
      <c r="HM180" s="526"/>
      <c r="HN180" s="526"/>
      <c r="HO180" s="526"/>
      <c r="HP180" s="526"/>
      <c r="HQ180" s="526"/>
      <c r="HR180" s="526"/>
      <c r="HS180" s="526"/>
      <c r="HT180" s="526"/>
      <c r="HU180" s="526"/>
      <c r="HV180" s="526"/>
      <c r="HW180" s="526"/>
      <c r="HX180" s="526"/>
      <c r="HY180" s="526"/>
      <c r="HZ180" s="526"/>
      <c r="IA180" s="526"/>
      <c r="IB180" s="526"/>
      <c r="IC180" s="526"/>
      <c r="ID180" s="526"/>
      <c r="IE180" s="526"/>
      <c r="IF180" s="526"/>
      <c r="IG180" s="526"/>
      <c r="IH180" s="526"/>
      <c r="II180" s="526"/>
      <c r="IJ180" s="526"/>
      <c r="IK180" s="526"/>
      <c r="IL180" s="526"/>
      <c r="IM180" s="526"/>
      <c r="IN180" s="526"/>
      <c r="IO180" s="526"/>
      <c r="IP180" s="526"/>
      <c r="IQ180" s="526"/>
    </row>
    <row r="181" spans="1:251" ht="18" customHeight="1">
      <c r="A181" s="525">
        <v>172</v>
      </c>
      <c r="B181" s="538"/>
      <c r="C181" s="543"/>
      <c r="D181" s="594" t="s">
        <v>283</v>
      </c>
      <c r="E181" s="540"/>
      <c r="F181" s="541"/>
      <c r="G181" s="1460"/>
      <c r="H181" s="753"/>
      <c r="I181" s="728"/>
      <c r="J181" s="1422">
        <v>200</v>
      </c>
      <c r="K181" s="1422"/>
      <c r="L181" s="1423">
        <f>SUM(I181:K181)</f>
        <v>200</v>
      </c>
      <c r="M181" s="542"/>
      <c r="N181" s="526"/>
      <c r="O181" s="526"/>
      <c r="P181" s="526"/>
      <c r="Q181" s="526"/>
      <c r="R181" s="526"/>
      <c r="S181" s="526"/>
      <c r="T181" s="526"/>
      <c r="U181" s="526"/>
      <c r="V181" s="526"/>
      <c r="W181" s="526"/>
      <c r="X181" s="526"/>
      <c r="Y181" s="526"/>
      <c r="Z181" s="526"/>
      <c r="AA181" s="526"/>
      <c r="AB181" s="526"/>
      <c r="AC181" s="526"/>
      <c r="AD181" s="526"/>
      <c r="AE181" s="526"/>
      <c r="AF181" s="526"/>
      <c r="AG181" s="526"/>
      <c r="AH181" s="526"/>
      <c r="AI181" s="526"/>
      <c r="AJ181" s="526"/>
      <c r="AK181" s="526"/>
      <c r="AL181" s="526"/>
      <c r="AM181" s="526"/>
      <c r="AN181" s="526"/>
      <c r="AO181" s="526"/>
      <c r="AP181" s="526"/>
      <c r="AQ181" s="526"/>
      <c r="AR181" s="526"/>
      <c r="AS181" s="526"/>
      <c r="AT181" s="526"/>
      <c r="AU181" s="526"/>
      <c r="AV181" s="526"/>
      <c r="AW181" s="526"/>
      <c r="AX181" s="526"/>
      <c r="AY181" s="526"/>
      <c r="AZ181" s="526"/>
      <c r="BA181" s="526"/>
      <c r="BB181" s="526"/>
      <c r="BC181" s="526"/>
      <c r="BD181" s="526"/>
      <c r="BE181" s="526"/>
      <c r="BF181" s="526"/>
      <c r="BG181" s="526"/>
      <c r="BH181" s="526"/>
      <c r="BI181" s="526"/>
      <c r="BJ181" s="526"/>
      <c r="BK181" s="526"/>
      <c r="BL181" s="526"/>
      <c r="BM181" s="526"/>
      <c r="BN181" s="526"/>
      <c r="BO181" s="526"/>
      <c r="BP181" s="526"/>
      <c r="BQ181" s="526"/>
      <c r="BR181" s="526"/>
      <c r="BS181" s="526"/>
      <c r="BT181" s="526"/>
      <c r="BU181" s="526"/>
      <c r="BV181" s="526"/>
      <c r="BW181" s="526"/>
      <c r="BX181" s="526"/>
      <c r="BY181" s="526"/>
      <c r="BZ181" s="526"/>
      <c r="CA181" s="526"/>
      <c r="CB181" s="526"/>
      <c r="CC181" s="526"/>
      <c r="CD181" s="526"/>
      <c r="CE181" s="526"/>
      <c r="CF181" s="526"/>
      <c r="CG181" s="526"/>
      <c r="CH181" s="526"/>
      <c r="CI181" s="526"/>
      <c r="CJ181" s="526"/>
      <c r="CK181" s="526"/>
      <c r="CL181" s="526"/>
      <c r="CM181" s="526"/>
      <c r="CN181" s="526"/>
      <c r="CO181" s="526"/>
      <c r="CP181" s="526"/>
      <c r="CQ181" s="526"/>
      <c r="CR181" s="526"/>
      <c r="CS181" s="526"/>
      <c r="CT181" s="526"/>
      <c r="CU181" s="526"/>
      <c r="CV181" s="526"/>
      <c r="CW181" s="526"/>
      <c r="CX181" s="526"/>
      <c r="CY181" s="526"/>
      <c r="CZ181" s="526"/>
      <c r="DA181" s="526"/>
      <c r="DB181" s="526"/>
      <c r="DC181" s="526"/>
      <c r="DD181" s="526"/>
      <c r="DE181" s="526"/>
      <c r="DF181" s="526"/>
      <c r="DG181" s="526"/>
      <c r="DH181" s="526"/>
      <c r="DI181" s="526"/>
      <c r="DJ181" s="526"/>
      <c r="DK181" s="526"/>
      <c r="DL181" s="526"/>
      <c r="DM181" s="526"/>
      <c r="DN181" s="526"/>
      <c r="DO181" s="526"/>
      <c r="DP181" s="526"/>
      <c r="DQ181" s="526"/>
      <c r="DR181" s="526"/>
      <c r="DS181" s="526"/>
      <c r="DT181" s="526"/>
      <c r="DU181" s="526"/>
      <c r="DV181" s="526"/>
      <c r="DW181" s="526"/>
      <c r="DX181" s="526"/>
      <c r="DY181" s="526"/>
      <c r="DZ181" s="526"/>
      <c r="EA181" s="526"/>
      <c r="EB181" s="526"/>
      <c r="EC181" s="526"/>
      <c r="ED181" s="526"/>
      <c r="EE181" s="526"/>
      <c r="EF181" s="526"/>
      <c r="EG181" s="526"/>
      <c r="EH181" s="526"/>
      <c r="EI181" s="526"/>
      <c r="EJ181" s="526"/>
      <c r="EK181" s="526"/>
      <c r="EL181" s="526"/>
      <c r="EM181" s="526"/>
      <c r="EN181" s="526"/>
      <c r="EO181" s="526"/>
      <c r="EP181" s="526"/>
      <c r="EQ181" s="526"/>
      <c r="ER181" s="526"/>
      <c r="ES181" s="526"/>
      <c r="ET181" s="526"/>
      <c r="EU181" s="526"/>
      <c r="EV181" s="526"/>
      <c r="EW181" s="526"/>
      <c r="EX181" s="526"/>
      <c r="EY181" s="526"/>
      <c r="EZ181" s="526"/>
      <c r="FA181" s="526"/>
      <c r="FB181" s="526"/>
      <c r="FC181" s="526"/>
      <c r="FD181" s="526"/>
      <c r="FE181" s="526"/>
      <c r="FF181" s="526"/>
      <c r="FG181" s="526"/>
      <c r="FH181" s="526"/>
      <c r="FI181" s="526"/>
      <c r="FJ181" s="526"/>
      <c r="FK181" s="526"/>
      <c r="FL181" s="526"/>
      <c r="FM181" s="526"/>
      <c r="FN181" s="526"/>
      <c r="FO181" s="526"/>
      <c r="FP181" s="526"/>
      <c r="FQ181" s="526"/>
      <c r="FR181" s="526"/>
      <c r="FS181" s="526"/>
      <c r="FT181" s="526"/>
      <c r="FU181" s="526"/>
      <c r="FV181" s="526"/>
      <c r="FW181" s="526"/>
      <c r="FX181" s="526"/>
      <c r="FY181" s="526"/>
      <c r="FZ181" s="526"/>
      <c r="GA181" s="526"/>
      <c r="GB181" s="526"/>
      <c r="GC181" s="526"/>
      <c r="GD181" s="526"/>
      <c r="GE181" s="526"/>
      <c r="GF181" s="526"/>
      <c r="GG181" s="526"/>
      <c r="GH181" s="526"/>
      <c r="GI181" s="526"/>
      <c r="GJ181" s="526"/>
      <c r="GK181" s="526"/>
      <c r="GL181" s="526"/>
      <c r="GM181" s="526"/>
      <c r="GN181" s="526"/>
      <c r="GO181" s="526"/>
      <c r="GP181" s="526"/>
      <c r="GQ181" s="526"/>
      <c r="GR181" s="526"/>
      <c r="GS181" s="526"/>
      <c r="GT181" s="526"/>
      <c r="GU181" s="526"/>
      <c r="GV181" s="526"/>
      <c r="GW181" s="526"/>
      <c r="GX181" s="526"/>
      <c r="GY181" s="526"/>
      <c r="GZ181" s="526"/>
      <c r="HA181" s="526"/>
      <c r="HB181" s="526"/>
      <c r="HC181" s="526"/>
      <c r="HD181" s="526"/>
      <c r="HE181" s="526"/>
      <c r="HF181" s="526"/>
      <c r="HG181" s="526"/>
      <c r="HH181" s="526"/>
      <c r="HI181" s="526"/>
      <c r="HJ181" s="526"/>
      <c r="HK181" s="526"/>
      <c r="HL181" s="526"/>
      <c r="HM181" s="526"/>
      <c r="HN181" s="526"/>
      <c r="HO181" s="526"/>
      <c r="HP181" s="526"/>
      <c r="HQ181" s="526"/>
      <c r="HR181" s="526"/>
      <c r="HS181" s="526"/>
      <c r="HT181" s="526"/>
      <c r="HU181" s="526"/>
      <c r="HV181" s="526"/>
      <c r="HW181" s="526"/>
      <c r="HX181" s="526"/>
      <c r="HY181" s="526"/>
      <c r="HZ181" s="526"/>
      <c r="IA181" s="526"/>
      <c r="IB181" s="526"/>
      <c r="IC181" s="526"/>
      <c r="ID181" s="526"/>
      <c r="IE181" s="526"/>
      <c r="IF181" s="526"/>
      <c r="IG181" s="526"/>
      <c r="IH181" s="526"/>
      <c r="II181" s="526"/>
      <c r="IJ181" s="526"/>
      <c r="IK181" s="526"/>
      <c r="IL181" s="526"/>
      <c r="IM181" s="526"/>
      <c r="IN181" s="526"/>
      <c r="IO181" s="526"/>
      <c r="IP181" s="526"/>
      <c r="IQ181" s="526"/>
    </row>
    <row r="182" spans="1:251" ht="18" customHeight="1">
      <c r="A182" s="525">
        <v>173</v>
      </c>
      <c r="B182" s="538"/>
      <c r="C182" s="543"/>
      <c r="D182" s="483" t="s">
        <v>938</v>
      </c>
      <c r="E182" s="540"/>
      <c r="F182" s="541"/>
      <c r="G182" s="1460"/>
      <c r="H182" s="753"/>
      <c r="I182" s="1739">
        <v>114</v>
      </c>
      <c r="J182" s="1561">
        <v>86</v>
      </c>
      <c r="K182" s="1561"/>
      <c r="L182" s="1669">
        <f>SUM(I182:K182)</f>
        <v>200</v>
      </c>
      <c r="M182" s="542"/>
      <c r="N182" s="526"/>
      <c r="O182" s="526"/>
      <c r="P182" s="526"/>
      <c r="Q182" s="526"/>
      <c r="R182" s="526"/>
      <c r="S182" s="526"/>
      <c r="T182" s="526"/>
      <c r="U182" s="526"/>
      <c r="V182" s="526"/>
      <c r="W182" s="526"/>
      <c r="X182" s="526"/>
      <c r="Y182" s="526"/>
      <c r="Z182" s="526"/>
      <c r="AA182" s="526"/>
      <c r="AB182" s="526"/>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26"/>
      <c r="AY182" s="526"/>
      <c r="AZ182" s="526"/>
      <c r="BA182" s="526"/>
      <c r="BB182" s="526"/>
      <c r="BC182" s="526"/>
      <c r="BD182" s="526"/>
      <c r="BE182" s="526"/>
      <c r="BF182" s="526"/>
      <c r="BG182" s="526"/>
      <c r="BH182" s="526"/>
      <c r="BI182" s="526"/>
      <c r="BJ182" s="526"/>
      <c r="BK182" s="526"/>
      <c r="BL182" s="526"/>
      <c r="BM182" s="526"/>
      <c r="BN182" s="526"/>
      <c r="BO182" s="526"/>
      <c r="BP182" s="526"/>
      <c r="BQ182" s="526"/>
      <c r="BR182" s="526"/>
      <c r="BS182" s="526"/>
      <c r="BT182" s="526"/>
      <c r="BU182" s="526"/>
      <c r="BV182" s="526"/>
      <c r="BW182" s="526"/>
      <c r="BX182" s="526"/>
      <c r="BY182" s="526"/>
      <c r="BZ182" s="526"/>
      <c r="CA182" s="526"/>
      <c r="CB182" s="526"/>
      <c r="CC182" s="526"/>
      <c r="CD182" s="526"/>
      <c r="CE182" s="526"/>
      <c r="CF182" s="526"/>
      <c r="CG182" s="526"/>
      <c r="CH182" s="526"/>
      <c r="CI182" s="526"/>
      <c r="CJ182" s="526"/>
      <c r="CK182" s="526"/>
      <c r="CL182" s="526"/>
      <c r="CM182" s="526"/>
      <c r="CN182" s="526"/>
      <c r="CO182" s="526"/>
      <c r="CP182" s="526"/>
      <c r="CQ182" s="526"/>
      <c r="CR182" s="526"/>
      <c r="CS182" s="526"/>
      <c r="CT182" s="526"/>
      <c r="CU182" s="526"/>
      <c r="CV182" s="526"/>
      <c r="CW182" s="526"/>
      <c r="CX182" s="526"/>
      <c r="CY182" s="526"/>
      <c r="CZ182" s="526"/>
      <c r="DA182" s="526"/>
      <c r="DB182" s="526"/>
      <c r="DC182" s="526"/>
      <c r="DD182" s="526"/>
      <c r="DE182" s="526"/>
      <c r="DF182" s="526"/>
      <c r="DG182" s="526"/>
      <c r="DH182" s="526"/>
      <c r="DI182" s="526"/>
      <c r="DJ182" s="526"/>
      <c r="DK182" s="526"/>
      <c r="DL182" s="526"/>
      <c r="DM182" s="526"/>
      <c r="DN182" s="526"/>
      <c r="DO182" s="526"/>
      <c r="DP182" s="526"/>
      <c r="DQ182" s="526"/>
      <c r="DR182" s="526"/>
      <c r="DS182" s="526"/>
      <c r="DT182" s="526"/>
      <c r="DU182" s="526"/>
      <c r="DV182" s="526"/>
      <c r="DW182" s="526"/>
      <c r="DX182" s="526"/>
      <c r="DY182" s="526"/>
      <c r="DZ182" s="526"/>
      <c r="EA182" s="526"/>
      <c r="EB182" s="526"/>
      <c r="EC182" s="526"/>
      <c r="ED182" s="526"/>
      <c r="EE182" s="526"/>
      <c r="EF182" s="526"/>
      <c r="EG182" s="526"/>
      <c r="EH182" s="526"/>
      <c r="EI182" s="526"/>
      <c r="EJ182" s="526"/>
      <c r="EK182" s="526"/>
      <c r="EL182" s="526"/>
      <c r="EM182" s="526"/>
      <c r="EN182" s="526"/>
      <c r="EO182" s="526"/>
      <c r="EP182" s="526"/>
      <c r="EQ182" s="526"/>
      <c r="ER182" s="526"/>
      <c r="ES182" s="526"/>
      <c r="ET182" s="526"/>
      <c r="EU182" s="526"/>
      <c r="EV182" s="526"/>
      <c r="EW182" s="526"/>
      <c r="EX182" s="526"/>
      <c r="EY182" s="526"/>
      <c r="EZ182" s="526"/>
      <c r="FA182" s="526"/>
      <c r="FB182" s="526"/>
      <c r="FC182" s="526"/>
      <c r="FD182" s="526"/>
      <c r="FE182" s="526"/>
      <c r="FF182" s="526"/>
      <c r="FG182" s="526"/>
      <c r="FH182" s="526"/>
      <c r="FI182" s="526"/>
      <c r="FJ182" s="526"/>
      <c r="FK182" s="526"/>
      <c r="FL182" s="526"/>
      <c r="FM182" s="526"/>
      <c r="FN182" s="526"/>
      <c r="FO182" s="526"/>
      <c r="FP182" s="526"/>
      <c r="FQ182" s="526"/>
      <c r="FR182" s="526"/>
      <c r="FS182" s="526"/>
      <c r="FT182" s="526"/>
      <c r="FU182" s="526"/>
      <c r="FV182" s="526"/>
      <c r="FW182" s="526"/>
      <c r="FX182" s="526"/>
      <c r="FY182" s="526"/>
      <c r="FZ182" s="526"/>
      <c r="GA182" s="526"/>
      <c r="GB182" s="526"/>
      <c r="GC182" s="526"/>
      <c r="GD182" s="526"/>
      <c r="GE182" s="526"/>
      <c r="GF182" s="526"/>
      <c r="GG182" s="526"/>
      <c r="GH182" s="526"/>
      <c r="GI182" s="526"/>
      <c r="GJ182" s="526"/>
      <c r="GK182" s="526"/>
      <c r="GL182" s="526"/>
      <c r="GM182" s="526"/>
      <c r="GN182" s="526"/>
      <c r="GO182" s="526"/>
      <c r="GP182" s="526"/>
      <c r="GQ182" s="526"/>
      <c r="GR182" s="526"/>
      <c r="GS182" s="526"/>
      <c r="GT182" s="526"/>
      <c r="GU182" s="526"/>
      <c r="GV182" s="526"/>
      <c r="GW182" s="526"/>
      <c r="GX182" s="526"/>
      <c r="GY182" s="526"/>
      <c r="GZ182" s="526"/>
      <c r="HA182" s="526"/>
      <c r="HB182" s="526"/>
      <c r="HC182" s="526"/>
      <c r="HD182" s="526"/>
      <c r="HE182" s="526"/>
      <c r="HF182" s="526"/>
      <c r="HG182" s="526"/>
      <c r="HH182" s="526"/>
      <c r="HI182" s="526"/>
      <c r="HJ182" s="526"/>
      <c r="HK182" s="526"/>
      <c r="HL182" s="526"/>
      <c r="HM182" s="526"/>
      <c r="HN182" s="526"/>
      <c r="HO182" s="526"/>
      <c r="HP182" s="526"/>
      <c r="HQ182" s="526"/>
      <c r="HR182" s="526"/>
      <c r="HS182" s="526"/>
      <c r="HT182" s="526"/>
      <c r="HU182" s="526"/>
      <c r="HV182" s="526"/>
      <c r="HW182" s="526"/>
      <c r="HX182" s="526"/>
      <c r="HY182" s="526"/>
      <c r="HZ182" s="526"/>
      <c r="IA182" s="526"/>
      <c r="IB182" s="526"/>
      <c r="IC182" s="526"/>
      <c r="ID182" s="526"/>
      <c r="IE182" s="526"/>
      <c r="IF182" s="526"/>
      <c r="IG182" s="526"/>
      <c r="IH182" s="526"/>
      <c r="II182" s="526"/>
      <c r="IJ182" s="526"/>
      <c r="IK182" s="526"/>
      <c r="IL182" s="526"/>
      <c r="IM182" s="526"/>
      <c r="IN182" s="526"/>
      <c r="IO182" s="526"/>
      <c r="IP182" s="526"/>
      <c r="IQ182" s="526"/>
    </row>
    <row r="183" spans="1:251" ht="18" customHeight="1">
      <c r="A183" s="525">
        <v>174</v>
      </c>
      <c r="B183" s="538"/>
      <c r="C183" s="543"/>
      <c r="D183" s="1146" t="s">
        <v>725</v>
      </c>
      <c r="E183" s="540"/>
      <c r="F183" s="541"/>
      <c r="G183" s="1460"/>
      <c r="H183" s="753"/>
      <c r="I183" s="1740"/>
      <c r="J183" s="1458"/>
      <c r="K183" s="540"/>
      <c r="L183" s="1241">
        <f>SUM(I183:K183)</f>
        <v>0</v>
      </c>
      <c r="M183" s="542"/>
      <c r="N183" s="526"/>
      <c r="O183" s="526"/>
      <c r="P183" s="526"/>
      <c r="Q183" s="526"/>
      <c r="R183" s="526"/>
      <c r="S183" s="526"/>
      <c r="T183" s="526"/>
      <c r="U183" s="526"/>
      <c r="V183" s="526"/>
      <c r="W183" s="526"/>
      <c r="X183" s="526"/>
      <c r="Y183" s="526"/>
      <c r="Z183" s="526"/>
      <c r="AA183" s="526"/>
      <c r="AB183" s="526"/>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26"/>
      <c r="AY183" s="526"/>
      <c r="AZ183" s="526"/>
      <c r="BA183" s="526"/>
      <c r="BB183" s="526"/>
      <c r="BC183" s="526"/>
      <c r="BD183" s="526"/>
      <c r="BE183" s="526"/>
      <c r="BF183" s="526"/>
      <c r="BG183" s="526"/>
      <c r="BH183" s="526"/>
      <c r="BI183" s="526"/>
      <c r="BJ183" s="526"/>
      <c r="BK183" s="526"/>
      <c r="BL183" s="526"/>
      <c r="BM183" s="526"/>
      <c r="BN183" s="526"/>
      <c r="BO183" s="526"/>
      <c r="BP183" s="526"/>
      <c r="BQ183" s="526"/>
      <c r="BR183" s="526"/>
      <c r="BS183" s="526"/>
      <c r="BT183" s="526"/>
      <c r="BU183" s="526"/>
      <c r="BV183" s="526"/>
      <c r="BW183" s="526"/>
      <c r="BX183" s="526"/>
      <c r="BY183" s="526"/>
      <c r="BZ183" s="526"/>
      <c r="CA183" s="526"/>
      <c r="CB183" s="526"/>
      <c r="CC183" s="526"/>
      <c r="CD183" s="526"/>
      <c r="CE183" s="526"/>
      <c r="CF183" s="526"/>
      <c r="CG183" s="526"/>
      <c r="CH183" s="526"/>
      <c r="CI183" s="526"/>
      <c r="CJ183" s="526"/>
      <c r="CK183" s="526"/>
      <c r="CL183" s="526"/>
      <c r="CM183" s="526"/>
      <c r="CN183" s="526"/>
      <c r="CO183" s="526"/>
      <c r="CP183" s="526"/>
      <c r="CQ183" s="526"/>
      <c r="CR183" s="526"/>
      <c r="CS183" s="526"/>
      <c r="CT183" s="526"/>
      <c r="CU183" s="526"/>
      <c r="CV183" s="526"/>
      <c r="CW183" s="526"/>
      <c r="CX183" s="526"/>
      <c r="CY183" s="526"/>
      <c r="CZ183" s="526"/>
      <c r="DA183" s="526"/>
      <c r="DB183" s="526"/>
      <c r="DC183" s="526"/>
      <c r="DD183" s="526"/>
      <c r="DE183" s="526"/>
      <c r="DF183" s="526"/>
      <c r="DG183" s="526"/>
      <c r="DH183" s="526"/>
      <c r="DI183" s="526"/>
      <c r="DJ183" s="526"/>
      <c r="DK183" s="526"/>
      <c r="DL183" s="526"/>
      <c r="DM183" s="526"/>
      <c r="DN183" s="526"/>
      <c r="DO183" s="526"/>
      <c r="DP183" s="526"/>
      <c r="DQ183" s="526"/>
      <c r="DR183" s="526"/>
      <c r="DS183" s="526"/>
      <c r="DT183" s="526"/>
      <c r="DU183" s="526"/>
      <c r="DV183" s="526"/>
      <c r="DW183" s="526"/>
      <c r="DX183" s="526"/>
      <c r="DY183" s="526"/>
      <c r="DZ183" s="526"/>
      <c r="EA183" s="526"/>
      <c r="EB183" s="526"/>
      <c r="EC183" s="526"/>
      <c r="ED183" s="526"/>
      <c r="EE183" s="526"/>
      <c r="EF183" s="526"/>
      <c r="EG183" s="526"/>
      <c r="EH183" s="526"/>
      <c r="EI183" s="526"/>
      <c r="EJ183" s="526"/>
      <c r="EK183" s="526"/>
      <c r="EL183" s="526"/>
      <c r="EM183" s="526"/>
      <c r="EN183" s="526"/>
      <c r="EO183" s="526"/>
      <c r="EP183" s="526"/>
      <c r="EQ183" s="526"/>
      <c r="ER183" s="526"/>
      <c r="ES183" s="526"/>
      <c r="ET183" s="526"/>
      <c r="EU183" s="526"/>
      <c r="EV183" s="526"/>
      <c r="EW183" s="526"/>
      <c r="EX183" s="526"/>
      <c r="EY183" s="526"/>
      <c r="EZ183" s="526"/>
      <c r="FA183" s="526"/>
      <c r="FB183" s="526"/>
      <c r="FC183" s="526"/>
      <c r="FD183" s="526"/>
      <c r="FE183" s="526"/>
      <c r="FF183" s="526"/>
      <c r="FG183" s="526"/>
      <c r="FH183" s="526"/>
      <c r="FI183" s="526"/>
      <c r="FJ183" s="526"/>
      <c r="FK183" s="526"/>
      <c r="FL183" s="526"/>
      <c r="FM183" s="526"/>
      <c r="FN183" s="526"/>
      <c r="FO183" s="526"/>
      <c r="FP183" s="526"/>
      <c r="FQ183" s="526"/>
      <c r="FR183" s="526"/>
      <c r="FS183" s="526"/>
      <c r="FT183" s="526"/>
      <c r="FU183" s="526"/>
      <c r="FV183" s="526"/>
      <c r="FW183" s="526"/>
      <c r="FX183" s="526"/>
      <c r="FY183" s="526"/>
      <c r="FZ183" s="526"/>
      <c r="GA183" s="526"/>
      <c r="GB183" s="526"/>
      <c r="GC183" s="526"/>
      <c r="GD183" s="526"/>
      <c r="GE183" s="526"/>
      <c r="GF183" s="526"/>
      <c r="GG183" s="526"/>
      <c r="GH183" s="526"/>
      <c r="GI183" s="526"/>
      <c r="GJ183" s="526"/>
      <c r="GK183" s="526"/>
      <c r="GL183" s="526"/>
      <c r="GM183" s="526"/>
      <c r="GN183" s="526"/>
      <c r="GO183" s="526"/>
      <c r="GP183" s="526"/>
      <c r="GQ183" s="526"/>
      <c r="GR183" s="526"/>
      <c r="GS183" s="526"/>
      <c r="GT183" s="526"/>
      <c r="GU183" s="526"/>
      <c r="GV183" s="526"/>
      <c r="GW183" s="526"/>
      <c r="GX183" s="526"/>
      <c r="GY183" s="526"/>
      <c r="GZ183" s="526"/>
      <c r="HA183" s="526"/>
      <c r="HB183" s="526"/>
      <c r="HC183" s="526"/>
      <c r="HD183" s="526"/>
      <c r="HE183" s="526"/>
      <c r="HF183" s="526"/>
      <c r="HG183" s="526"/>
      <c r="HH183" s="526"/>
      <c r="HI183" s="526"/>
      <c r="HJ183" s="526"/>
      <c r="HK183" s="526"/>
      <c r="HL183" s="526"/>
      <c r="HM183" s="526"/>
      <c r="HN183" s="526"/>
      <c r="HO183" s="526"/>
      <c r="HP183" s="526"/>
      <c r="HQ183" s="526"/>
      <c r="HR183" s="526"/>
      <c r="HS183" s="526"/>
      <c r="HT183" s="526"/>
      <c r="HU183" s="526"/>
      <c r="HV183" s="526"/>
      <c r="HW183" s="526"/>
      <c r="HX183" s="526"/>
      <c r="HY183" s="526"/>
      <c r="HZ183" s="526"/>
      <c r="IA183" s="526"/>
      <c r="IB183" s="526"/>
      <c r="IC183" s="526"/>
      <c r="ID183" s="526"/>
      <c r="IE183" s="526"/>
      <c r="IF183" s="526"/>
      <c r="IG183" s="526"/>
      <c r="IH183" s="526"/>
      <c r="II183" s="526"/>
      <c r="IJ183" s="526"/>
      <c r="IK183" s="526"/>
      <c r="IL183" s="526"/>
      <c r="IM183" s="526"/>
      <c r="IN183" s="526"/>
      <c r="IO183" s="526"/>
      <c r="IP183" s="526"/>
      <c r="IQ183" s="526"/>
    </row>
    <row r="184" spans="1:251" ht="18" customHeight="1">
      <c r="A184" s="525">
        <v>175</v>
      </c>
      <c r="B184" s="538"/>
      <c r="C184" s="543"/>
      <c r="D184" s="483" t="s">
        <v>1091</v>
      </c>
      <c r="E184" s="540"/>
      <c r="F184" s="541"/>
      <c r="G184" s="1460"/>
      <c r="H184" s="753"/>
      <c r="I184" s="1739">
        <f>SUM(I182:I183)</f>
        <v>114</v>
      </c>
      <c r="J184" s="1561">
        <f>SUM(J182:J183)</f>
        <v>86</v>
      </c>
      <c r="K184" s="540"/>
      <c r="L184" s="1238">
        <f>SUM(I184:K184)</f>
        <v>200</v>
      </c>
      <c r="M184" s="542"/>
      <c r="N184" s="526"/>
      <c r="O184" s="526"/>
      <c r="P184" s="526"/>
      <c r="Q184" s="526"/>
      <c r="R184" s="526"/>
      <c r="S184" s="526"/>
      <c r="T184" s="526"/>
      <c r="U184" s="526"/>
      <c r="V184" s="526"/>
      <c r="W184" s="526"/>
      <c r="X184" s="526"/>
      <c r="Y184" s="526"/>
      <c r="Z184" s="526"/>
      <c r="AA184" s="526"/>
      <c r="AB184" s="526"/>
      <c r="AC184" s="526"/>
      <c r="AD184" s="526"/>
      <c r="AE184" s="526"/>
      <c r="AF184" s="526"/>
      <c r="AG184" s="526"/>
      <c r="AH184" s="526"/>
      <c r="AI184" s="526"/>
      <c r="AJ184" s="526"/>
      <c r="AK184" s="526"/>
      <c r="AL184" s="526"/>
      <c r="AM184" s="526"/>
      <c r="AN184" s="526"/>
      <c r="AO184" s="526"/>
      <c r="AP184" s="526"/>
      <c r="AQ184" s="526"/>
      <c r="AR184" s="526"/>
      <c r="AS184" s="526"/>
      <c r="AT184" s="526"/>
      <c r="AU184" s="526"/>
      <c r="AV184" s="526"/>
      <c r="AW184" s="526"/>
      <c r="AX184" s="526"/>
      <c r="AY184" s="526"/>
      <c r="AZ184" s="526"/>
      <c r="BA184" s="526"/>
      <c r="BB184" s="526"/>
      <c r="BC184" s="526"/>
      <c r="BD184" s="526"/>
      <c r="BE184" s="526"/>
      <c r="BF184" s="526"/>
      <c r="BG184" s="526"/>
      <c r="BH184" s="526"/>
      <c r="BI184" s="526"/>
      <c r="BJ184" s="526"/>
      <c r="BK184" s="526"/>
      <c r="BL184" s="526"/>
      <c r="BM184" s="526"/>
      <c r="BN184" s="526"/>
      <c r="BO184" s="526"/>
      <c r="BP184" s="526"/>
      <c r="BQ184" s="526"/>
      <c r="BR184" s="526"/>
      <c r="BS184" s="526"/>
      <c r="BT184" s="526"/>
      <c r="BU184" s="526"/>
      <c r="BV184" s="526"/>
      <c r="BW184" s="526"/>
      <c r="BX184" s="526"/>
      <c r="BY184" s="526"/>
      <c r="BZ184" s="526"/>
      <c r="CA184" s="526"/>
      <c r="CB184" s="526"/>
      <c r="CC184" s="526"/>
      <c r="CD184" s="526"/>
      <c r="CE184" s="526"/>
      <c r="CF184" s="526"/>
      <c r="CG184" s="526"/>
      <c r="CH184" s="526"/>
      <c r="CI184" s="526"/>
      <c r="CJ184" s="526"/>
      <c r="CK184" s="526"/>
      <c r="CL184" s="526"/>
      <c r="CM184" s="526"/>
      <c r="CN184" s="526"/>
      <c r="CO184" s="526"/>
      <c r="CP184" s="526"/>
      <c r="CQ184" s="526"/>
      <c r="CR184" s="526"/>
      <c r="CS184" s="526"/>
      <c r="CT184" s="526"/>
      <c r="CU184" s="526"/>
      <c r="CV184" s="526"/>
      <c r="CW184" s="526"/>
      <c r="CX184" s="526"/>
      <c r="CY184" s="526"/>
      <c r="CZ184" s="526"/>
      <c r="DA184" s="526"/>
      <c r="DB184" s="526"/>
      <c r="DC184" s="526"/>
      <c r="DD184" s="526"/>
      <c r="DE184" s="526"/>
      <c r="DF184" s="526"/>
      <c r="DG184" s="526"/>
      <c r="DH184" s="526"/>
      <c r="DI184" s="526"/>
      <c r="DJ184" s="526"/>
      <c r="DK184" s="526"/>
      <c r="DL184" s="526"/>
      <c r="DM184" s="526"/>
      <c r="DN184" s="526"/>
      <c r="DO184" s="526"/>
      <c r="DP184" s="526"/>
      <c r="DQ184" s="526"/>
      <c r="DR184" s="526"/>
      <c r="DS184" s="526"/>
      <c r="DT184" s="526"/>
      <c r="DU184" s="526"/>
      <c r="DV184" s="526"/>
      <c r="DW184" s="526"/>
      <c r="DX184" s="526"/>
      <c r="DY184" s="526"/>
      <c r="DZ184" s="526"/>
      <c r="EA184" s="526"/>
      <c r="EB184" s="526"/>
      <c r="EC184" s="526"/>
      <c r="ED184" s="526"/>
      <c r="EE184" s="526"/>
      <c r="EF184" s="526"/>
      <c r="EG184" s="526"/>
      <c r="EH184" s="526"/>
      <c r="EI184" s="526"/>
      <c r="EJ184" s="526"/>
      <c r="EK184" s="526"/>
      <c r="EL184" s="526"/>
      <c r="EM184" s="526"/>
      <c r="EN184" s="526"/>
      <c r="EO184" s="526"/>
      <c r="EP184" s="526"/>
      <c r="EQ184" s="526"/>
      <c r="ER184" s="526"/>
      <c r="ES184" s="526"/>
      <c r="ET184" s="526"/>
      <c r="EU184" s="526"/>
      <c r="EV184" s="526"/>
      <c r="EW184" s="526"/>
      <c r="EX184" s="526"/>
      <c r="EY184" s="526"/>
      <c r="EZ184" s="526"/>
      <c r="FA184" s="526"/>
      <c r="FB184" s="526"/>
      <c r="FC184" s="526"/>
      <c r="FD184" s="526"/>
      <c r="FE184" s="526"/>
      <c r="FF184" s="526"/>
      <c r="FG184" s="526"/>
      <c r="FH184" s="526"/>
      <c r="FI184" s="526"/>
      <c r="FJ184" s="526"/>
      <c r="FK184" s="526"/>
      <c r="FL184" s="526"/>
      <c r="FM184" s="526"/>
      <c r="FN184" s="526"/>
      <c r="FO184" s="526"/>
      <c r="FP184" s="526"/>
      <c r="FQ184" s="526"/>
      <c r="FR184" s="526"/>
      <c r="FS184" s="526"/>
      <c r="FT184" s="526"/>
      <c r="FU184" s="526"/>
      <c r="FV184" s="526"/>
      <c r="FW184" s="526"/>
      <c r="FX184" s="526"/>
      <c r="FY184" s="526"/>
      <c r="FZ184" s="526"/>
      <c r="GA184" s="526"/>
      <c r="GB184" s="526"/>
      <c r="GC184" s="526"/>
      <c r="GD184" s="526"/>
      <c r="GE184" s="526"/>
      <c r="GF184" s="526"/>
      <c r="GG184" s="526"/>
      <c r="GH184" s="526"/>
      <c r="GI184" s="526"/>
      <c r="GJ184" s="526"/>
      <c r="GK184" s="526"/>
      <c r="GL184" s="526"/>
      <c r="GM184" s="526"/>
      <c r="GN184" s="526"/>
      <c r="GO184" s="526"/>
      <c r="GP184" s="526"/>
      <c r="GQ184" s="526"/>
      <c r="GR184" s="526"/>
      <c r="GS184" s="526"/>
      <c r="GT184" s="526"/>
      <c r="GU184" s="526"/>
      <c r="GV184" s="526"/>
      <c r="GW184" s="526"/>
      <c r="GX184" s="526"/>
      <c r="GY184" s="526"/>
      <c r="GZ184" s="526"/>
      <c r="HA184" s="526"/>
      <c r="HB184" s="526"/>
      <c r="HC184" s="526"/>
      <c r="HD184" s="526"/>
      <c r="HE184" s="526"/>
      <c r="HF184" s="526"/>
      <c r="HG184" s="526"/>
      <c r="HH184" s="526"/>
      <c r="HI184" s="526"/>
      <c r="HJ184" s="526"/>
      <c r="HK184" s="526"/>
      <c r="HL184" s="526"/>
      <c r="HM184" s="526"/>
      <c r="HN184" s="526"/>
      <c r="HO184" s="526"/>
      <c r="HP184" s="526"/>
      <c r="HQ184" s="526"/>
      <c r="HR184" s="526"/>
      <c r="HS184" s="526"/>
      <c r="HT184" s="526"/>
      <c r="HU184" s="526"/>
      <c r="HV184" s="526"/>
      <c r="HW184" s="526"/>
      <c r="HX184" s="526"/>
      <c r="HY184" s="526"/>
      <c r="HZ184" s="526"/>
      <c r="IA184" s="526"/>
      <c r="IB184" s="526"/>
      <c r="IC184" s="526"/>
      <c r="ID184" s="526"/>
      <c r="IE184" s="526"/>
      <c r="IF184" s="526"/>
      <c r="IG184" s="526"/>
      <c r="IH184" s="526"/>
      <c r="II184" s="526"/>
      <c r="IJ184" s="526"/>
      <c r="IK184" s="526"/>
      <c r="IL184" s="526"/>
      <c r="IM184" s="526"/>
      <c r="IN184" s="526"/>
      <c r="IO184" s="526"/>
      <c r="IP184" s="526"/>
      <c r="IQ184" s="526"/>
    </row>
    <row r="185" spans="1:251" ht="33.75" customHeight="1">
      <c r="A185" s="525">
        <v>176</v>
      </c>
      <c r="B185" s="538"/>
      <c r="C185" s="543">
        <v>36</v>
      </c>
      <c r="D185" s="1013" t="s">
        <v>638</v>
      </c>
      <c r="E185" s="540">
        <f>F185+G185+L189+M186</f>
        <v>275</v>
      </c>
      <c r="F185" s="541"/>
      <c r="G185" s="1460"/>
      <c r="H185" s="753" t="s">
        <v>23</v>
      </c>
      <c r="I185" s="728"/>
      <c r="J185" s="1297"/>
      <c r="K185" s="1297"/>
      <c r="L185" s="512"/>
      <c r="M185" s="542"/>
      <c r="N185" s="526"/>
      <c r="O185" s="526"/>
      <c r="P185" s="526"/>
      <c r="Q185" s="526"/>
      <c r="R185" s="526"/>
      <c r="S185" s="526"/>
      <c r="T185" s="526"/>
      <c r="U185" s="526"/>
      <c r="V185" s="526"/>
      <c r="W185" s="526"/>
      <c r="X185" s="526"/>
      <c r="Y185" s="526"/>
      <c r="Z185" s="526"/>
      <c r="AA185" s="526"/>
      <c r="AB185" s="526"/>
      <c r="AC185" s="526"/>
      <c r="AD185" s="526"/>
      <c r="AE185" s="526"/>
      <c r="AF185" s="526"/>
      <c r="AG185" s="526"/>
      <c r="AH185" s="526"/>
      <c r="AI185" s="526"/>
      <c r="AJ185" s="526"/>
      <c r="AK185" s="526"/>
      <c r="AL185" s="526"/>
      <c r="AM185" s="526"/>
      <c r="AN185" s="526"/>
      <c r="AO185" s="526"/>
      <c r="AP185" s="526"/>
      <c r="AQ185" s="526"/>
      <c r="AR185" s="526"/>
      <c r="AS185" s="526"/>
      <c r="AT185" s="526"/>
      <c r="AU185" s="526"/>
      <c r="AV185" s="526"/>
      <c r="AW185" s="526"/>
      <c r="AX185" s="526"/>
      <c r="AY185" s="526"/>
      <c r="AZ185" s="526"/>
      <c r="BA185" s="526"/>
      <c r="BB185" s="526"/>
      <c r="BC185" s="526"/>
      <c r="BD185" s="526"/>
      <c r="BE185" s="526"/>
      <c r="BF185" s="526"/>
      <c r="BG185" s="526"/>
      <c r="BH185" s="526"/>
      <c r="BI185" s="526"/>
      <c r="BJ185" s="526"/>
      <c r="BK185" s="526"/>
      <c r="BL185" s="526"/>
      <c r="BM185" s="526"/>
      <c r="BN185" s="526"/>
      <c r="BO185" s="526"/>
      <c r="BP185" s="526"/>
      <c r="BQ185" s="526"/>
      <c r="BR185" s="526"/>
      <c r="BS185" s="526"/>
      <c r="BT185" s="526"/>
      <c r="BU185" s="526"/>
      <c r="BV185" s="526"/>
      <c r="BW185" s="526"/>
      <c r="BX185" s="526"/>
      <c r="BY185" s="526"/>
      <c r="BZ185" s="526"/>
      <c r="CA185" s="526"/>
      <c r="CB185" s="526"/>
      <c r="CC185" s="526"/>
      <c r="CD185" s="526"/>
      <c r="CE185" s="526"/>
      <c r="CF185" s="526"/>
      <c r="CG185" s="526"/>
      <c r="CH185" s="526"/>
      <c r="CI185" s="526"/>
      <c r="CJ185" s="526"/>
      <c r="CK185" s="526"/>
      <c r="CL185" s="526"/>
      <c r="CM185" s="526"/>
      <c r="CN185" s="526"/>
      <c r="CO185" s="526"/>
      <c r="CP185" s="526"/>
      <c r="CQ185" s="526"/>
      <c r="CR185" s="526"/>
      <c r="CS185" s="526"/>
      <c r="CT185" s="526"/>
      <c r="CU185" s="526"/>
      <c r="CV185" s="526"/>
      <c r="CW185" s="526"/>
      <c r="CX185" s="526"/>
      <c r="CY185" s="526"/>
      <c r="CZ185" s="526"/>
      <c r="DA185" s="526"/>
      <c r="DB185" s="526"/>
      <c r="DC185" s="526"/>
      <c r="DD185" s="526"/>
      <c r="DE185" s="526"/>
      <c r="DF185" s="526"/>
      <c r="DG185" s="526"/>
      <c r="DH185" s="526"/>
      <c r="DI185" s="526"/>
      <c r="DJ185" s="526"/>
      <c r="DK185" s="526"/>
      <c r="DL185" s="526"/>
      <c r="DM185" s="526"/>
      <c r="DN185" s="526"/>
      <c r="DO185" s="526"/>
      <c r="DP185" s="526"/>
      <c r="DQ185" s="526"/>
      <c r="DR185" s="526"/>
      <c r="DS185" s="526"/>
      <c r="DT185" s="526"/>
      <c r="DU185" s="526"/>
      <c r="DV185" s="526"/>
      <c r="DW185" s="526"/>
      <c r="DX185" s="526"/>
      <c r="DY185" s="526"/>
      <c r="DZ185" s="526"/>
      <c r="EA185" s="526"/>
      <c r="EB185" s="526"/>
      <c r="EC185" s="526"/>
      <c r="ED185" s="526"/>
      <c r="EE185" s="526"/>
      <c r="EF185" s="526"/>
      <c r="EG185" s="526"/>
      <c r="EH185" s="526"/>
      <c r="EI185" s="526"/>
      <c r="EJ185" s="526"/>
      <c r="EK185" s="526"/>
      <c r="EL185" s="526"/>
      <c r="EM185" s="526"/>
      <c r="EN185" s="526"/>
      <c r="EO185" s="526"/>
      <c r="EP185" s="526"/>
      <c r="EQ185" s="526"/>
      <c r="ER185" s="526"/>
      <c r="ES185" s="526"/>
      <c r="ET185" s="526"/>
      <c r="EU185" s="526"/>
      <c r="EV185" s="526"/>
      <c r="EW185" s="526"/>
      <c r="EX185" s="526"/>
      <c r="EY185" s="526"/>
      <c r="EZ185" s="526"/>
      <c r="FA185" s="526"/>
      <c r="FB185" s="526"/>
      <c r="FC185" s="526"/>
      <c r="FD185" s="526"/>
      <c r="FE185" s="526"/>
      <c r="FF185" s="526"/>
      <c r="FG185" s="526"/>
      <c r="FH185" s="526"/>
      <c r="FI185" s="526"/>
      <c r="FJ185" s="526"/>
      <c r="FK185" s="526"/>
      <c r="FL185" s="526"/>
      <c r="FM185" s="526"/>
      <c r="FN185" s="526"/>
      <c r="FO185" s="526"/>
      <c r="FP185" s="526"/>
      <c r="FQ185" s="526"/>
      <c r="FR185" s="526"/>
      <c r="FS185" s="526"/>
      <c r="FT185" s="526"/>
      <c r="FU185" s="526"/>
      <c r="FV185" s="526"/>
      <c r="FW185" s="526"/>
      <c r="FX185" s="526"/>
      <c r="FY185" s="526"/>
      <c r="FZ185" s="526"/>
      <c r="GA185" s="526"/>
      <c r="GB185" s="526"/>
      <c r="GC185" s="526"/>
      <c r="GD185" s="526"/>
      <c r="GE185" s="526"/>
      <c r="GF185" s="526"/>
      <c r="GG185" s="526"/>
      <c r="GH185" s="526"/>
      <c r="GI185" s="526"/>
      <c r="GJ185" s="526"/>
      <c r="GK185" s="526"/>
      <c r="GL185" s="526"/>
      <c r="GM185" s="526"/>
      <c r="GN185" s="526"/>
      <c r="GO185" s="526"/>
      <c r="GP185" s="526"/>
      <c r="GQ185" s="526"/>
      <c r="GR185" s="526"/>
      <c r="GS185" s="526"/>
      <c r="GT185" s="526"/>
      <c r="GU185" s="526"/>
      <c r="GV185" s="526"/>
      <c r="GW185" s="526"/>
      <c r="GX185" s="526"/>
      <c r="GY185" s="526"/>
      <c r="GZ185" s="526"/>
      <c r="HA185" s="526"/>
      <c r="HB185" s="526"/>
      <c r="HC185" s="526"/>
      <c r="HD185" s="526"/>
      <c r="HE185" s="526"/>
      <c r="HF185" s="526"/>
      <c r="HG185" s="526"/>
      <c r="HH185" s="526"/>
      <c r="HI185" s="526"/>
      <c r="HJ185" s="526"/>
      <c r="HK185" s="526"/>
      <c r="HL185" s="526"/>
      <c r="HM185" s="526"/>
      <c r="HN185" s="526"/>
      <c r="HO185" s="526"/>
      <c r="HP185" s="526"/>
      <c r="HQ185" s="526"/>
      <c r="HR185" s="526"/>
      <c r="HS185" s="526"/>
      <c r="HT185" s="526"/>
      <c r="HU185" s="526"/>
      <c r="HV185" s="526"/>
      <c r="HW185" s="526"/>
      <c r="HX185" s="526"/>
      <c r="HY185" s="526"/>
      <c r="HZ185" s="526"/>
      <c r="IA185" s="526"/>
      <c r="IB185" s="526"/>
      <c r="IC185" s="526"/>
      <c r="ID185" s="526"/>
      <c r="IE185" s="526"/>
      <c r="IF185" s="526"/>
      <c r="IG185" s="526"/>
      <c r="IH185" s="526"/>
      <c r="II185" s="526"/>
      <c r="IJ185" s="526"/>
      <c r="IK185" s="526"/>
      <c r="IL185" s="526"/>
      <c r="IM185" s="526"/>
      <c r="IN185" s="526"/>
      <c r="IO185" s="526"/>
      <c r="IP185" s="526"/>
      <c r="IQ185" s="526"/>
    </row>
    <row r="186" spans="1:251" ht="18" customHeight="1">
      <c r="A186" s="525">
        <v>177</v>
      </c>
      <c r="B186" s="538"/>
      <c r="C186" s="543"/>
      <c r="D186" s="594" t="s">
        <v>283</v>
      </c>
      <c r="E186" s="540"/>
      <c r="F186" s="541"/>
      <c r="G186" s="1460"/>
      <c r="H186" s="753"/>
      <c r="I186" s="728"/>
      <c r="J186" s="1422">
        <v>275</v>
      </c>
      <c r="K186" s="1422"/>
      <c r="L186" s="1423">
        <f>SUM(I186:K186)</f>
        <v>275</v>
      </c>
      <c r="M186" s="542"/>
      <c r="N186" s="526"/>
      <c r="O186" s="526"/>
      <c r="P186" s="526"/>
      <c r="Q186" s="526"/>
      <c r="R186" s="526"/>
      <c r="S186" s="526"/>
      <c r="T186" s="526"/>
      <c r="U186" s="526"/>
      <c r="V186" s="526"/>
      <c r="W186" s="526"/>
      <c r="X186" s="526"/>
      <c r="Y186" s="526"/>
      <c r="Z186" s="526"/>
      <c r="AA186" s="526"/>
      <c r="AB186" s="526"/>
      <c r="AC186" s="526"/>
      <c r="AD186" s="526"/>
      <c r="AE186" s="526"/>
      <c r="AF186" s="526"/>
      <c r="AG186" s="526"/>
      <c r="AH186" s="526"/>
      <c r="AI186" s="526"/>
      <c r="AJ186" s="526"/>
      <c r="AK186" s="526"/>
      <c r="AL186" s="526"/>
      <c r="AM186" s="526"/>
      <c r="AN186" s="526"/>
      <c r="AO186" s="526"/>
      <c r="AP186" s="526"/>
      <c r="AQ186" s="526"/>
      <c r="AR186" s="526"/>
      <c r="AS186" s="526"/>
      <c r="AT186" s="526"/>
      <c r="AU186" s="526"/>
      <c r="AV186" s="526"/>
      <c r="AW186" s="526"/>
      <c r="AX186" s="526"/>
      <c r="AY186" s="526"/>
      <c r="AZ186" s="526"/>
      <c r="BA186" s="526"/>
      <c r="BB186" s="526"/>
      <c r="BC186" s="526"/>
      <c r="BD186" s="526"/>
      <c r="BE186" s="526"/>
      <c r="BF186" s="526"/>
      <c r="BG186" s="526"/>
      <c r="BH186" s="526"/>
      <c r="BI186" s="526"/>
      <c r="BJ186" s="526"/>
      <c r="BK186" s="526"/>
      <c r="BL186" s="526"/>
      <c r="BM186" s="526"/>
      <c r="BN186" s="526"/>
      <c r="BO186" s="526"/>
      <c r="BP186" s="526"/>
      <c r="BQ186" s="526"/>
      <c r="BR186" s="526"/>
      <c r="BS186" s="526"/>
      <c r="BT186" s="526"/>
      <c r="BU186" s="526"/>
      <c r="BV186" s="526"/>
      <c r="BW186" s="526"/>
      <c r="BX186" s="526"/>
      <c r="BY186" s="526"/>
      <c r="BZ186" s="526"/>
      <c r="CA186" s="526"/>
      <c r="CB186" s="526"/>
      <c r="CC186" s="526"/>
      <c r="CD186" s="526"/>
      <c r="CE186" s="526"/>
      <c r="CF186" s="526"/>
      <c r="CG186" s="526"/>
      <c r="CH186" s="526"/>
      <c r="CI186" s="526"/>
      <c r="CJ186" s="526"/>
      <c r="CK186" s="526"/>
      <c r="CL186" s="526"/>
      <c r="CM186" s="526"/>
      <c r="CN186" s="526"/>
      <c r="CO186" s="526"/>
      <c r="CP186" s="526"/>
      <c r="CQ186" s="526"/>
      <c r="CR186" s="526"/>
      <c r="CS186" s="526"/>
      <c r="CT186" s="526"/>
      <c r="CU186" s="526"/>
      <c r="CV186" s="526"/>
      <c r="CW186" s="526"/>
      <c r="CX186" s="526"/>
      <c r="CY186" s="526"/>
      <c r="CZ186" s="526"/>
      <c r="DA186" s="526"/>
      <c r="DB186" s="526"/>
      <c r="DC186" s="526"/>
      <c r="DD186" s="526"/>
      <c r="DE186" s="526"/>
      <c r="DF186" s="526"/>
      <c r="DG186" s="526"/>
      <c r="DH186" s="526"/>
      <c r="DI186" s="526"/>
      <c r="DJ186" s="526"/>
      <c r="DK186" s="526"/>
      <c r="DL186" s="526"/>
      <c r="DM186" s="526"/>
      <c r="DN186" s="526"/>
      <c r="DO186" s="526"/>
      <c r="DP186" s="526"/>
      <c r="DQ186" s="526"/>
      <c r="DR186" s="526"/>
      <c r="DS186" s="526"/>
      <c r="DT186" s="526"/>
      <c r="DU186" s="526"/>
      <c r="DV186" s="526"/>
      <c r="DW186" s="526"/>
      <c r="DX186" s="526"/>
      <c r="DY186" s="526"/>
      <c r="DZ186" s="526"/>
      <c r="EA186" s="526"/>
      <c r="EB186" s="526"/>
      <c r="EC186" s="526"/>
      <c r="ED186" s="526"/>
      <c r="EE186" s="526"/>
      <c r="EF186" s="526"/>
      <c r="EG186" s="526"/>
      <c r="EH186" s="526"/>
      <c r="EI186" s="526"/>
      <c r="EJ186" s="526"/>
      <c r="EK186" s="526"/>
      <c r="EL186" s="526"/>
      <c r="EM186" s="526"/>
      <c r="EN186" s="526"/>
      <c r="EO186" s="526"/>
      <c r="EP186" s="526"/>
      <c r="EQ186" s="526"/>
      <c r="ER186" s="526"/>
      <c r="ES186" s="526"/>
      <c r="ET186" s="526"/>
      <c r="EU186" s="526"/>
      <c r="EV186" s="526"/>
      <c r="EW186" s="526"/>
      <c r="EX186" s="526"/>
      <c r="EY186" s="526"/>
      <c r="EZ186" s="526"/>
      <c r="FA186" s="526"/>
      <c r="FB186" s="526"/>
      <c r="FC186" s="526"/>
      <c r="FD186" s="526"/>
      <c r="FE186" s="526"/>
      <c r="FF186" s="526"/>
      <c r="FG186" s="526"/>
      <c r="FH186" s="526"/>
      <c r="FI186" s="526"/>
      <c r="FJ186" s="526"/>
      <c r="FK186" s="526"/>
      <c r="FL186" s="526"/>
      <c r="FM186" s="526"/>
      <c r="FN186" s="526"/>
      <c r="FO186" s="526"/>
      <c r="FP186" s="526"/>
      <c r="FQ186" s="526"/>
      <c r="FR186" s="526"/>
      <c r="FS186" s="526"/>
      <c r="FT186" s="526"/>
      <c r="FU186" s="526"/>
      <c r="FV186" s="526"/>
      <c r="FW186" s="526"/>
      <c r="FX186" s="526"/>
      <c r="FY186" s="526"/>
      <c r="FZ186" s="526"/>
      <c r="GA186" s="526"/>
      <c r="GB186" s="526"/>
      <c r="GC186" s="526"/>
      <c r="GD186" s="526"/>
      <c r="GE186" s="526"/>
      <c r="GF186" s="526"/>
      <c r="GG186" s="526"/>
      <c r="GH186" s="526"/>
      <c r="GI186" s="526"/>
      <c r="GJ186" s="526"/>
      <c r="GK186" s="526"/>
      <c r="GL186" s="526"/>
      <c r="GM186" s="526"/>
      <c r="GN186" s="526"/>
      <c r="GO186" s="526"/>
      <c r="GP186" s="526"/>
      <c r="GQ186" s="526"/>
      <c r="GR186" s="526"/>
      <c r="GS186" s="526"/>
      <c r="GT186" s="526"/>
      <c r="GU186" s="526"/>
      <c r="GV186" s="526"/>
      <c r="GW186" s="526"/>
      <c r="GX186" s="526"/>
      <c r="GY186" s="526"/>
      <c r="GZ186" s="526"/>
      <c r="HA186" s="526"/>
      <c r="HB186" s="526"/>
      <c r="HC186" s="526"/>
      <c r="HD186" s="526"/>
      <c r="HE186" s="526"/>
      <c r="HF186" s="526"/>
      <c r="HG186" s="526"/>
      <c r="HH186" s="526"/>
      <c r="HI186" s="526"/>
      <c r="HJ186" s="526"/>
      <c r="HK186" s="526"/>
      <c r="HL186" s="526"/>
      <c r="HM186" s="526"/>
      <c r="HN186" s="526"/>
      <c r="HO186" s="526"/>
      <c r="HP186" s="526"/>
      <c r="HQ186" s="526"/>
      <c r="HR186" s="526"/>
      <c r="HS186" s="526"/>
      <c r="HT186" s="526"/>
      <c r="HU186" s="526"/>
      <c r="HV186" s="526"/>
      <c r="HW186" s="526"/>
      <c r="HX186" s="526"/>
      <c r="HY186" s="526"/>
      <c r="HZ186" s="526"/>
      <c r="IA186" s="526"/>
      <c r="IB186" s="526"/>
      <c r="IC186" s="526"/>
      <c r="ID186" s="526"/>
      <c r="IE186" s="526"/>
      <c r="IF186" s="526"/>
      <c r="IG186" s="526"/>
      <c r="IH186" s="526"/>
      <c r="II186" s="526"/>
      <c r="IJ186" s="526"/>
      <c r="IK186" s="526"/>
      <c r="IL186" s="526"/>
      <c r="IM186" s="526"/>
      <c r="IN186" s="526"/>
      <c r="IO186" s="526"/>
      <c r="IP186" s="526"/>
      <c r="IQ186" s="526"/>
    </row>
    <row r="187" spans="1:251" ht="18" customHeight="1">
      <c r="A187" s="525">
        <v>178</v>
      </c>
      <c r="B187" s="538"/>
      <c r="C187" s="543"/>
      <c r="D187" s="483" t="s">
        <v>938</v>
      </c>
      <c r="E187" s="540"/>
      <c r="F187" s="541"/>
      <c r="G187" s="1460"/>
      <c r="H187" s="753"/>
      <c r="I187" s="728"/>
      <c r="J187" s="1561">
        <v>275</v>
      </c>
      <c r="K187" s="1561"/>
      <c r="L187" s="1669">
        <f>SUM(I187:K187)</f>
        <v>275</v>
      </c>
      <c r="M187" s="542"/>
      <c r="N187" s="526"/>
      <c r="O187" s="526"/>
      <c r="P187" s="526"/>
      <c r="Q187" s="526"/>
      <c r="R187" s="526"/>
      <c r="S187" s="526"/>
      <c r="T187" s="526"/>
      <c r="U187" s="526"/>
      <c r="V187" s="526"/>
      <c r="W187" s="526"/>
      <c r="X187" s="526"/>
      <c r="Y187" s="526"/>
      <c r="Z187" s="526"/>
      <c r="AA187" s="526"/>
      <c r="AB187" s="526"/>
      <c r="AC187" s="526"/>
      <c r="AD187" s="526"/>
      <c r="AE187" s="526"/>
      <c r="AF187" s="526"/>
      <c r="AG187" s="526"/>
      <c r="AH187" s="526"/>
      <c r="AI187" s="526"/>
      <c r="AJ187" s="526"/>
      <c r="AK187" s="526"/>
      <c r="AL187" s="526"/>
      <c r="AM187" s="526"/>
      <c r="AN187" s="526"/>
      <c r="AO187" s="526"/>
      <c r="AP187" s="526"/>
      <c r="AQ187" s="526"/>
      <c r="AR187" s="526"/>
      <c r="AS187" s="526"/>
      <c r="AT187" s="526"/>
      <c r="AU187" s="526"/>
      <c r="AV187" s="526"/>
      <c r="AW187" s="526"/>
      <c r="AX187" s="526"/>
      <c r="AY187" s="526"/>
      <c r="AZ187" s="526"/>
      <c r="BA187" s="526"/>
      <c r="BB187" s="526"/>
      <c r="BC187" s="526"/>
      <c r="BD187" s="526"/>
      <c r="BE187" s="526"/>
      <c r="BF187" s="526"/>
      <c r="BG187" s="526"/>
      <c r="BH187" s="526"/>
      <c r="BI187" s="526"/>
      <c r="BJ187" s="526"/>
      <c r="BK187" s="526"/>
      <c r="BL187" s="526"/>
      <c r="BM187" s="526"/>
      <c r="BN187" s="526"/>
      <c r="BO187" s="526"/>
      <c r="BP187" s="526"/>
      <c r="BQ187" s="526"/>
      <c r="BR187" s="526"/>
      <c r="BS187" s="526"/>
      <c r="BT187" s="526"/>
      <c r="BU187" s="526"/>
      <c r="BV187" s="526"/>
      <c r="BW187" s="526"/>
      <c r="BX187" s="526"/>
      <c r="BY187" s="526"/>
      <c r="BZ187" s="526"/>
      <c r="CA187" s="526"/>
      <c r="CB187" s="526"/>
      <c r="CC187" s="526"/>
      <c r="CD187" s="526"/>
      <c r="CE187" s="526"/>
      <c r="CF187" s="526"/>
      <c r="CG187" s="526"/>
      <c r="CH187" s="526"/>
      <c r="CI187" s="526"/>
      <c r="CJ187" s="526"/>
      <c r="CK187" s="526"/>
      <c r="CL187" s="526"/>
      <c r="CM187" s="526"/>
      <c r="CN187" s="526"/>
      <c r="CO187" s="526"/>
      <c r="CP187" s="526"/>
      <c r="CQ187" s="526"/>
      <c r="CR187" s="526"/>
      <c r="CS187" s="526"/>
      <c r="CT187" s="526"/>
      <c r="CU187" s="526"/>
      <c r="CV187" s="526"/>
      <c r="CW187" s="526"/>
      <c r="CX187" s="526"/>
      <c r="CY187" s="526"/>
      <c r="CZ187" s="526"/>
      <c r="DA187" s="526"/>
      <c r="DB187" s="526"/>
      <c r="DC187" s="526"/>
      <c r="DD187" s="526"/>
      <c r="DE187" s="526"/>
      <c r="DF187" s="526"/>
      <c r="DG187" s="526"/>
      <c r="DH187" s="526"/>
      <c r="DI187" s="526"/>
      <c r="DJ187" s="526"/>
      <c r="DK187" s="526"/>
      <c r="DL187" s="526"/>
      <c r="DM187" s="526"/>
      <c r="DN187" s="526"/>
      <c r="DO187" s="526"/>
      <c r="DP187" s="526"/>
      <c r="DQ187" s="526"/>
      <c r="DR187" s="526"/>
      <c r="DS187" s="526"/>
      <c r="DT187" s="526"/>
      <c r="DU187" s="526"/>
      <c r="DV187" s="526"/>
      <c r="DW187" s="526"/>
      <c r="DX187" s="526"/>
      <c r="DY187" s="526"/>
      <c r="DZ187" s="526"/>
      <c r="EA187" s="526"/>
      <c r="EB187" s="526"/>
      <c r="EC187" s="526"/>
      <c r="ED187" s="526"/>
      <c r="EE187" s="526"/>
      <c r="EF187" s="526"/>
      <c r="EG187" s="526"/>
      <c r="EH187" s="526"/>
      <c r="EI187" s="526"/>
      <c r="EJ187" s="526"/>
      <c r="EK187" s="526"/>
      <c r="EL187" s="526"/>
      <c r="EM187" s="526"/>
      <c r="EN187" s="526"/>
      <c r="EO187" s="526"/>
      <c r="EP187" s="526"/>
      <c r="EQ187" s="526"/>
      <c r="ER187" s="526"/>
      <c r="ES187" s="526"/>
      <c r="ET187" s="526"/>
      <c r="EU187" s="526"/>
      <c r="EV187" s="526"/>
      <c r="EW187" s="526"/>
      <c r="EX187" s="526"/>
      <c r="EY187" s="526"/>
      <c r="EZ187" s="526"/>
      <c r="FA187" s="526"/>
      <c r="FB187" s="526"/>
      <c r="FC187" s="526"/>
      <c r="FD187" s="526"/>
      <c r="FE187" s="526"/>
      <c r="FF187" s="526"/>
      <c r="FG187" s="526"/>
      <c r="FH187" s="526"/>
      <c r="FI187" s="526"/>
      <c r="FJ187" s="526"/>
      <c r="FK187" s="526"/>
      <c r="FL187" s="526"/>
      <c r="FM187" s="526"/>
      <c r="FN187" s="526"/>
      <c r="FO187" s="526"/>
      <c r="FP187" s="526"/>
      <c r="FQ187" s="526"/>
      <c r="FR187" s="526"/>
      <c r="FS187" s="526"/>
      <c r="FT187" s="526"/>
      <c r="FU187" s="526"/>
      <c r="FV187" s="526"/>
      <c r="FW187" s="526"/>
      <c r="FX187" s="526"/>
      <c r="FY187" s="526"/>
      <c r="FZ187" s="526"/>
      <c r="GA187" s="526"/>
      <c r="GB187" s="526"/>
      <c r="GC187" s="526"/>
      <c r="GD187" s="526"/>
      <c r="GE187" s="526"/>
      <c r="GF187" s="526"/>
      <c r="GG187" s="526"/>
      <c r="GH187" s="526"/>
      <c r="GI187" s="526"/>
      <c r="GJ187" s="526"/>
      <c r="GK187" s="526"/>
      <c r="GL187" s="526"/>
      <c r="GM187" s="526"/>
      <c r="GN187" s="526"/>
      <c r="GO187" s="526"/>
      <c r="GP187" s="526"/>
      <c r="GQ187" s="526"/>
      <c r="GR187" s="526"/>
      <c r="GS187" s="526"/>
      <c r="GT187" s="526"/>
      <c r="GU187" s="526"/>
      <c r="GV187" s="526"/>
      <c r="GW187" s="526"/>
      <c r="GX187" s="526"/>
      <c r="GY187" s="526"/>
      <c r="GZ187" s="526"/>
      <c r="HA187" s="526"/>
      <c r="HB187" s="526"/>
      <c r="HC187" s="526"/>
      <c r="HD187" s="526"/>
      <c r="HE187" s="526"/>
      <c r="HF187" s="526"/>
      <c r="HG187" s="526"/>
      <c r="HH187" s="526"/>
      <c r="HI187" s="526"/>
      <c r="HJ187" s="526"/>
      <c r="HK187" s="526"/>
      <c r="HL187" s="526"/>
      <c r="HM187" s="526"/>
      <c r="HN187" s="526"/>
      <c r="HO187" s="526"/>
      <c r="HP187" s="526"/>
      <c r="HQ187" s="526"/>
      <c r="HR187" s="526"/>
      <c r="HS187" s="526"/>
      <c r="HT187" s="526"/>
      <c r="HU187" s="526"/>
      <c r="HV187" s="526"/>
      <c r="HW187" s="526"/>
      <c r="HX187" s="526"/>
      <c r="HY187" s="526"/>
      <c r="HZ187" s="526"/>
      <c r="IA187" s="526"/>
      <c r="IB187" s="526"/>
      <c r="IC187" s="526"/>
      <c r="ID187" s="526"/>
      <c r="IE187" s="526"/>
      <c r="IF187" s="526"/>
      <c r="IG187" s="526"/>
      <c r="IH187" s="526"/>
      <c r="II187" s="526"/>
      <c r="IJ187" s="526"/>
      <c r="IK187" s="526"/>
      <c r="IL187" s="526"/>
      <c r="IM187" s="526"/>
      <c r="IN187" s="526"/>
      <c r="IO187" s="526"/>
      <c r="IP187" s="526"/>
      <c r="IQ187" s="526"/>
    </row>
    <row r="188" spans="1:251" ht="18" customHeight="1">
      <c r="A188" s="525">
        <v>179</v>
      </c>
      <c r="B188" s="538"/>
      <c r="C188" s="543"/>
      <c r="D188" s="1146" t="s">
        <v>674</v>
      </c>
      <c r="E188" s="540"/>
      <c r="F188" s="541"/>
      <c r="G188" s="1460"/>
      <c r="H188" s="753"/>
      <c r="I188" s="728"/>
      <c r="J188" s="540"/>
      <c r="K188" s="540"/>
      <c r="L188" s="1241">
        <f>SUM(I188:K188)</f>
        <v>0</v>
      </c>
      <c r="M188" s="542"/>
      <c r="N188" s="526"/>
      <c r="O188" s="526"/>
      <c r="P188" s="526"/>
      <c r="Q188" s="526"/>
      <c r="R188" s="526"/>
      <c r="S188" s="526"/>
      <c r="T188" s="526"/>
      <c r="U188" s="526"/>
      <c r="V188" s="526"/>
      <c r="W188" s="526"/>
      <c r="X188" s="526"/>
      <c r="Y188" s="526"/>
      <c r="Z188" s="526"/>
      <c r="AA188" s="526"/>
      <c r="AB188" s="526"/>
      <c r="AC188" s="526"/>
      <c r="AD188" s="526"/>
      <c r="AE188" s="526"/>
      <c r="AF188" s="526"/>
      <c r="AG188" s="526"/>
      <c r="AH188" s="526"/>
      <c r="AI188" s="526"/>
      <c r="AJ188" s="526"/>
      <c r="AK188" s="526"/>
      <c r="AL188" s="526"/>
      <c r="AM188" s="526"/>
      <c r="AN188" s="526"/>
      <c r="AO188" s="526"/>
      <c r="AP188" s="526"/>
      <c r="AQ188" s="526"/>
      <c r="AR188" s="526"/>
      <c r="AS188" s="526"/>
      <c r="AT188" s="526"/>
      <c r="AU188" s="526"/>
      <c r="AV188" s="526"/>
      <c r="AW188" s="526"/>
      <c r="AX188" s="526"/>
      <c r="AY188" s="526"/>
      <c r="AZ188" s="526"/>
      <c r="BA188" s="526"/>
      <c r="BB188" s="526"/>
      <c r="BC188" s="526"/>
      <c r="BD188" s="526"/>
      <c r="BE188" s="526"/>
      <c r="BF188" s="526"/>
      <c r="BG188" s="526"/>
      <c r="BH188" s="526"/>
      <c r="BI188" s="526"/>
      <c r="BJ188" s="526"/>
      <c r="BK188" s="526"/>
      <c r="BL188" s="526"/>
      <c r="BM188" s="526"/>
      <c r="BN188" s="526"/>
      <c r="BO188" s="526"/>
      <c r="BP188" s="526"/>
      <c r="BQ188" s="526"/>
      <c r="BR188" s="526"/>
      <c r="BS188" s="526"/>
      <c r="BT188" s="526"/>
      <c r="BU188" s="526"/>
      <c r="BV188" s="526"/>
      <c r="BW188" s="526"/>
      <c r="BX188" s="526"/>
      <c r="BY188" s="526"/>
      <c r="BZ188" s="526"/>
      <c r="CA188" s="526"/>
      <c r="CB188" s="526"/>
      <c r="CC188" s="526"/>
      <c r="CD188" s="526"/>
      <c r="CE188" s="526"/>
      <c r="CF188" s="526"/>
      <c r="CG188" s="526"/>
      <c r="CH188" s="526"/>
      <c r="CI188" s="526"/>
      <c r="CJ188" s="526"/>
      <c r="CK188" s="526"/>
      <c r="CL188" s="526"/>
      <c r="CM188" s="526"/>
      <c r="CN188" s="526"/>
      <c r="CO188" s="526"/>
      <c r="CP188" s="526"/>
      <c r="CQ188" s="526"/>
      <c r="CR188" s="526"/>
      <c r="CS188" s="526"/>
      <c r="CT188" s="526"/>
      <c r="CU188" s="526"/>
      <c r="CV188" s="526"/>
      <c r="CW188" s="526"/>
      <c r="CX188" s="526"/>
      <c r="CY188" s="526"/>
      <c r="CZ188" s="526"/>
      <c r="DA188" s="526"/>
      <c r="DB188" s="526"/>
      <c r="DC188" s="526"/>
      <c r="DD188" s="526"/>
      <c r="DE188" s="526"/>
      <c r="DF188" s="526"/>
      <c r="DG188" s="526"/>
      <c r="DH188" s="526"/>
      <c r="DI188" s="526"/>
      <c r="DJ188" s="526"/>
      <c r="DK188" s="526"/>
      <c r="DL188" s="526"/>
      <c r="DM188" s="526"/>
      <c r="DN188" s="526"/>
      <c r="DO188" s="526"/>
      <c r="DP188" s="526"/>
      <c r="DQ188" s="526"/>
      <c r="DR188" s="526"/>
      <c r="DS188" s="526"/>
      <c r="DT188" s="526"/>
      <c r="DU188" s="526"/>
      <c r="DV188" s="526"/>
      <c r="DW188" s="526"/>
      <c r="DX188" s="526"/>
      <c r="DY188" s="526"/>
      <c r="DZ188" s="526"/>
      <c r="EA188" s="526"/>
      <c r="EB188" s="526"/>
      <c r="EC188" s="526"/>
      <c r="ED188" s="526"/>
      <c r="EE188" s="526"/>
      <c r="EF188" s="526"/>
      <c r="EG188" s="526"/>
      <c r="EH188" s="526"/>
      <c r="EI188" s="526"/>
      <c r="EJ188" s="526"/>
      <c r="EK188" s="526"/>
      <c r="EL188" s="526"/>
      <c r="EM188" s="526"/>
      <c r="EN188" s="526"/>
      <c r="EO188" s="526"/>
      <c r="EP188" s="526"/>
      <c r="EQ188" s="526"/>
      <c r="ER188" s="526"/>
      <c r="ES188" s="526"/>
      <c r="ET188" s="526"/>
      <c r="EU188" s="526"/>
      <c r="EV188" s="526"/>
      <c r="EW188" s="526"/>
      <c r="EX188" s="526"/>
      <c r="EY188" s="526"/>
      <c r="EZ188" s="526"/>
      <c r="FA188" s="526"/>
      <c r="FB188" s="526"/>
      <c r="FC188" s="526"/>
      <c r="FD188" s="526"/>
      <c r="FE188" s="526"/>
      <c r="FF188" s="526"/>
      <c r="FG188" s="526"/>
      <c r="FH188" s="526"/>
      <c r="FI188" s="526"/>
      <c r="FJ188" s="526"/>
      <c r="FK188" s="526"/>
      <c r="FL188" s="526"/>
      <c r="FM188" s="526"/>
      <c r="FN188" s="526"/>
      <c r="FO188" s="526"/>
      <c r="FP188" s="526"/>
      <c r="FQ188" s="526"/>
      <c r="FR188" s="526"/>
      <c r="FS188" s="526"/>
      <c r="FT188" s="526"/>
      <c r="FU188" s="526"/>
      <c r="FV188" s="526"/>
      <c r="FW188" s="526"/>
      <c r="FX188" s="526"/>
      <c r="FY188" s="526"/>
      <c r="FZ188" s="526"/>
      <c r="GA188" s="526"/>
      <c r="GB188" s="526"/>
      <c r="GC188" s="526"/>
      <c r="GD188" s="526"/>
      <c r="GE188" s="526"/>
      <c r="GF188" s="526"/>
      <c r="GG188" s="526"/>
      <c r="GH188" s="526"/>
      <c r="GI188" s="526"/>
      <c r="GJ188" s="526"/>
      <c r="GK188" s="526"/>
      <c r="GL188" s="526"/>
      <c r="GM188" s="526"/>
      <c r="GN188" s="526"/>
      <c r="GO188" s="526"/>
      <c r="GP188" s="526"/>
      <c r="GQ188" s="526"/>
      <c r="GR188" s="526"/>
      <c r="GS188" s="526"/>
      <c r="GT188" s="526"/>
      <c r="GU188" s="526"/>
      <c r="GV188" s="526"/>
      <c r="GW188" s="526"/>
      <c r="GX188" s="526"/>
      <c r="GY188" s="526"/>
      <c r="GZ188" s="526"/>
      <c r="HA188" s="526"/>
      <c r="HB188" s="526"/>
      <c r="HC188" s="526"/>
      <c r="HD188" s="526"/>
      <c r="HE188" s="526"/>
      <c r="HF188" s="526"/>
      <c r="HG188" s="526"/>
      <c r="HH188" s="526"/>
      <c r="HI188" s="526"/>
      <c r="HJ188" s="526"/>
      <c r="HK188" s="526"/>
      <c r="HL188" s="526"/>
      <c r="HM188" s="526"/>
      <c r="HN188" s="526"/>
      <c r="HO188" s="526"/>
      <c r="HP188" s="526"/>
      <c r="HQ188" s="526"/>
      <c r="HR188" s="526"/>
      <c r="HS188" s="526"/>
      <c r="HT188" s="526"/>
      <c r="HU188" s="526"/>
      <c r="HV188" s="526"/>
      <c r="HW188" s="526"/>
      <c r="HX188" s="526"/>
      <c r="HY188" s="526"/>
      <c r="HZ188" s="526"/>
      <c r="IA188" s="526"/>
      <c r="IB188" s="526"/>
      <c r="IC188" s="526"/>
      <c r="ID188" s="526"/>
      <c r="IE188" s="526"/>
      <c r="IF188" s="526"/>
      <c r="IG188" s="526"/>
      <c r="IH188" s="526"/>
      <c r="II188" s="526"/>
      <c r="IJ188" s="526"/>
      <c r="IK188" s="526"/>
      <c r="IL188" s="526"/>
      <c r="IM188" s="526"/>
      <c r="IN188" s="526"/>
      <c r="IO188" s="526"/>
      <c r="IP188" s="526"/>
      <c r="IQ188" s="526"/>
    </row>
    <row r="189" spans="1:251" ht="18" customHeight="1">
      <c r="A189" s="525">
        <v>180</v>
      </c>
      <c r="B189" s="538"/>
      <c r="C189" s="543"/>
      <c r="D189" s="483" t="s">
        <v>1091</v>
      </c>
      <c r="E189" s="540"/>
      <c r="F189" s="541"/>
      <c r="G189" s="1460"/>
      <c r="H189" s="753"/>
      <c r="I189" s="728"/>
      <c r="J189" s="1561">
        <f>SUM(J187:J188)</f>
        <v>275</v>
      </c>
      <c r="K189" s="540"/>
      <c r="L189" s="1238">
        <f>SUM(I189:K189)</f>
        <v>275</v>
      </c>
      <c r="M189" s="542"/>
      <c r="N189" s="526"/>
      <c r="O189" s="526"/>
      <c r="P189" s="526"/>
      <c r="Q189" s="526"/>
      <c r="R189" s="526"/>
      <c r="S189" s="526"/>
      <c r="T189" s="526"/>
      <c r="U189" s="526"/>
      <c r="V189" s="526"/>
      <c r="W189" s="526"/>
      <c r="X189" s="526"/>
      <c r="Y189" s="526"/>
      <c r="Z189" s="526"/>
      <c r="AA189" s="526"/>
      <c r="AB189" s="526"/>
      <c r="AC189" s="526"/>
      <c r="AD189" s="526"/>
      <c r="AE189" s="526"/>
      <c r="AF189" s="526"/>
      <c r="AG189" s="526"/>
      <c r="AH189" s="526"/>
      <c r="AI189" s="526"/>
      <c r="AJ189" s="526"/>
      <c r="AK189" s="526"/>
      <c r="AL189" s="526"/>
      <c r="AM189" s="526"/>
      <c r="AN189" s="526"/>
      <c r="AO189" s="526"/>
      <c r="AP189" s="526"/>
      <c r="AQ189" s="526"/>
      <c r="AR189" s="526"/>
      <c r="AS189" s="526"/>
      <c r="AT189" s="526"/>
      <c r="AU189" s="526"/>
      <c r="AV189" s="526"/>
      <c r="AW189" s="526"/>
      <c r="AX189" s="526"/>
      <c r="AY189" s="526"/>
      <c r="AZ189" s="526"/>
      <c r="BA189" s="526"/>
      <c r="BB189" s="526"/>
      <c r="BC189" s="526"/>
      <c r="BD189" s="526"/>
      <c r="BE189" s="526"/>
      <c r="BF189" s="526"/>
      <c r="BG189" s="526"/>
      <c r="BH189" s="526"/>
      <c r="BI189" s="526"/>
      <c r="BJ189" s="526"/>
      <c r="BK189" s="526"/>
      <c r="BL189" s="526"/>
      <c r="BM189" s="526"/>
      <c r="BN189" s="526"/>
      <c r="BO189" s="526"/>
      <c r="BP189" s="526"/>
      <c r="BQ189" s="526"/>
      <c r="BR189" s="526"/>
      <c r="BS189" s="526"/>
      <c r="BT189" s="526"/>
      <c r="BU189" s="526"/>
      <c r="BV189" s="526"/>
      <c r="BW189" s="526"/>
      <c r="BX189" s="526"/>
      <c r="BY189" s="526"/>
      <c r="BZ189" s="526"/>
      <c r="CA189" s="526"/>
      <c r="CB189" s="526"/>
      <c r="CC189" s="526"/>
      <c r="CD189" s="526"/>
      <c r="CE189" s="526"/>
      <c r="CF189" s="526"/>
      <c r="CG189" s="526"/>
      <c r="CH189" s="526"/>
      <c r="CI189" s="526"/>
      <c r="CJ189" s="526"/>
      <c r="CK189" s="526"/>
      <c r="CL189" s="526"/>
      <c r="CM189" s="526"/>
      <c r="CN189" s="526"/>
      <c r="CO189" s="526"/>
      <c r="CP189" s="526"/>
      <c r="CQ189" s="526"/>
      <c r="CR189" s="526"/>
      <c r="CS189" s="526"/>
      <c r="CT189" s="526"/>
      <c r="CU189" s="526"/>
      <c r="CV189" s="526"/>
      <c r="CW189" s="526"/>
      <c r="CX189" s="526"/>
      <c r="CY189" s="526"/>
      <c r="CZ189" s="526"/>
      <c r="DA189" s="526"/>
      <c r="DB189" s="526"/>
      <c r="DC189" s="526"/>
      <c r="DD189" s="526"/>
      <c r="DE189" s="526"/>
      <c r="DF189" s="526"/>
      <c r="DG189" s="526"/>
      <c r="DH189" s="526"/>
      <c r="DI189" s="526"/>
      <c r="DJ189" s="526"/>
      <c r="DK189" s="526"/>
      <c r="DL189" s="526"/>
      <c r="DM189" s="526"/>
      <c r="DN189" s="526"/>
      <c r="DO189" s="526"/>
      <c r="DP189" s="526"/>
      <c r="DQ189" s="526"/>
      <c r="DR189" s="526"/>
      <c r="DS189" s="526"/>
      <c r="DT189" s="526"/>
      <c r="DU189" s="526"/>
      <c r="DV189" s="526"/>
      <c r="DW189" s="526"/>
      <c r="DX189" s="526"/>
      <c r="DY189" s="526"/>
      <c r="DZ189" s="526"/>
      <c r="EA189" s="526"/>
      <c r="EB189" s="526"/>
      <c r="EC189" s="526"/>
      <c r="ED189" s="526"/>
      <c r="EE189" s="526"/>
      <c r="EF189" s="526"/>
      <c r="EG189" s="526"/>
      <c r="EH189" s="526"/>
      <c r="EI189" s="526"/>
      <c r="EJ189" s="526"/>
      <c r="EK189" s="526"/>
      <c r="EL189" s="526"/>
      <c r="EM189" s="526"/>
      <c r="EN189" s="526"/>
      <c r="EO189" s="526"/>
      <c r="EP189" s="526"/>
      <c r="EQ189" s="526"/>
      <c r="ER189" s="526"/>
      <c r="ES189" s="526"/>
      <c r="ET189" s="526"/>
      <c r="EU189" s="526"/>
      <c r="EV189" s="526"/>
      <c r="EW189" s="526"/>
      <c r="EX189" s="526"/>
      <c r="EY189" s="526"/>
      <c r="EZ189" s="526"/>
      <c r="FA189" s="526"/>
      <c r="FB189" s="526"/>
      <c r="FC189" s="526"/>
      <c r="FD189" s="526"/>
      <c r="FE189" s="526"/>
      <c r="FF189" s="526"/>
      <c r="FG189" s="526"/>
      <c r="FH189" s="526"/>
      <c r="FI189" s="526"/>
      <c r="FJ189" s="526"/>
      <c r="FK189" s="526"/>
      <c r="FL189" s="526"/>
      <c r="FM189" s="526"/>
      <c r="FN189" s="526"/>
      <c r="FO189" s="526"/>
      <c r="FP189" s="526"/>
      <c r="FQ189" s="526"/>
      <c r="FR189" s="526"/>
      <c r="FS189" s="526"/>
      <c r="FT189" s="526"/>
      <c r="FU189" s="526"/>
      <c r="FV189" s="526"/>
      <c r="FW189" s="526"/>
      <c r="FX189" s="526"/>
      <c r="FY189" s="526"/>
      <c r="FZ189" s="526"/>
      <c r="GA189" s="526"/>
      <c r="GB189" s="526"/>
      <c r="GC189" s="526"/>
      <c r="GD189" s="526"/>
      <c r="GE189" s="526"/>
      <c r="GF189" s="526"/>
      <c r="GG189" s="526"/>
      <c r="GH189" s="526"/>
      <c r="GI189" s="526"/>
      <c r="GJ189" s="526"/>
      <c r="GK189" s="526"/>
      <c r="GL189" s="526"/>
      <c r="GM189" s="526"/>
      <c r="GN189" s="526"/>
      <c r="GO189" s="526"/>
      <c r="GP189" s="526"/>
      <c r="GQ189" s="526"/>
      <c r="GR189" s="526"/>
      <c r="GS189" s="526"/>
      <c r="GT189" s="526"/>
      <c r="GU189" s="526"/>
      <c r="GV189" s="526"/>
      <c r="GW189" s="526"/>
      <c r="GX189" s="526"/>
      <c r="GY189" s="526"/>
      <c r="GZ189" s="526"/>
      <c r="HA189" s="526"/>
      <c r="HB189" s="526"/>
      <c r="HC189" s="526"/>
      <c r="HD189" s="526"/>
      <c r="HE189" s="526"/>
      <c r="HF189" s="526"/>
      <c r="HG189" s="526"/>
      <c r="HH189" s="526"/>
      <c r="HI189" s="526"/>
      <c r="HJ189" s="526"/>
      <c r="HK189" s="526"/>
      <c r="HL189" s="526"/>
      <c r="HM189" s="526"/>
      <c r="HN189" s="526"/>
      <c r="HO189" s="526"/>
      <c r="HP189" s="526"/>
      <c r="HQ189" s="526"/>
      <c r="HR189" s="526"/>
      <c r="HS189" s="526"/>
      <c r="HT189" s="526"/>
      <c r="HU189" s="526"/>
      <c r="HV189" s="526"/>
      <c r="HW189" s="526"/>
      <c r="HX189" s="526"/>
      <c r="HY189" s="526"/>
      <c r="HZ189" s="526"/>
      <c r="IA189" s="526"/>
      <c r="IB189" s="526"/>
      <c r="IC189" s="526"/>
      <c r="ID189" s="526"/>
      <c r="IE189" s="526"/>
      <c r="IF189" s="526"/>
      <c r="IG189" s="526"/>
      <c r="IH189" s="526"/>
      <c r="II189" s="526"/>
      <c r="IJ189" s="526"/>
      <c r="IK189" s="526"/>
      <c r="IL189" s="526"/>
      <c r="IM189" s="526"/>
      <c r="IN189" s="526"/>
      <c r="IO189" s="526"/>
      <c r="IP189" s="526"/>
      <c r="IQ189" s="526"/>
    </row>
    <row r="190" spans="1:251" ht="35.25" customHeight="1">
      <c r="A190" s="525">
        <v>181</v>
      </c>
      <c r="B190" s="538"/>
      <c r="C190" s="543">
        <v>37</v>
      </c>
      <c r="D190" s="1013" t="s">
        <v>667</v>
      </c>
      <c r="E190" s="540">
        <f>F190+G190+L194+M191</f>
        <v>10</v>
      </c>
      <c r="F190" s="541"/>
      <c r="G190" s="1460"/>
      <c r="H190" s="753" t="s">
        <v>23</v>
      </c>
      <c r="I190" s="728"/>
      <c r="J190" s="1297"/>
      <c r="K190" s="1297"/>
      <c r="L190" s="512"/>
      <c r="M190" s="542"/>
      <c r="N190" s="526"/>
      <c r="O190" s="526"/>
      <c r="P190" s="526"/>
      <c r="Q190" s="526"/>
      <c r="R190" s="526"/>
      <c r="S190" s="526"/>
      <c r="T190" s="526"/>
      <c r="U190" s="526"/>
      <c r="V190" s="526"/>
      <c r="W190" s="526"/>
      <c r="X190" s="526"/>
      <c r="Y190" s="526"/>
      <c r="Z190" s="526"/>
      <c r="AA190" s="526"/>
      <c r="AB190" s="526"/>
      <c r="AC190" s="526"/>
      <c r="AD190" s="526"/>
      <c r="AE190" s="526"/>
      <c r="AF190" s="526"/>
      <c r="AG190" s="526"/>
      <c r="AH190" s="526"/>
      <c r="AI190" s="526"/>
      <c r="AJ190" s="526"/>
      <c r="AK190" s="526"/>
      <c r="AL190" s="526"/>
      <c r="AM190" s="526"/>
      <c r="AN190" s="526"/>
      <c r="AO190" s="526"/>
      <c r="AP190" s="526"/>
      <c r="AQ190" s="526"/>
      <c r="AR190" s="526"/>
      <c r="AS190" s="526"/>
      <c r="AT190" s="526"/>
      <c r="AU190" s="526"/>
      <c r="AV190" s="526"/>
      <c r="AW190" s="526"/>
      <c r="AX190" s="526"/>
      <c r="AY190" s="526"/>
      <c r="AZ190" s="526"/>
      <c r="BA190" s="526"/>
      <c r="BB190" s="526"/>
      <c r="BC190" s="526"/>
      <c r="BD190" s="526"/>
      <c r="BE190" s="526"/>
      <c r="BF190" s="526"/>
      <c r="BG190" s="526"/>
      <c r="BH190" s="526"/>
      <c r="BI190" s="526"/>
      <c r="BJ190" s="526"/>
      <c r="BK190" s="526"/>
      <c r="BL190" s="526"/>
      <c r="BM190" s="526"/>
      <c r="BN190" s="526"/>
      <c r="BO190" s="526"/>
      <c r="BP190" s="526"/>
      <c r="BQ190" s="526"/>
      <c r="BR190" s="526"/>
      <c r="BS190" s="526"/>
      <c r="BT190" s="526"/>
      <c r="BU190" s="526"/>
      <c r="BV190" s="526"/>
      <c r="BW190" s="526"/>
      <c r="BX190" s="526"/>
      <c r="BY190" s="526"/>
      <c r="BZ190" s="526"/>
      <c r="CA190" s="526"/>
      <c r="CB190" s="526"/>
      <c r="CC190" s="526"/>
      <c r="CD190" s="526"/>
      <c r="CE190" s="526"/>
      <c r="CF190" s="526"/>
      <c r="CG190" s="526"/>
      <c r="CH190" s="526"/>
      <c r="CI190" s="526"/>
      <c r="CJ190" s="526"/>
      <c r="CK190" s="526"/>
      <c r="CL190" s="526"/>
      <c r="CM190" s="526"/>
      <c r="CN190" s="526"/>
      <c r="CO190" s="526"/>
      <c r="CP190" s="526"/>
      <c r="CQ190" s="526"/>
      <c r="CR190" s="526"/>
      <c r="CS190" s="526"/>
      <c r="CT190" s="526"/>
      <c r="CU190" s="526"/>
      <c r="CV190" s="526"/>
      <c r="CW190" s="526"/>
      <c r="CX190" s="526"/>
      <c r="CY190" s="526"/>
      <c r="CZ190" s="526"/>
      <c r="DA190" s="526"/>
      <c r="DB190" s="526"/>
      <c r="DC190" s="526"/>
      <c r="DD190" s="526"/>
      <c r="DE190" s="526"/>
      <c r="DF190" s="526"/>
      <c r="DG190" s="526"/>
      <c r="DH190" s="526"/>
      <c r="DI190" s="526"/>
      <c r="DJ190" s="526"/>
      <c r="DK190" s="526"/>
      <c r="DL190" s="526"/>
      <c r="DM190" s="526"/>
      <c r="DN190" s="526"/>
      <c r="DO190" s="526"/>
      <c r="DP190" s="526"/>
      <c r="DQ190" s="526"/>
      <c r="DR190" s="526"/>
      <c r="DS190" s="526"/>
      <c r="DT190" s="526"/>
      <c r="DU190" s="526"/>
      <c r="DV190" s="526"/>
      <c r="DW190" s="526"/>
      <c r="DX190" s="526"/>
      <c r="DY190" s="526"/>
      <c r="DZ190" s="526"/>
      <c r="EA190" s="526"/>
      <c r="EB190" s="526"/>
      <c r="EC190" s="526"/>
      <c r="ED190" s="526"/>
      <c r="EE190" s="526"/>
      <c r="EF190" s="526"/>
      <c r="EG190" s="526"/>
      <c r="EH190" s="526"/>
      <c r="EI190" s="526"/>
      <c r="EJ190" s="526"/>
      <c r="EK190" s="526"/>
      <c r="EL190" s="526"/>
      <c r="EM190" s="526"/>
      <c r="EN190" s="526"/>
      <c r="EO190" s="526"/>
      <c r="EP190" s="526"/>
      <c r="EQ190" s="526"/>
      <c r="ER190" s="526"/>
      <c r="ES190" s="526"/>
      <c r="ET190" s="526"/>
      <c r="EU190" s="526"/>
      <c r="EV190" s="526"/>
      <c r="EW190" s="526"/>
      <c r="EX190" s="526"/>
      <c r="EY190" s="526"/>
      <c r="EZ190" s="526"/>
      <c r="FA190" s="526"/>
      <c r="FB190" s="526"/>
      <c r="FC190" s="526"/>
      <c r="FD190" s="526"/>
      <c r="FE190" s="526"/>
      <c r="FF190" s="526"/>
      <c r="FG190" s="526"/>
      <c r="FH190" s="526"/>
      <c r="FI190" s="526"/>
      <c r="FJ190" s="526"/>
      <c r="FK190" s="526"/>
      <c r="FL190" s="526"/>
      <c r="FM190" s="526"/>
      <c r="FN190" s="526"/>
      <c r="FO190" s="526"/>
      <c r="FP190" s="526"/>
      <c r="FQ190" s="526"/>
      <c r="FR190" s="526"/>
      <c r="FS190" s="526"/>
      <c r="FT190" s="526"/>
      <c r="FU190" s="526"/>
      <c r="FV190" s="526"/>
      <c r="FW190" s="526"/>
      <c r="FX190" s="526"/>
      <c r="FY190" s="526"/>
      <c r="FZ190" s="526"/>
      <c r="GA190" s="526"/>
      <c r="GB190" s="526"/>
      <c r="GC190" s="526"/>
      <c r="GD190" s="526"/>
      <c r="GE190" s="526"/>
      <c r="GF190" s="526"/>
      <c r="GG190" s="526"/>
      <c r="GH190" s="526"/>
      <c r="GI190" s="526"/>
      <c r="GJ190" s="526"/>
      <c r="GK190" s="526"/>
      <c r="GL190" s="526"/>
      <c r="GM190" s="526"/>
      <c r="GN190" s="526"/>
      <c r="GO190" s="526"/>
      <c r="GP190" s="526"/>
      <c r="GQ190" s="526"/>
      <c r="GR190" s="526"/>
      <c r="GS190" s="526"/>
      <c r="GT190" s="526"/>
      <c r="GU190" s="526"/>
      <c r="GV190" s="526"/>
      <c r="GW190" s="526"/>
      <c r="GX190" s="526"/>
      <c r="GY190" s="526"/>
      <c r="GZ190" s="526"/>
      <c r="HA190" s="526"/>
      <c r="HB190" s="526"/>
      <c r="HC190" s="526"/>
      <c r="HD190" s="526"/>
      <c r="HE190" s="526"/>
      <c r="HF190" s="526"/>
      <c r="HG190" s="526"/>
      <c r="HH190" s="526"/>
      <c r="HI190" s="526"/>
      <c r="HJ190" s="526"/>
      <c r="HK190" s="526"/>
      <c r="HL190" s="526"/>
      <c r="HM190" s="526"/>
      <c r="HN190" s="526"/>
      <c r="HO190" s="526"/>
      <c r="HP190" s="526"/>
      <c r="HQ190" s="526"/>
      <c r="HR190" s="526"/>
      <c r="HS190" s="526"/>
      <c r="HT190" s="526"/>
      <c r="HU190" s="526"/>
      <c r="HV190" s="526"/>
      <c r="HW190" s="526"/>
      <c r="HX190" s="526"/>
      <c r="HY190" s="526"/>
      <c r="HZ190" s="526"/>
      <c r="IA190" s="526"/>
      <c r="IB190" s="526"/>
      <c r="IC190" s="526"/>
      <c r="ID190" s="526"/>
      <c r="IE190" s="526"/>
      <c r="IF190" s="526"/>
      <c r="IG190" s="526"/>
      <c r="IH190" s="526"/>
      <c r="II190" s="526"/>
      <c r="IJ190" s="526"/>
      <c r="IK190" s="526"/>
      <c r="IL190" s="526"/>
      <c r="IM190" s="526"/>
      <c r="IN190" s="526"/>
      <c r="IO190" s="526"/>
      <c r="IP190" s="526"/>
      <c r="IQ190" s="526"/>
    </row>
    <row r="191" spans="1:251" ht="19.5" customHeight="1">
      <c r="A191" s="525">
        <v>182</v>
      </c>
      <c r="B191" s="538"/>
      <c r="C191" s="543"/>
      <c r="D191" s="594" t="s">
        <v>283</v>
      </c>
      <c r="E191" s="540"/>
      <c r="F191" s="541"/>
      <c r="G191" s="1460"/>
      <c r="H191" s="753"/>
      <c r="I191" s="728"/>
      <c r="J191" s="1422">
        <v>10</v>
      </c>
      <c r="K191" s="1422"/>
      <c r="L191" s="1423">
        <f>SUM(I191:K191)</f>
        <v>10</v>
      </c>
      <c r="M191" s="542"/>
      <c r="N191" s="526"/>
      <c r="O191" s="526"/>
      <c r="P191" s="526"/>
      <c r="Q191" s="526"/>
      <c r="R191" s="526"/>
      <c r="S191" s="526"/>
      <c r="T191" s="526"/>
      <c r="U191" s="526"/>
      <c r="V191" s="526"/>
      <c r="W191" s="526"/>
      <c r="X191" s="526"/>
      <c r="Y191" s="526"/>
      <c r="Z191" s="526"/>
      <c r="AA191" s="526"/>
      <c r="AB191" s="526"/>
      <c r="AC191" s="526"/>
      <c r="AD191" s="526"/>
      <c r="AE191" s="526"/>
      <c r="AF191" s="526"/>
      <c r="AG191" s="526"/>
      <c r="AH191" s="526"/>
      <c r="AI191" s="526"/>
      <c r="AJ191" s="526"/>
      <c r="AK191" s="526"/>
      <c r="AL191" s="526"/>
      <c r="AM191" s="526"/>
      <c r="AN191" s="526"/>
      <c r="AO191" s="526"/>
      <c r="AP191" s="526"/>
      <c r="AQ191" s="526"/>
      <c r="AR191" s="526"/>
      <c r="AS191" s="526"/>
      <c r="AT191" s="526"/>
      <c r="AU191" s="526"/>
      <c r="AV191" s="526"/>
      <c r="AW191" s="526"/>
      <c r="AX191" s="526"/>
      <c r="AY191" s="526"/>
      <c r="AZ191" s="526"/>
      <c r="BA191" s="526"/>
      <c r="BB191" s="526"/>
      <c r="BC191" s="526"/>
      <c r="BD191" s="526"/>
      <c r="BE191" s="526"/>
      <c r="BF191" s="526"/>
      <c r="BG191" s="526"/>
      <c r="BH191" s="526"/>
      <c r="BI191" s="526"/>
      <c r="BJ191" s="526"/>
      <c r="BK191" s="526"/>
      <c r="BL191" s="526"/>
      <c r="BM191" s="526"/>
      <c r="BN191" s="526"/>
      <c r="BO191" s="526"/>
      <c r="BP191" s="526"/>
      <c r="BQ191" s="526"/>
      <c r="BR191" s="526"/>
      <c r="BS191" s="526"/>
      <c r="BT191" s="526"/>
      <c r="BU191" s="526"/>
      <c r="BV191" s="526"/>
      <c r="BW191" s="526"/>
      <c r="BX191" s="526"/>
      <c r="BY191" s="526"/>
      <c r="BZ191" s="526"/>
      <c r="CA191" s="526"/>
      <c r="CB191" s="526"/>
      <c r="CC191" s="526"/>
      <c r="CD191" s="526"/>
      <c r="CE191" s="526"/>
      <c r="CF191" s="526"/>
      <c r="CG191" s="526"/>
      <c r="CH191" s="526"/>
      <c r="CI191" s="526"/>
      <c r="CJ191" s="526"/>
      <c r="CK191" s="526"/>
      <c r="CL191" s="526"/>
      <c r="CM191" s="526"/>
      <c r="CN191" s="526"/>
      <c r="CO191" s="526"/>
      <c r="CP191" s="526"/>
      <c r="CQ191" s="526"/>
      <c r="CR191" s="526"/>
      <c r="CS191" s="526"/>
      <c r="CT191" s="526"/>
      <c r="CU191" s="526"/>
      <c r="CV191" s="526"/>
      <c r="CW191" s="526"/>
      <c r="CX191" s="526"/>
      <c r="CY191" s="526"/>
      <c r="CZ191" s="526"/>
      <c r="DA191" s="526"/>
      <c r="DB191" s="526"/>
      <c r="DC191" s="526"/>
      <c r="DD191" s="526"/>
      <c r="DE191" s="526"/>
      <c r="DF191" s="526"/>
      <c r="DG191" s="526"/>
      <c r="DH191" s="526"/>
      <c r="DI191" s="526"/>
      <c r="DJ191" s="526"/>
      <c r="DK191" s="526"/>
      <c r="DL191" s="526"/>
      <c r="DM191" s="526"/>
      <c r="DN191" s="526"/>
      <c r="DO191" s="526"/>
      <c r="DP191" s="526"/>
      <c r="DQ191" s="526"/>
      <c r="DR191" s="526"/>
      <c r="DS191" s="526"/>
      <c r="DT191" s="526"/>
      <c r="DU191" s="526"/>
      <c r="DV191" s="526"/>
      <c r="DW191" s="526"/>
      <c r="DX191" s="526"/>
      <c r="DY191" s="526"/>
      <c r="DZ191" s="526"/>
      <c r="EA191" s="526"/>
      <c r="EB191" s="526"/>
      <c r="EC191" s="526"/>
      <c r="ED191" s="526"/>
      <c r="EE191" s="526"/>
      <c r="EF191" s="526"/>
      <c r="EG191" s="526"/>
      <c r="EH191" s="526"/>
      <c r="EI191" s="526"/>
      <c r="EJ191" s="526"/>
      <c r="EK191" s="526"/>
      <c r="EL191" s="526"/>
      <c r="EM191" s="526"/>
      <c r="EN191" s="526"/>
      <c r="EO191" s="526"/>
      <c r="EP191" s="526"/>
      <c r="EQ191" s="526"/>
      <c r="ER191" s="526"/>
      <c r="ES191" s="526"/>
      <c r="ET191" s="526"/>
      <c r="EU191" s="526"/>
      <c r="EV191" s="526"/>
      <c r="EW191" s="526"/>
      <c r="EX191" s="526"/>
      <c r="EY191" s="526"/>
      <c r="EZ191" s="526"/>
      <c r="FA191" s="526"/>
      <c r="FB191" s="526"/>
      <c r="FC191" s="526"/>
      <c r="FD191" s="526"/>
      <c r="FE191" s="526"/>
      <c r="FF191" s="526"/>
      <c r="FG191" s="526"/>
      <c r="FH191" s="526"/>
      <c r="FI191" s="526"/>
      <c r="FJ191" s="526"/>
      <c r="FK191" s="526"/>
      <c r="FL191" s="526"/>
      <c r="FM191" s="526"/>
      <c r="FN191" s="526"/>
      <c r="FO191" s="526"/>
      <c r="FP191" s="526"/>
      <c r="FQ191" s="526"/>
      <c r="FR191" s="526"/>
      <c r="FS191" s="526"/>
      <c r="FT191" s="526"/>
      <c r="FU191" s="526"/>
      <c r="FV191" s="526"/>
      <c r="FW191" s="526"/>
      <c r="FX191" s="526"/>
      <c r="FY191" s="526"/>
      <c r="FZ191" s="526"/>
      <c r="GA191" s="526"/>
      <c r="GB191" s="526"/>
      <c r="GC191" s="526"/>
      <c r="GD191" s="526"/>
      <c r="GE191" s="526"/>
      <c r="GF191" s="526"/>
      <c r="GG191" s="526"/>
      <c r="GH191" s="526"/>
      <c r="GI191" s="526"/>
      <c r="GJ191" s="526"/>
      <c r="GK191" s="526"/>
      <c r="GL191" s="526"/>
      <c r="GM191" s="526"/>
      <c r="GN191" s="526"/>
      <c r="GO191" s="526"/>
      <c r="GP191" s="526"/>
      <c r="GQ191" s="526"/>
      <c r="GR191" s="526"/>
      <c r="GS191" s="526"/>
      <c r="GT191" s="526"/>
      <c r="GU191" s="526"/>
      <c r="GV191" s="526"/>
      <c r="GW191" s="526"/>
      <c r="GX191" s="526"/>
      <c r="GY191" s="526"/>
      <c r="GZ191" s="526"/>
      <c r="HA191" s="526"/>
      <c r="HB191" s="526"/>
      <c r="HC191" s="526"/>
      <c r="HD191" s="526"/>
      <c r="HE191" s="526"/>
      <c r="HF191" s="526"/>
      <c r="HG191" s="526"/>
      <c r="HH191" s="526"/>
      <c r="HI191" s="526"/>
      <c r="HJ191" s="526"/>
      <c r="HK191" s="526"/>
      <c r="HL191" s="526"/>
      <c r="HM191" s="526"/>
      <c r="HN191" s="526"/>
      <c r="HO191" s="526"/>
      <c r="HP191" s="526"/>
      <c r="HQ191" s="526"/>
      <c r="HR191" s="526"/>
      <c r="HS191" s="526"/>
      <c r="HT191" s="526"/>
      <c r="HU191" s="526"/>
      <c r="HV191" s="526"/>
      <c r="HW191" s="526"/>
      <c r="HX191" s="526"/>
      <c r="HY191" s="526"/>
      <c r="HZ191" s="526"/>
      <c r="IA191" s="526"/>
      <c r="IB191" s="526"/>
      <c r="IC191" s="526"/>
      <c r="ID191" s="526"/>
      <c r="IE191" s="526"/>
      <c r="IF191" s="526"/>
      <c r="IG191" s="526"/>
      <c r="IH191" s="526"/>
      <c r="II191" s="526"/>
      <c r="IJ191" s="526"/>
      <c r="IK191" s="526"/>
      <c r="IL191" s="526"/>
      <c r="IM191" s="526"/>
      <c r="IN191" s="526"/>
      <c r="IO191" s="526"/>
      <c r="IP191" s="526"/>
      <c r="IQ191" s="526"/>
    </row>
    <row r="192" spans="1:251" ht="19.5" customHeight="1">
      <c r="A192" s="525">
        <v>183</v>
      </c>
      <c r="B192" s="538"/>
      <c r="C192" s="543"/>
      <c r="D192" s="483" t="s">
        <v>938</v>
      </c>
      <c r="E192" s="540"/>
      <c r="F192" s="541"/>
      <c r="G192" s="1460"/>
      <c r="H192" s="753"/>
      <c r="I192" s="728"/>
      <c r="J192" s="1561">
        <v>10</v>
      </c>
      <c r="K192" s="1561"/>
      <c r="L192" s="1669">
        <f>SUM(I192:K192)</f>
        <v>10</v>
      </c>
      <c r="M192" s="542"/>
      <c r="N192" s="526"/>
      <c r="O192" s="526"/>
      <c r="P192" s="526"/>
      <c r="Q192" s="526"/>
      <c r="R192" s="526"/>
      <c r="S192" s="526"/>
      <c r="T192" s="526"/>
      <c r="U192" s="526"/>
      <c r="V192" s="526"/>
      <c r="W192" s="526"/>
      <c r="X192" s="526"/>
      <c r="Y192" s="526"/>
      <c r="Z192" s="526"/>
      <c r="AA192" s="526"/>
      <c r="AB192" s="526"/>
      <c r="AC192" s="526"/>
      <c r="AD192" s="526"/>
      <c r="AE192" s="526"/>
      <c r="AF192" s="526"/>
      <c r="AG192" s="526"/>
      <c r="AH192" s="526"/>
      <c r="AI192" s="526"/>
      <c r="AJ192" s="526"/>
      <c r="AK192" s="526"/>
      <c r="AL192" s="526"/>
      <c r="AM192" s="526"/>
      <c r="AN192" s="526"/>
      <c r="AO192" s="526"/>
      <c r="AP192" s="526"/>
      <c r="AQ192" s="526"/>
      <c r="AR192" s="526"/>
      <c r="AS192" s="526"/>
      <c r="AT192" s="526"/>
      <c r="AU192" s="526"/>
      <c r="AV192" s="526"/>
      <c r="AW192" s="526"/>
      <c r="AX192" s="526"/>
      <c r="AY192" s="526"/>
      <c r="AZ192" s="526"/>
      <c r="BA192" s="526"/>
      <c r="BB192" s="526"/>
      <c r="BC192" s="526"/>
      <c r="BD192" s="526"/>
      <c r="BE192" s="526"/>
      <c r="BF192" s="526"/>
      <c r="BG192" s="526"/>
      <c r="BH192" s="526"/>
      <c r="BI192" s="526"/>
      <c r="BJ192" s="526"/>
      <c r="BK192" s="526"/>
      <c r="BL192" s="526"/>
      <c r="BM192" s="526"/>
      <c r="BN192" s="526"/>
      <c r="BO192" s="526"/>
      <c r="BP192" s="526"/>
      <c r="BQ192" s="526"/>
      <c r="BR192" s="526"/>
      <c r="BS192" s="526"/>
      <c r="BT192" s="526"/>
      <c r="BU192" s="526"/>
      <c r="BV192" s="526"/>
      <c r="BW192" s="526"/>
      <c r="BX192" s="526"/>
      <c r="BY192" s="526"/>
      <c r="BZ192" s="526"/>
      <c r="CA192" s="526"/>
      <c r="CB192" s="526"/>
      <c r="CC192" s="526"/>
      <c r="CD192" s="526"/>
      <c r="CE192" s="526"/>
      <c r="CF192" s="526"/>
      <c r="CG192" s="526"/>
      <c r="CH192" s="526"/>
      <c r="CI192" s="526"/>
      <c r="CJ192" s="526"/>
      <c r="CK192" s="526"/>
      <c r="CL192" s="526"/>
      <c r="CM192" s="526"/>
      <c r="CN192" s="526"/>
      <c r="CO192" s="526"/>
      <c r="CP192" s="526"/>
      <c r="CQ192" s="526"/>
      <c r="CR192" s="526"/>
      <c r="CS192" s="526"/>
      <c r="CT192" s="526"/>
      <c r="CU192" s="526"/>
      <c r="CV192" s="526"/>
      <c r="CW192" s="526"/>
      <c r="CX192" s="526"/>
      <c r="CY192" s="526"/>
      <c r="CZ192" s="526"/>
      <c r="DA192" s="526"/>
      <c r="DB192" s="526"/>
      <c r="DC192" s="526"/>
      <c r="DD192" s="526"/>
      <c r="DE192" s="526"/>
      <c r="DF192" s="526"/>
      <c r="DG192" s="526"/>
      <c r="DH192" s="526"/>
      <c r="DI192" s="526"/>
      <c r="DJ192" s="526"/>
      <c r="DK192" s="526"/>
      <c r="DL192" s="526"/>
      <c r="DM192" s="526"/>
      <c r="DN192" s="526"/>
      <c r="DO192" s="526"/>
      <c r="DP192" s="526"/>
      <c r="DQ192" s="526"/>
      <c r="DR192" s="526"/>
      <c r="DS192" s="526"/>
      <c r="DT192" s="526"/>
      <c r="DU192" s="526"/>
      <c r="DV192" s="526"/>
      <c r="DW192" s="526"/>
      <c r="DX192" s="526"/>
      <c r="DY192" s="526"/>
      <c r="DZ192" s="526"/>
      <c r="EA192" s="526"/>
      <c r="EB192" s="526"/>
      <c r="EC192" s="526"/>
      <c r="ED192" s="526"/>
      <c r="EE192" s="526"/>
      <c r="EF192" s="526"/>
      <c r="EG192" s="526"/>
      <c r="EH192" s="526"/>
      <c r="EI192" s="526"/>
      <c r="EJ192" s="526"/>
      <c r="EK192" s="526"/>
      <c r="EL192" s="526"/>
      <c r="EM192" s="526"/>
      <c r="EN192" s="526"/>
      <c r="EO192" s="526"/>
      <c r="EP192" s="526"/>
      <c r="EQ192" s="526"/>
      <c r="ER192" s="526"/>
      <c r="ES192" s="526"/>
      <c r="ET192" s="526"/>
      <c r="EU192" s="526"/>
      <c r="EV192" s="526"/>
      <c r="EW192" s="526"/>
      <c r="EX192" s="526"/>
      <c r="EY192" s="526"/>
      <c r="EZ192" s="526"/>
      <c r="FA192" s="526"/>
      <c r="FB192" s="526"/>
      <c r="FC192" s="526"/>
      <c r="FD192" s="526"/>
      <c r="FE192" s="526"/>
      <c r="FF192" s="526"/>
      <c r="FG192" s="526"/>
      <c r="FH192" s="526"/>
      <c r="FI192" s="526"/>
      <c r="FJ192" s="526"/>
      <c r="FK192" s="526"/>
      <c r="FL192" s="526"/>
      <c r="FM192" s="526"/>
      <c r="FN192" s="526"/>
      <c r="FO192" s="526"/>
      <c r="FP192" s="526"/>
      <c r="FQ192" s="526"/>
      <c r="FR192" s="526"/>
      <c r="FS192" s="526"/>
      <c r="FT192" s="526"/>
      <c r="FU192" s="526"/>
      <c r="FV192" s="526"/>
      <c r="FW192" s="526"/>
      <c r="FX192" s="526"/>
      <c r="FY192" s="526"/>
      <c r="FZ192" s="526"/>
      <c r="GA192" s="526"/>
      <c r="GB192" s="526"/>
      <c r="GC192" s="526"/>
      <c r="GD192" s="526"/>
      <c r="GE192" s="526"/>
      <c r="GF192" s="526"/>
      <c r="GG192" s="526"/>
      <c r="GH192" s="526"/>
      <c r="GI192" s="526"/>
      <c r="GJ192" s="526"/>
      <c r="GK192" s="526"/>
      <c r="GL192" s="526"/>
      <c r="GM192" s="526"/>
      <c r="GN192" s="526"/>
      <c r="GO192" s="526"/>
      <c r="GP192" s="526"/>
      <c r="GQ192" s="526"/>
      <c r="GR192" s="526"/>
      <c r="GS192" s="526"/>
      <c r="GT192" s="526"/>
      <c r="GU192" s="526"/>
      <c r="GV192" s="526"/>
      <c r="GW192" s="526"/>
      <c r="GX192" s="526"/>
      <c r="GY192" s="526"/>
      <c r="GZ192" s="526"/>
      <c r="HA192" s="526"/>
      <c r="HB192" s="526"/>
      <c r="HC192" s="526"/>
      <c r="HD192" s="526"/>
      <c r="HE192" s="526"/>
      <c r="HF192" s="526"/>
      <c r="HG192" s="526"/>
      <c r="HH192" s="526"/>
      <c r="HI192" s="526"/>
      <c r="HJ192" s="526"/>
      <c r="HK192" s="526"/>
      <c r="HL192" s="526"/>
      <c r="HM192" s="526"/>
      <c r="HN192" s="526"/>
      <c r="HO192" s="526"/>
      <c r="HP192" s="526"/>
      <c r="HQ192" s="526"/>
      <c r="HR192" s="526"/>
      <c r="HS192" s="526"/>
      <c r="HT192" s="526"/>
      <c r="HU192" s="526"/>
      <c r="HV192" s="526"/>
      <c r="HW192" s="526"/>
      <c r="HX192" s="526"/>
      <c r="HY192" s="526"/>
      <c r="HZ192" s="526"/>
      <c r="IA192" s="526"/>
      <c r="IB192" s="526"/>
      <c r="IC192" s="526"/>
      <c r="ID192" s="526"/>
      <c r="IE192" s="526"/>
      <c r="IF192" s="526"/>
      <c r="IG192" s="526"/>
      <c r="IH192" s="526"/>
      <c r="II192" s="526"/>
      <c r="IJ192" s="526"/>
      <c r="IK192" s="526"/>
      <c r="IL192" s="526"/>
      <c r="IM192" s="526"/>
      <c r="IN192" s="526"/>
      <c r="IO192" s="526"/>
      <c r="IP192" s="526"/>
      <c r="IQ192" s="526"/>
    </row>
    <row r="193" spans="1:251" ht="18" customHeight="1">
      <c r="A193" s="525">
        <v>184</v>
      </c>
      <c r="B193" s="538"/>
      <c r="C193" s="543"/>
      <c r="D193" s="1146" t="s">
        <v>674</v>
      </c>
      <c r="E193" s="540"/>
      <c r="F193" s="541"/>
      <c r="G193" s="1460"/>
      <c r="H193" s="753"/>
      <c r="I193" s="728"/>
      <c r="J193" s="540"/>
      <c r="K193" s="540"/>
      <c r="L193" s="1241">
        <f>SUM(I193:K193)</f>
        <v>0</v>
      </c>
      <c r="M193" s="542"/>
      <c r="N193" s="526"/>
      <c r="O193" s="526"/>
      <c r="P193" s="526"/>
      <c r="Q193" s="526"/>
      <c r="R193" s="526"/>
      <c r="S193" s="526"/>
      <c r="T193" s="526"/>
      <c r="U193" s="526"/>
      <c r="V193" s="526"/>
      <c r="W193" s="526"/>
      <c r="X193" s="526"/>
      <c r="Y193" s="526"/>
      <c r="Z193" s="526"/>
      <c r="AA193" s="526"/>
      <c r="AB193" s="526"/>
      <c r="AC193" s="526"/>
      <c r="AD193" s="526"/>
      <c r="AE193" s="526"/>
      <c r="AF193" s="526"/>
      <c r="AG193" s="526"/>
      <c r="AH193" s="526"/>
      <c r="AI193" s="526"/>
      <c r="AJ193" s="526"/>
      <c r="AK193" s="526"/>
      <c r="AL193" s="526"/>
      <c r="AM193" s="526"/>
      <c r="AN193" s="526"/>
      <c r="AO193" s="526"/>
      <c r="AP193" s="526"/>
      <c r="AQ193" s="526"/>
      <c r="AR193" s="526"/>
      <c r="AS193" s="526"/>
      <c r="AT193" s="526"/>
      <c r="AU193" s="526"/>
      <c r="AV193" s="526"/>
      <c r="AW193" s="526"/>
      <c r="AX193" s="526"/>
      <c r="AY193" s="526"/>
      <c r="AZ193" s="526"/>
      <c r="BA193" s="526"/>
      <c r="BB193" s="526"/>
      <c r="BC193" s="526"/>
      <c r="BD193" s="526"/>
      <c r="BE193" s="526"/>
      <c r="BF193" s="526"/>
      <c r="BG193" s="526"/>
      <c r="BH193" s="526"/>
      <c r="BI193" s="526"/>
      <c r="BJ193" s="526"/>
      <c r="BK193" s="526"/>
      <c r="BL193" s="526"/>
      <c r="BM193" s="526"/>
      <c r="BN193" s="526"/>
      <c r="BO193" s="526"/>
      <c r="BP193" s="526"/>
      <c r="BQ193" s="526"/>
      <c r="BR193" s="526"/>
      <c r="BS193" s="526"/>
      <c r="BT193" s="526"/>
      <c r="BU193" s="526"/>
      <c r="BV193" s="526"/>
      <c r="BW193" s="526"/>
      <c r="BX193" s="526"/>
      <c r="BY193" s="526"/>
      <c r="BZ193" s="526"/>
      <c r="CA193" s="526"/>
      <c r="CB193" s="526"/>
      <c r="CC193" s="526"/>
      <c r="CD193" s="526"/>
      <c r="CE193" s="526"/>
      <c r="CF193" s="526"/>
      <c r="CG193" s="526"/>
      <c r="CH193" s="526"/>
      <c r="CI193" s="526"/>
      <c r="CJ193" s="526"/>
      <c r="CK193" s="526"/>
      <c r="CL193" s="526"/>
      <c r="CM193" s="526"/>
      <c r="CN193" s="526"/>
      <c r="CO193" s="526"/>
      <c r="CP193" s="526"/>
      <c r="CQ193" s="526"/>
      <c r="CR193" s="526"/>
      <c r="CS193" s="526"/>
      <c r="CT193" s="526"/>
      <c r="CU193" s="526"/>
      <c r="CV193" s="526"/>
      <c r="CW193" s="526"/>
      <c r="CX193" s="526"/>
      <c r="CY193" s="526"/>
      <c r="CZ193" s="526"/>
      <c r="DA193" s="526"/>
      <c r="DB193" s="526"/>
      <c r="DC193" s="526"/>
      <c r="DD193" s="526"/>
      <c r="DE193" s="526"/>
      <c r="DF193" s="526"/>
      <c r="DG193" s="526"/>
      <c r="DH193" s="526"/>
      <c r="DI193" s="526"/>
      <c r="DJ193" s="526"/>
      <c r="DK193" s="526"/>
      <c r="DL193" s="526"/>
      <c r="DM193" s="526"/>
      <c r="DN193" s="526"/>
      <c r="DO193" s="526"/>
      <c r="DP193" s="526"/>
      <c r="DQ193" s="526"/>
      <c r="DR193" s="526"/>
      <c r="DS193" s="526"/>
      <c r="DT193" s="526"/>
      <c r="DU193" s="526"/>
      <c r="DV193" s="526"/>
      <c r="DW193" s="526"/>
      <c r="DX193" s="526"/>
      <c r="DY193" s="526"/>
      <c r="DZ193" s="526"/>
      <c r="EA193" s="526"/>
      <c r="EB193" s="526"/>
      <c r="EC193" s="526"/>
      <c r="ED193" s="526"/>
      <c r="EE193" s="526"/>
      <c r="EF193" s="526"/>
      <c r="EG193" s="526"/>
      <c r="EH193" s="526"/>
      <c r="EI193" s="526"/>
      <c r="EJ193" s="526"/>
      <c r="EK193" s="526"/>
      <c r="EL193" s="526"/>
      <c r="EM193" s="526"/>
      <c r="EN193" s="526"/>
      <c r="EO193" s="526"/>
      <c r="EP193" s="526"/>
      <c r="EQ193" s="526"/>
      <c r="ER193" s="526"/>
      <c r="ES193" s="526"/>
      <c r="ET193" s="526"/>
      <c r="EU193" s="526"/>
      <c r="EV193" s="526"/>
      <c r="EW193" s="526"/>
      <c r="EX193" s="526"/>
      <c r="EY193" s="526"/>
      <c r="EZ193" s="526"/>
      <c r="FA193" s="526"/>
      <c r="FB193" s="526"/>
      <c r="FC193" s="526"/>
      <c r="FD193" s="526"/>
      <c r="FE193" s="526"/>
      <c r="FF193" s="526"/>
      <c r="FG193" s="526"/>
      <c r="FH193" s="526"/>
      <c r="FI193" s="526"/>
      <c r="FJ193" s="526"/>
      <c r="FK193" s="526"/>
      <c r="FL193" s="526"/>
      <c r="FM193" s="526"/>
      <c r="FN193" s="526"/>
      <c r="FO193" s="526"/>
      <c r="FP193" s="526"/>
      <c r="FQ193" s="526"/>
      <c r="FR193" s="526"/>
      <c r="FS193" s="526"/>
      <c r="FT193" s="526"/>
      <c r="FU193" s="526"/>
      <c r="FV193" s="526"/>
      <c r="FW193" s="526"/>
      <c r="FX193" s="526"/>
      <c r="FY193" s="526"/>
      <c r="FZ193" s="526"/>
      <c r="GA193" s="526"/>
      <c r="GB193" s="526"/>
      <c r="GC193" s="526"/>
      <c r="GD193" s="526"/>
      <c r="GE193" s="526"/>
      <c r="GF193" s="526"/>
      <c r="GG193" s="526"/>
      <c r="GH193" s="526"/>
      <c r="GI193" s="526"/>
      <c r="GJ193" s="526"/>
      <c r="GK193" s="526"/>
      <c r="GL193" s="526"/>
      <c r="GM193" s="526"/>
      <c r="GN193" s="526"/>
      <c r="GO193" s="526"/>
      <c r="GP193" s="526"/>
      <c r="GQ193" s="526"/>
      <c r="GR193" s="526"/>
      <c r="GS193" s="526"/>
      <c r="GT193" s="526"/>
      <c r="GU193" s="526"/>
      <c r="GV193" s="526"/>
      <c r="GW193" s="526"/>
      <c r="GX193" s="526"/>
      <c r="GY193" s="526"/>
      <c r="GZ193" s="526"/>
      <c r="HA193" s="526"/>
      <c r="HB193" s="526"/>
      <c r="HC193" s="526"/>
      <c r="HD193" s="526"/>
      <c r="HE193" s="526"/>
      <c r="HF193" s="526"/>
      <c r="HG193" s="526"/>
      <c r="HH193" s="526"/>
      <c r="HI193" s="526"/>
      <c r="HJ193" s="526"/>
      <c r="HK193" s="526"/>
      <c r="HL193" s="526"/>
      <c r="HM193" s="526"/>
      <c r="HN193" s="526"/>
      <c r="HO193" s="526"/>
      <c r="HP193" s="526"/>
      <c r="HQ193" s="526"/>
      <c r="HR193" s="526"/>
      <c r="HS193" s="526"/>
      <c r="HT193" s="526"/>
      <c r="HU193" s="526"/>
      <c r="HV193" s="526"/>
      <c r="HW193" s="526"/>
      <c r="HX193" s="526"/>
      <c r="HY193" s="526"/>
      <c r="HZ193" s="526"/>
      <c r="IA193" s="526"/>
      <c r="IB193" s="526"/>
      <c r="IC193" s="526"/>
      <c r="ID193" s="526"/>
      <c r="IE193" s="526"/>
      <c r="IF193" s="526"/>
      <c r="IG193" s="526"/>
      <c r="IH193" s="526"/>
      <c r="II193" s="526"/>
      <c r="IJ193" s="526"/>
      <c r="IK193" s="526"/>
      <c r="IL193" s="526"/>
      <c r="IM193" s="526"/>
      <c r="IN193" s="526"/>
      <c r="IO193" s="526"/>
      <c r="IP193" s="526"/>
      <c r="IQ193" s="526"/>
    </row>
    <row r="194" spans="1:251" ht="18" customHeight="1">
      <c r="A194" s="525">
        <v>185</v>
      </c>
      <c r="B194" s="538"/>
      <c r="C194" s="543"/>
      <c r="D194" s="483" t="s">
        <v>1091</v>
      </c>
      <c r="E194" s="540"/>
      <c r="F194" s="541"/>
      <c r="G194" s="1460"/>
      <c r="H194" s="753"/>
      <c r="I194" s="728"/>
      <c r="J194" s="1561">
        <f>SUM(J192:J193)</f>
        <v>10</v>
      </c>
      <c r="K194" s="540"/>
      <c r="L194" s="1238">
        <f>SUM(I194:K194)</f>
        <v>10</v>
      </c>
      <c r="M194" s="542"/>
      <c r="N194" s="526"/>
      <c r="O194" s="526"/>
      <c r="P194" s="526"/>
      <c r="Q194" s="526"/>
      <c r="R194" s="526"/>
      <c r="S194" s="526"/>
      <c r="T194" s="526"/>
      <c r="U194" s="526"/>
      <c r="V194" s="526"/>
      <c r="W194" s="526"/>
      <c r="X194" s="526"/>
      <c r="Y194" s="526"/>
      <c r="Z194" s="526"/>
      <c r="AA194" s="526"/>
      <c r="AB194" s="526"/>
      <c r="AC194" s="526"/>
      <c r="AD194" s="526"/>
      <c r="AE194" s="526"/>
      <c r="AF194" s="526"/>
      <c r="AG194" s="526"/>
      <c r="AH194" s="526"/>
      <c r="AI194" s="526"/>
      <c r="AJ194" s="526"/>
      <c r="AK194" s="526"/>
      <c r="AL194" s="526"/>
      <c r="AM194" s="526"/>
      <c r="AN194" s="526"/>
      <c r="AO194" s="526"/>
      <c r="AP194" s="526"/>
      <c r="AQ194" s="526"/>
      <c r="AR194" s="526"/>
      <c r="AS194" s="526"/>
      <c r="AT194" s="526"/>
      <c r="AU194" s="526"/>
      <c r="AV194" s="526"/>
      <c r="AW194" s="526"/>
      <c r="AX194" s="526"/>
      <c r="AY194" s="526"/>
      <c r="AZ194" s="526"/>
      <c r="BA194" s="526"/>
      <c r="BB194" s="526"/>
      <c r="BC194" s="526"/>
      <c r="BD194" s="526"/>
      <c r="BE194" s="526"/>
      <c r="BF194" s="526"/>
      <c r="BG194" s="526"/>
      <c r="BH194" s="526"/>
      <c r="BI194" s="526"/>
      <c r="BJ194" s="526"/>
      <c r="BK194" s="526"/>
      <c r="BL194" s="526"/>
      <c r="BM194" s="526"/>
      <c r="BN194" s="526"/>
      <c r="BO194" s="526"/>
      <c r="BP194" s="526"/>
      <c r="BQ194" s="526"/>
      <c r="BR194" s="526"/>
      <c r="BS194" s="526"/>
      <c r="BT194" s="526"/>
      <c r="BU194" s="526"/>
      <c r="BV194" s="526"/>
      <c r="BW194" s="526"/>
      <c r="BX194" s="526"/>
      <c r="BY194" s="526"/>
      <c r="BZ194" s="526"/>
      <c r="CA194" s="526"/>
      <c r="CB194" s="526"/>
      <c r="CC194" s="526"/>
      <c r="CD194" s="526"/>
      <c r="CE194" s="526"/>
      <c r="CF194" s="526"/>
      <c r="CG194" s="526"/>
      <c r="CH194" s="526"/>
      <c r="CI194" s="526"/>
      <c r="CJ194" s="526"/>
      <c r="CK194" s="526"/>
      <c r="CL194" s="526"/>
      <c r="CM194" s="526"/>
      <c r="CN194" s="526"/>
      <c r="CO194" s="526"/>
      <c r="CP194" s="526"/>
      <c r="CQ194" s="526"/>
      <c r="CR194" s="526"/>
      <c r="CS194" s="526"/>
      <c r="CT194" s="526"/>
      <c r="CU194" s="526"/>
      <c r="CV194" s="526"/>
      <c r="CW194" s="526"/>
      <c r="CX194" s="526"/>
      <c r="CY194" s="526"/>
      <c r="CZ194" s="526"/>
      <c r="DA194" s="526"/>
      <c r="DB194" s="526"/>
      <c r="DC194" s="526"/>
      <c r="DD194" s="526"/>
      <c r="DE194" s="526"/>
      <c r="DF194" s="526"/>
      <c r="DG194" s="526"/>
      <c r="DH194" s="526"/>
      <c r="DI194" s="526"/>
      <c r="DJ194" s="526"/>
      <c r="DK194" s="526"/>
      <c r="DL194" s="526"/>
      <c r="DM194" s="526"/>
      <c r="DN194" s="526"/>
      <c r="DO194" s="526"/>
      <c r="DP194" s="526"/>
      <c r="DQ194" s="526"/>
      <c r="DR194" s="526"/>
      <c r="DS194" s="526"/>
      <c r="DT194" s="526"/>
      <c r="DU194" s="526"/>
      <c r="DV194" s="526"/>
      <c r="DW194" s="526"/>
      <c r="DX194" s="526"/>
      <c r="DY194" s="526"/>
      <c r="DZ194" s="526"/>
      <c r="EA194" s="526"/>
      <c r="EB194" s="526"/>
      <c r="EC194" s="526"/>
      <c r="ED194" s="526"/>
      <c r="EE194" s="526"/>
      <c r="EF194" s="526"/>
      <c r="EG194" s="526"/>
      <c r="EH194" s="526"/>
      <c r="EI194" s="526"/>
      <c r="EJ194" s="526"/>
      <c r="EK194" s="526"/>
      <c r="EL194" s="526"/>
      <c r="EM194" s="526"/>
      <c r="EN194" s="526"/>
      <c r="EO194" s="526"/>
      <c r="EP194" s="526"/>
      <c r="EQ194" s="526"/>
      <c r="ER194" s="526"/>
      <c r="ES194" s="526"/>
      <c r="ET194" s="526"/>
      <c r="EU194" s="526"/>
      <c r="EV194" s="526"/>
      <c r="EW194" s="526"/>
      <c r="EX194" s="526"/>
      <c r="EY194" s="526"/>
      <c r="EZ194" s="526"/>
      <c r="FA194" s="526"/>
      <c r="FB194" s="526"/>
      <c r="FC194" s="526"/>
      <c r="FD194" s="526"/>
      <c r="FE194" s="526"/>
      <c r="FF194" s="526"/>
      <c r="FG194" s="526"/>
      <c r="FH194" s="526"/>
      <c r="FI194" s="526"/>
      <c r="FJ194" s="526"/>
      <c r="FK194" s="526"/>
      <c r="FL194" s="526"/>
      <c r="FM194" s="526"/>
      <c r="FN194" s="526"/>
      <c r="FO194" s="526"/>
      <c r="FP194" s="526"/>
      <c r="FQ194" s="526"/>
      <c r="FR194" s="526"/>
      <c r="FS194" s="526"/>
      <c r="FT194" s="526"/>
      <c r="FU194" s="526"/>
      <c r="FV194" s="526"/>
      <c r="FW194" s="526"/>
      <c r="FX194" s="526"/>
      <c r="FY194" s="526"/>
      <c r="FZ194" s="526"/>
      <c r="GA194" s="526"/>
      <c r="GB194" s="526"/>
      <c r="GC194" s="526"/>
      <c r="GD194" s="526"/>
      <c r="GE194" s="526"/>
      <c r="GF194" s="526"/>
      <c r="GG194" s="526"/>
      <c r="GH194" s="526"/>
      <c r="GI194" s="526"/>
      <c r="GJ194" s="526"/>
      <c r="GK194" s="526"/>
      <c r="GL194" s="526"/>
      <c r="GM194" s="526"/>
      <c r="GN194" s="526"/>
      <c r="GO194" s="526"/>
      <c r="GP194" s="526"/>
      <c r="GQ194" s="526"/>
      <c r="GR194" s="526"/>
      <c r="GS194" s="526"/>
      <c r="GT194" s="526"/>
      <c r="GU194" s="526"/>
      <c r="GV194" s="526"/>
      <c r="GW194" s="526"/>
      <c r="GX194" s="526"/>
      <c r="GY194" s="526"/>
      <c r="GZ194" s="526"/>
      <c r="HA194" s="526"/>
      <c r="HB194" s="526"/>
      <c r="HC194" s="526"/>
      <c r="HD194" s="526"/>
      <c r="HE194" s="526"/>
      <c r="HF194" s="526"/>
      <c r="HG194" s="526"/>
      <c r="HH194" s="526"/>
      <c r="HI194" s="526"/>
      <c r="HJ194" s="526"/>
      <c r="HK194" s="526"/>
      <c r="HL194" s="526"/>
      <c r="HM194" s="526"/>
      <c r="HN194" s="526"/>
      <c r="HO194" s="526"/>
      <c r="HP194" s="526"/>
      <c r="HQ194" s="526"/>
      <c r="HR194" s="526"/>
      <c r="HS194" s="526"/>
      <c r="HT194" s="526"/>
      <c r="HU194" s="526"/>
      <c r="HV194" s="526"/>
      <c r="HW194" s="526"/>
      <c r="HX194" s="526"/>
      <c r="HY194" s="526"/>
      <c r="HZ194" s="526"/>
      <c r="IA194" s="526"/>
      <c r="IB194" s="526"/>
      <c r="IC194" s="526"/>
      <c r="ID194" s="526"/>
      <c r="IE194" s="526"/>
      <c r="IF194" s="526"/>
      <c r="IG194" s="526"/>
      <c r="IH194" s="526"/>
      <c r="II194" s="526"/>
      <c r="IJ194" s="526"/>
      <c r="IK194" s="526"/>
      <c r="IL194" s="526"/>
      <c r="IM194" s="526"/>
      <c r="IN194" s="526"/>
      <c r="IO194" s="526"/>
      <c r="IP194" s="526"/>
      <c r="IQ194" s="526"/>
    </row>
    <row r="195" spans="1:251" ht="29.25" customHeight="1">
      <c r="A195" s="525">
        <v>186</v>
      </c>
      <c r="B195" s="538"/>
      <c r="C195" s="543">
        <v>38</v>
      </c>
      <c r="D195" s="1013" t="s">
        <v>666</v>
      </c>
      <c r="E195" s="540">
        <f>F195+G195+L199+M196</f>
        <v>140048</v>
      </c>
      <c r="F195" s="541"/>
      <c r="G195" s="1460"/>
      <c r="H195" s="753" t="s">
        <v>23</v>
      </c>
      <c r="I195" s="728"/>
      <c r="J195" s="540"/>
      <c r="K195" s="540"/>
      <c r="L195" s="551"/>
      <c r="M195" s="542"/>
      <c r="N195" s="526"/>
      <c r="O195" s="526"/>
      <c r="P195" s="526"/>
      <c r="Q195" s="526"/>
      <c r="R195" s="526"/>
      <c r="S195" s="526"/>
      <c r="T195" s="526"/>
      <c r="U195" s="526"/>
      <c r="V195" s="526"/>
      <c r="W195" s="526"/>
      <c r="X195" s="526"/>
      <c r="Y195" s="526"/>
      <c r="Z195" s="526"/>
      <c r="AA195" s="526"/>
      <c r="AB195" s="526"/>
      <c r="AC195" s="526"/>
      <c r="AD195" s="526"/>
      <c r="AE195" s="526"/>
      <c r="AF195" s="526"/>
      <c r="AG195" s="526"/>
      <c r="AH195" s="526"/>
      <c r="AI195" s="526"/>
      <c r="AJ195" s="526"/>
      <c r="AK195" s="526"/>
      <c r="AL195" s="526"/>
      <c r="AM195" s="526"/>
      <c r="AN195" s="526"/>
      <c r="AO195" s="526"/>
      <c r="AP195" s="526"/>
      <c r="AQ195" s="526"/>
      <c r="AR195" s="526"/>
      <c r="AS195" s="526"/>
      <c r="AT195" s="526"/>
      <c r="AU195" s="526"/>
      <c r="AV195" s="526"/>
      <c r="AW195" s="526"/>
      <c r="AX195" s="526"/>
      <c r="AY195" s="526"/>
      <c r="AZ195" s="526"/>
      <c r="BA195" s="526"/>
      <c r="BB195" s="526"/>
      <c r="BC195" s="526"/>
      <c r="BD195" s="526"/>
      <c r="BE195" s="526"/>
      <c r="BF195" s="526"/>
      <c r="BG195" s="526"/>
      <c r="BH195" s="526"/>
      <c r="BI195" s="526"/>
      <c r="BJ195" s="526"/>
      <c r="BK195" s="526"/>
      <c r="BL195" s="526"/>
      <c r="BM195" s="526"/>
      <c r="BN195" s="526"/>
      <c r="BO195" s="526"/>
      <c r="BP195" s="526"/>
      <c r="BQ195" s="526"/>
      <c r="BR195" s="526"/>
      <c r="BS195" s="526"/>
      <c r="BT195" s="526"/>
      <c r="BU195" s="526"/>
      <c r="BV195" s="526"/>
      <c r="BW195" s="526"/>
      <c r="BX195" s="526"/>
      <c r="BY195" s="526"/>
      <c r="BZ195" s="526"/>
      <c r="CA195" s="526"/>
      <c r="CB195" s="526"/>
      <c r="CC195" s="526"/>
      <c r="CD195" s="526"/>
      <c r="CE195" s="526"/>
      <c r="CF195" s="526"/>
      <c r="CG195" s="526"/>
      <c r="CH195" s="526"/>
      <c r="CI195" s="526"/>
      <c r="CJ195" s="526"/>
      <c r="CK195" s="526"/>
      <c r="CL195" s="526"/>
      <c r="CM195" s="526"/>
      <c r="CN195" s="526"/>
      <c r="CO195" s="526"/>
      <c r="CP195" s="526"/>
      <c r="CQ195" s="526"/>
      <c r="CR195" s="526"/>
      <c r="CS195" s="526"/>
      <c r="CT195" s="526"/>
      <c r="CU195" s="526"/>
      <c r="CV195" s="526"/>
      <c r="CW195" s="526"/>
      <c r="CX195" s="526"/>
      <c r="CY195" s="526"/>
      <c r="CZ195" s="526"/>
      <c r="DA195" s="526"/>
      <c r="DB195" s="526"/>
      <c r="DC195" s="526"/>
      <c r="DD195" s="526"/>
      <c r="DE195" s="526"/>
      <c r="DF195" s="526"/>
      <c r="DG195" s="526"/>
      <c r="DH195" s="526"/>
      <c r="DI195" s="526"/>
      <c r="DJ195" s="526"/>
      <c r="DK195" s="526"/>
      <c r="DL195" s="526"/>
      <c r="DM195" s="526"/>
      <c r="DN195" s="526"/>
      <c r="DO195" s="526"/>
      <c r="DP195" s="526"/>
      <c r="DQ195" s="526"/>
      <c r="DR195" s="526"/>
      <c r="DS195" s="526"/>
      <c r="DT195" s="526"/>
      <c r="DU195" s="526"/>
      <c r="DV195" s="526"/>
      <c r="DW195" s="526"/>
      <c r="DX195" s="526"/>
      <c r="DY195" s="526"/>
      <c r="DZ195" s="526"/>
      <c r="EA195" s="526"/>
      <c r="EB195" s="526"/>
      <c r="EC195" s="526"/>
      <c r="ED195" s="526"/>
      <c r="EE195" s="526"/>
      <c r="EF195" s="526"/>
      <c r="EG195" s="526"/>
      <c r="EH195" s="526"/>
      <c r="EI195" s="526"/>
      <c r="EJ195" s="526"/>
      <c r="EK195" s="526"/>
      <c r="EL195" s="526"/>
      <c r="EM195" s="526"/>
      <c r="EN195" s="526"/>
      <c r="EO195" s="526"/>
      <c r="EP195" s="526"/>
      <c r="EQ195" s="526"/>
      <c r="ER195" s="526"/>
      <c r="ES195" s="526"/>
      <c r="ET195" s="526"/>
      <c r="EU195" s="526"/>
      <c r="EV195" s="526"/>
      <c r="EW195" s="526"/>
      <c r="EX195" s="526"/>
      <c r="EY195" s="526"/>
      <c r="EZ195" s="526"/>
      <c r="FA195" s="526"/>
      <c r="FB195" s="526"/>
      <c r="FC195" s="526"/>
      <c r="FD195" s="526"/>
      <c r="FE195" s="526"/>
      <c r="FF195" s="526"/>
      <c r="FG195" s="526"/>
      <c r="FH195" s="526"/>
      <c r="FI195" s="526"/>
      <c r="FJ195" s="526"/>
      <c r="FK195" s="526"/>
      <c r="FL195" s="526"/>
      <c r="FM195" s="526"/>
      <c r="FN195" s="526"/>
      <c r="FO195" s="526"/>
      <c r="FP195" s="526"/>
      <c r="FQ195" s="526"/>
      <c r="FR195" s="526"/>
      <c r="FS195" s="526"/>
      <c r="FT195" s="526"/>
      <c r="FU195" s="526"/>
      <c r="FV195" s="526"/>
      <c r="FW195" s="526"/>
      <c r="FX195" s="526"/>
      <c r="FY195" s="526"/>
      <c r="FZ195" s="526"/>
      <c r="GA195" s="526"/>
      <c r="GB195" s="526"/>
      <c r="GC195" s="526"/>
      <c r="GD195" s="526"/>
      <c r="GE195" s="526"/>
      <c r="GF195" s="526"/>
      <c r="GG195" s="526"/>
      <c r="GH195" s="526"/>
      <c r="GI195" s="526"/>
      <c r="GJ195" s="526"/>
      <c r="GK195" s="526"/>
      <c r="GL195" s="526"/>
      <c r="GM195" s="526"/>
      <c r="GN195" s="526"/>
      <c r="GO195" s="526"/>
      <c r="GP195" s="526"/>
      <c r="GQ195" s="526"/>
      <c r="GR195" s="526"/>
      <c r="GS195" s="526"/>
      <c r="GT195" s="526"/>
      <c r="GU195" s="526"/>
      <c r="GV195" s="526"/>
      <c r="GW195" s="526"/>
      <c r="GX195" s="526"/>
      <c r="GY195" s="526"/>
      <c r="GZ195" s="526"/>
      <c r="HA195" s="526"/>
      <c r="HB195" s="526"/>
      <c r="HC195" s="526"/>
      <c r="HD195" s="526"/>
      <c r="HE195" s="526"/>
      <c r="HF195" s="526"/>
      <c r="HG195" s="526"/>
      <c r="HH195" s="526"/>
      <c r="HI195" s="526"/>
      <c r="HJ195" s="526"/>
      <c r="HK195" s="526"/>
      <c r="HL195" s="526"/>
      <c r="HM195" s="526"/>
      <c r="HN195" s="526"/>
      <c r="HO195" s="526"/>
      <c r="HP195" s="526"/>
      <c r="HQ195" s="526"/>
      <c r="HR195" s="526"/>
      <c r="HS195" s="526"/>
      <c r="HT195" s="526"/>
      <c r="HU195" s="526"/>
      <c r="HV195" s="526"/>
      <c r="HW195" s="526"/>
      <c r="HX195" s="526"/>
      <c r="HY195" s="526"/>
      <c r="HZ195" s="526"/>
      <c r="IA195" s="526"/>
      <c r="IB195" s="526"/>
      <c r="IC195" s="526"/>
      <c r="ID195" s="526"/>
      <c r="IE195" s="526"/>
      <c r="IF195" s="526"/>
      <c r="IG195" s="526"/>
      <c r="IH195" s="526"/>
      <c r="II195" s="526"/>
      <c r="IJ195" s="526"/>
      <c r="IK195" s="526"/>
      <c r="IL195" s="526"/>
      <c r="IM195" s="526"/>
      <c r="IN195" s="526"/>
      <c r="IO195" s="526"/>
      <c r="IP195" s="526"/>
      <c r="IQ195" s="526"/>
    </row>
    <row r="196" spans="1:251" ht="18" customHeight="1">
      <c r="A196" s="525">
        <v>187</v>
      </c>
      <c r="B196" s="538"/>
      <c r="C196" s="543"/>
      <c r="D196" s="594" t="s">
        <v>283</v>
      </c>
      <c r="E196" s="540"/>
      <c r="F196" s="541"/>
      <c r="G196" s="1460"/>
      <c r="H196" s="753"/>
      <c r="I196" s="728"/>
      <c r="J196" s="1422">
        <v>140048</v>
      </c>
      <c r="K196" s="1422"/>
      <c r="L196" s="1423">
        <f>SUM(I196:K196)</f>
        <v>140048</v>
      </c>
      <c r="M196" s="542"/>
      <c r="N196" s="526"/>
      <c r="O196" s="526"/>
      <c r="P196" s="526"/>
      <c r="Q196" s="526"/>
      <c r="R196" s="526"/>
      <c r="S196" s="526"/>
      <c r="T196" s="526"/>
      <c r="U196" s="526"/>
      <c r="V196" s="526"/>
      <c r="W196" s="526"/>
      <c r="X196" s="526"/>
      <c r="Y196" s="526"/>
      <c r="Z196" s="526"/>
      <c r="AA196" s="526"/>
      <c r="AB196" s="526"/>
      <c r="AC196" s="526"/>
      <c r="AD196" s="526"/>
      <c r="AE196" s="526"/>
      <c r="AF196" s="526"/>
      <c r="AG196" s="526"/>
      <c r="AH196" s="526"/>
      <c r="AI196" s="526"/>
      <c r="AJ196" s="526"/>
      <c r="AK196" s="526"/>
      <c r="AL196" s="526"/>
      <c r="AM196" s="526"/>
      <c r="AN196" s="526"/>
      <c r="AO196" s="526"/>
      <c r="AP196" s="526"/>
      <c r="AQ196" s="526"/>
      <c r="AR196" s="526"/>
      <c r="AS196" s="526"/>
      <c r="AT196" s="526"/>
      <c r="AU196" s="526"/>
      <c r="AV196" s="526"/>
      <c r="AW196" s="526"/>
      <c r="AX196" s="526"/>
      <c r="AY196" s="526"/>
      <c r="AZ196" s="526"/>
      <c r="BA196" s="526"/>
      <c r="BB196" s="526"/>
      <c r="BC196" s="526"/>
      <c r="BD196" s="526"/>
      <c r="BE196" s="526"/>
      <c r="BF196" s="526"/>
      <c r="BG196" s="526"/>
      <c r="BH196" s="526"/>
      <c r="BI196" s="526"/>
      <c r="BJ196" s="526"/>
      <c r="BK196" s="526"/>
      <c r="BL196" s="526"/>
      <c r="BM196" s="526"/>
      <c r="BN196" s="526"/>
      <c r="BO196" s="526"/>
      <c r="BP196" s="526"/>
      <c r="BQ196" s="526"/>
      <c r="BR196" s="526"/>
      <c r="BS196" s="526"/>
      <c r="BT196" s="526"/>
      <c r="BU196" s="526"/>
      <c r="BV196" s="526"/>
      <c r="BW196" s="526"/>
      <c r="BX196" s="526"/>
      <c r="BY196" s="526"/>
      <c r="BZ196" s="526"/>
      <c r="CA196" s="526"/>
      <c r="CB196" s="526"/>
      <c r="CC196" s="526"/>
      <c r="CD196" s="526"/>
      <c r="CE196" s="526"/>
      <c r="CF196" s="526"/>
      <c r="CG196" s="526"/>
      <c r="CH196" s="526"/>
      <c r="CI196" s="526"/>
      <c r="CJ196" s="526"/>
      <c r="CK196" s="526"/>
      <c r="CL196" s="526"/>
      <c r="CM196" s="526"/>
      <c r="CN196" s="526"/>
      <c r="CO196" s="526"/>
      <c r="CP196" s="526"/>
      <c r="CQ196" s="526"/>
      <c r="CR196" s="526"/>
      <c r="CS196" s="526"/>
      <c r="CT196" s="526"/>
      <c r="CU196" s="526"/>
      <c r="CV196" s="526"/>
      <c r="CW196" s="526"/>
      <c r="CX196" s="526"/>
      <c r="CY196" s="526"/>
      <c r="CZ196" s="526"/>
      <c r="DA196" s="526"/>
      <c r="DB196" s="526"/>
      <c r="DC196" s="526"/>
      <c r="DD196" s="526"/>
      <c r="DE196" s="526"/>
      <c r="DF196" s="526"/>
      <c r="DG196" s="526"/>
      <c r="DH196" s="526"/>
      <c r="DI196" s="526"/>
      <c r="DJ196" s="526"/>
      <c r="DK196" s="526"/>
      <c r="DL196" s="526"/>
      <c r="DM196" s="526"/>
      <c r="DN196" s="526"/>
      <c r="DO196" s="526"/>
      <c r="DP196" s="526"/>
      <c r="DQ196" s="526"/>
      <c r="DR196" s="526"/>
      <c r="DS196" s="526"/>
      <c r="DT196" s="526"/>
      <c r="DU196" s="526"/>
      <c r="DV196" s="526"/>
      <c r="DW196" s="526"/>
      <c r="DX196" s="526"/>
      <c r="DY196" s="526"/>
      <c r="DZ196" s="526"/>
      <c r="EA196" s="526"/>
      <c r="EB196" s="526"/>
      <c r="EC196" s="526"/>
      <c r="ED196" s="526"/>
      <c r="EE196" s="526"/>
      <c r="EF196" s="526"/>
      <c r="EG196" s="526"/>
      <c r="EH196" s="526"/>
      <c r="EI196" s="526"/>
      <c r="EJ196" s="526"/>
      <c r="EK196" s="526"/>
      <c r="EL196" s="526"/>
      <c r="EM196" s="526"/>
      <c r="EN196" s="526"/>
      <c r="EO196" s="526"/>
      <c r="EP196" s="526"/>
      <c r="EQ196" s="526"/>
      <c r="ER196" s="526"/>
      <c r="ES196" s="526"/>
      <c r="ET196" s="526"/>
      <c r="EU196" s="526"/>
      <c r="EV196" s="526"/>
      <c r="EW196" s="526"/>
      <c r="EX196" s="526"/>
      <c r="EY196" s="526"/>
      <c r="EZ196" s="526"/>
      <c r="FA196" s="526"/>
      <c r="FB196" s="526"/>
      <c r="FC196" s="526"/>
      <c r="FD196" s="526"/>
      <c r="FE196" s="526"/>
      <c r="FF196" s="526"/>
      <c r="FG196" s="526"/>
      <c r="FH196" s="526"/>
      <c r="FI196" s="526"/>
      <c r="FJ196" s="526"/>
      <c r="FK196" s="526"/>
      <c r="FL196" s="526"/>
      <c r="FM196" s="526"/>
      <c r="FN196" s="526"/>
      <c r="FO196" s="526"/>
      <c r="FP196" s="526"/>
      <c r="FQ196" s="526"/>
      <c r="FR196" s="526"/>
      <c r="FS196" s="526"/>
      <c r="FT196" s="526"/>
      <c r="FU196" s="526"/>
      <c r="FV196" s="526"/>
      <c r="FW196" s="526"/>
      <c r="FX196" s="526"/>
      <c r="FY196" s="526"/>
      <c r="FZ196" s="526"/>
      <c r="GA196" s="526"/>
      <c r="GB196" s="526"/>
      <c r="GC196" s="526"/>
      <c r="GD196" s="526"/>
      <c r="GE196" s="526"/>
      <c r="GF196" s="526"/>
      <c r="GG196" s="526"/>
      <c r="GH196" s="526"/>
      <c r="GI196" s="526"/>
      <c r="GJ196" s="526"/>
      <c r="GK196" s="526"/>
      <c r="GL196" s="526"/>
      <c r="GM196" s="526"/>
      <c r="GN196" s="526"/>
      <c r="GO196" s="526"/>
      <c r="GP196" s="526"/>
      <c r="GQ196" s="526"/>
      <c r="GR196" s="526"/>
      <c r="GS196" s="526"/>
      <c r="GT196" s="526"/>
      <c r="GU196" s="526"/>
      <c r="GV196" s="526"/>
      <c r="GW196" s="526"/>
      <c r="GX196" s="526"/>
      <c r="GY196" s="526"/>
      <c r="GZ196" s="526"/>
      <c r="HA196" s="526"/>
      <c r="HB196" s="526"/>
      <c r="HC196" s="526"/>
      <c r="HD196" s="526"/>
      <c r="HE196" s="526"/>
      <c r="HF196" s="526"/>
      <c r="HG196" s="526"/>
      <c r="HH196" s="526"/>
      <c r="HI196" s="526"/>
      <c r="HJ196" s="526"/>
      <c r="HK196" s="526"/>
      <c r="HL196" s="526"/>
      <c r="HM196" s="526"/>
      <c r="HN196" s="526"/>
      <c r="HO196" s="526"/>
      <c r="HP196" s="526"/>
      <c r="HQ196" s="526"/>
      <c r="HR196" s="526"/>
      <c r="HS196" s="526"/>
      <c r="HT196" s="526"/>
      <c r="HU196" s="526"/>
      <c r="HV196" s="526"/>
      <c r="HW196" s="526"/>
      <c r="HX196" s="526"/>
      <c r="HY196" s="526"/>
      <c r="HZ196" s="526"/>
      <c r="IA196" s="526"/>
      <c r="IB196" s="526"/>
      <c r="IC196" s="526"/>
      <c r="ID196" s="526"/>
      <c r="IE196" s="526"/>
      <c r="IF196" s="526"/>
      <c r="IG196" s="526"/>
      <c r="IH196" s="526"/>
      <c r="II196" s="526"/>
      <c r="IJ196" s="526"/>
      <c r="IK196" s="526"/>
      <c r="IL196" s="526"/>
      <c r="IM196" s="526"/>
      <c r="IN196" s="526"/>
      <c r="IO196" s="526"/>
      <c r="IP196" s="526"/>
      <c r="IQ196" s="526"/>
    </row>
    <row r="197" spans="1:251" ht="18" customHeight="1">
      <c r="A197" s="525">
        <v>188</v>
      </c>
      <c r="B197" s="538"/>
      <c r="C197" s="543"/>
      <c r="D197" s="483" t="s">
        <v>938</v>
      </c>
      <c r="E197" s="540"/>
      <c r="F197" s="541"/>
      <c r="G197" s="1460"/>
      <c r="H197" s="753"/>
      <c r="I197" s="728"/>
      <c r="J197" s="1561">
        <v>140048</v>
      </c>
      <c r="K197" s="1561"/>
      <c r="L197" s="1669">
        <f>SUM(I197:K197)</f>
        <v>140048</v>
      </c>
      <c r="M197" s="542"/>
      <c r="N197" s="526"/>
      <c r="O197" s="526"/>
      <c r="P197" s="526"/>
      <c r="Q197" s="526"/>
      <c r="R197" s="526"/>
      <c r="S197" s="526"/>
      <c r="T197" s="526"/>
      <c r="U197" s="526"/>
      <c r="V197" s="526"/>
      <c r="W197" s="526"/>
      <c r="X197" s="526"/>
      <c r="Y197" s="526"/>
      <c r="Z197" s="526"/>
      <c r="AA197" s="526"/>
      <c r="AB197" s="526"/>
      <c r="AC197" s="526"/>
      <c r="AD197" s="526"/>
      <c r="AE197" s="526"/>
      <c r="AF197" s="526"/>
      <c r="AG197" s="526"/>
      <c r="AH197" s="526"/>
      <c r="AI197" s="526"/>
      <c r="AJ197" s="526"/>
      <c r="AK197" s="526"/>
      <c r="AL197" s="526"/>
      <c r="AM197" s="526"/>
      <c r="AN197" s="526"/>
      <c r="AO197" s="526"/>
      <c r="AP197" s="526"/>
      <c r="AQ197" s="526"/>
      <c r="AR197" s="526"/>
      <c r="AS197" s="526"/>
      <c r="AT197" s="526"/>
      <c r="AU197" s="526"/>
      <c r="AV197" s="526"/>
      <c r="AW197" s="526"/>
      <c r="AX197" s="526"/>
      <c r="AY197" s="526"/>
      <c r="AZ197" s="526"/>
      <c r="BA197" s="526"/>
      <c r="BB197" s="526"/>
      <c r="BC197" s="526"/>
      <c r="BD197" s="526"/>
      <c r="BE197" s="526"/>
      <c r="BF197" s="526"/>
      <c r="BG197" s="526"/>
      <c r="BH197" s="526"/>
      <c r="BI197" s="526"/>
      <c r="BJ197" s="526"/>
      <c r="BK197" s="526"/>
      <c r="BL197" s="526"/>
      <c r="BM197" s="526"/>
      <c r="BN197" s="526"/>
      <c r="BO197" s="526"/>
      <c r="BP197" s="526"/>
      <c r="BQ197" s="526"/>
      <c r="BR197" s="526"/>
      <c r="BS197" s="526"/>
      <c r="BT197" s="526"/>
      <c r="BU197" s="526"/>
      <c r="BV197" s="526"/>
      <c r="BW197" s="526"/>
      <c r="BX197" s="526"/>
      <c r="BY197" s="526"/>
      <c r="BZ197" s="526"/>
      <c r="CA197" s="526"/>
      <c r="CB197" s="526"/>
      <c r="CC197" s="526"/>
      <c r="CD197" s="526"/>
      <c r="CE197" s="526"/>
      <c r="CF197" s="526"/>
      <c r="CG197" s="526"/>
      <c r="CH197" s="526"/>
      <c r="CI197" s="526"/>
      <c r="CJ197" s="526"/>
      <c r="CK197" s="526"/>
      <c r="CL197" s="526"/>
      <c r="CM197" s="526"/>
      <c r="CN197" s="526"/>
      <c r="CO197" s="526"/>
      <c r="CP197" s="526"/>
      <c r="CQ197" s="526"/>
      <c r="CR197" s="526"/>
      <c r="CS197" s="526"/>
      <c r="CT197" s="526"/>
      <c r="CU197" s="526"/>
      <c r="CV197" s="526"/>
      <c r="CW197" s="526"/>
      <c r="CX197" s="526"/>
      <c r="CY197" s="526"/>
      <c r="CZ197" s="526"/>
      <c r="DA197" s="526"/>
      <c r="DB197" s="526"/>
      <c r="DC197" s="526"/>
      <c r="DD197" s="526"/>
      <c r="DE197" s="526"/>
      <c r="DF197" s="526"/>
      <c r="DG197" s="526"/>
      <c r="DH197" s="526"/>
      <c r="DI197" s="526"/>
      <c r="DJ197" s="526"/>
      <c r="DK197" s="526"/>
      <c r="DL197" s="526"/>
      <c r="DM197" s="526"/>
      <c r="DN197" s="526"/>
      <c r="DO197" s="526"/>
      <c r="DP197" s="526"/>
      <c r="DQ197" s="526"/>
      <c r="DR197" s="526"/>
      <c r="DS197" s="526"/>
      <c r="DT197" s="526"/>
      <c r="DU197" s="526"/>
      <c r="DV197" s="526"/>
      <c r="DW197" s="526"/>
      <c r="DX197" s="526"/>
      <c r="DY197" s="526"/>
      <c r="DZ197" s="526"/>
      <c r="EA197" s="526"/>
      <c r="EB197" s="526"/>
      <c r="EC197" s="526"/>
      <c r="ED197" s="526"/>
      <c r="EE197" s="526"/>
      <c r="EF197" s="526"/>
      <c r="EG197" s="526"/>
      <c r="EH197" s="526"/>
      <c r="EI197" s="526"/>
      <c r="EJ197" s="526"/>
      <c r="EK197" s="526"/>
      <c r="EL197" s="526"/>
      <c r="EM197" s="526"/>
      <c r="EN197" s="526"/>
      <c r="EO197" s="526"/>
      <c r="EP197" s="526"/>
      <c r="EQ197" s="526"/>
      <c r="ER197" s="526"/>
      <c r="ES197" s="526"/>
      <c r="ET197" s="526"/>
      <c r="EU197" s="526"/>
      <c r="EV197" s="526"/>
      <c r="EW197" s="526"/>
      <c r="EX197" s="526"/>
      <c r="EY197" s="526"/>
      <c r="EZ197" s="526"/>
      <c r="FA197" s="526"/>
      <c r="FB197" s="526"/>
      <c r="FC197" s="526"/>
      <c r="FD197" s="526"/>
      <c r="FE197" s="526"/>
      <c r="FF197" s="526"/>
      <c r="FG197" s="526"/>
      <c r="FH197" s="526"/>
      <c r="FI197" s="526"/>
      <c r="FJ197" s="526"/>
      <c r="FK197" s="526"/>
      <c r="FL197" s="526"/>
      <c r="FM197" s="526"/>
      <c r="FN197" s="526"/>
      <c r="FO197" s="526"/>
      <c r="FP197" s="526"/>
      <c r="FQ197" s="526"/>
      <c r="FR197" s="526"/>
      <c r="FS197" s="526"/>
      <c r="FT197" s="526"/>
      <c r="FU197" s="526"/>
      <c r="FV197" s="526"/>
      <c r="FW197" s="526"/>
      <c r="FX197" s="526"/>
      <c r="FY197" s="526"/>
      <c r="FZ197" s="526"/>
      <c r="GA197" s="526"/>
      <c r="GB197" s="526"/>
      <c r="GC197" s="526"/>
      <c r="GD197" s="526"/>
      <c r="GE197" s="526"/>
      <c r="GF197" s="526"/>
      <c r="GG197" s="526"/>
      <c r="GH197" s="526"/>
      <c r="GI197" s="526"/>
      <c r="GJ197" s="526"/>
      <c r="GK197" s="526"/>
      <c r="GL197" s="526"/>
      <c r="GM197" s="526"/>
      <c r="GN197" s="526"/>
      <c r="GO197" s="526"/>
      <c r="GP197" s="526"/>
      <c r="GQ197" s="526"/>
      <c r="GR197" s="526"/>
      <c r="GS197" s="526"/>
      <c r="GT197" s="526"/>
      <c r="GU197" s="526"/>
      <c r="GV197" s="526"/>
      <c r="GW197" s="526"/>
      <c r="GX197" s="526"/>
      <c r="GY197" s="526"/>
      <c r="GZ197" s="526"/>
      <c r="HA197" s="526"/>
      <c r="HB197" s="526"/>
      <c r="HC197" s="526"/>
      <c r="HD197" s="526"/>
      <c r="HE197" s="526"/>
      <c r="HF197" s="526"/>
      <c r="HG197" s="526"/>
      <c r="HH197" s="526"/>
      <c r="HI197" s="526"/>
      <c r="HJ197" s="526"/>
      <c r="HK197" s="526"/>
      <c r="HL197" s="526"/>
      <c r="HM197" s="526"/>
      <c r="HN197" s="526"/>
      <c r="HO197" s="526"/>
      <c r="HP197" s="526"/>
      <c r="HQ197" s="526"/>
      <c r="HR197" s="526"/>
      <c r="HS197" s="526"/>
      <c r="HT197" s="526"/>
      <c r="HU197" s="526"/>
      <c r="HV197" s="526"/>
      <c r="HW197" s="526"/>
      <c r="HX197" s="526"/>
      <c r="HY197" s="526"/>
      <c r="HZ197" s="526"/>
      <c r="IA197" s="526"/>
      <c r="IB197" s="526"/>
      <c r="IC197" s="526"/>
      <c r="ID197" s="526"/>
      <c r="IE197" s="526"/>
      <c r="IF197" s="526"/>
      <c r="IG197" s="526"/>
      <c r="IH197" s="526"/>
      <c r="II197" s="526"/>
      <c r="IJ197" s="526"/>
      <c r="IK197" s="526"/>
      <c r="IL197" s="526"/>
      <c r="IM197" s="526"/>
      <c r="IN197" s="526"/>
      <c r="IO197" s="526"/>
      <c r="IP197" s="526"/>
      <c r="IQ197" s="526"/>
    </row>
    <row r="198" spans="1:251" ht="18" customHeight="1">
      <c r="A198" s="525">
        <v>189</v>
      </c>
      <c r="B198" s="538"/>
      <c r="C198" s="543"/>
      <c r="D198" s="1146" t="s">
        <v>674</v>
      </c>
      <c r="E198" s="540"/>
      <c r="F198" s="541"/>
      <c r="G198" s="1460"/>
      <c r="H198" s="753"/>
      <c r="I198" s="728"/>
      <c r="J198" s="540"/>
      <c r="K198" s="540"/>
      <c r="L198" s="1241">
        <f>SUM(I198:K198)</f>
        <v>0</v>
      </c>
      <c r="M198" s="542"/>
      <c r="N198" s="526"/>
      <c r="O198" s="526"/>
      <c r="P198" s="526"/>
      <c r="Q198" s="526"/>
      <c r="R198" s="526"/>
      <c r="S198" s="526"/>
      <c r="T198" s="526"/>
      <c r="U198" s="526"/>
      <c r="V198" s="526"/>
      <c r="W198" s="526"/>
      <c r="X198" s="526"/>
      <c r="Y198" s="526"/>
      <c r="Z198" s="526"/>
      <c r="AA198" s="526"/>
      <c r="AB198" s="526"/>
      <c r="AC198" s="526"/>
      <c r="AD198" s="526"/>
      <c r="AE198" s="526"/>
      <c r="AF198" s="526"/>
      <c r="AG198" s="526"/>
      <c r="AH198" s="526"/>
      <c r="AI198" s="526"/>
      <c r="AJ198" s="526"/>
      <c r="AK198" s="526"/>
      <c r="AL198" s="526"/>
      <c r="AM198" s="526"/>
      <c r="AN198" s="526"/>
      <c r="AO198" s="526"/>
      <c r="AP198" s="526"/>
      <c r="AQ198" s="526"/>
      <c r="AR198" s="526"/>
      <c r="AS198" s="526"/>
      <c r="AT198" s="526"/>
      <c r="AU198" s="526"/>
      <c r="AV198" s="526"/>
      <c r="AW198" s="526"/>
      <c r="AX198" s="526"/>
      <c r="AY198" s="526"/>
      <c r="AZ198" s="526"/>
      <c r="BA198" s="526"/>
      <c r="BB198" s="526"/>
      <c r="BC198" s="526"/>
      <c r="BD198" s="526"/>
      <c r="BE198" s="526"/>
      <c r="BF198" s="526"/>
      <c r="BG198" s="526"/>
      <c r="BH198" s="526"/>
      <c r="BI198" s="526"/>
      <c r="BJ198" s="526"/>
      <c r="BK198" s="526"/>
      <c r="BL198" s="526"/>
      <c r="BM198" s="526"/>
      <c r="BN198" s="526"/>
      <c r="BO198" s="526"/>
      <c r="BP198" s="526"/>
      <c r="BQ198" s="526"/>
      <c r="BR198" s="526"/>
      <c r="BS198" s="526"/>
      <c r="BT198" s="526"/>
      <c r="BU198" s="526"/>
      <c r="BV198" s="526"/>
      <c r="BW198" s="526"/>
      <c r="BX198" s="526"/>
      <c r="BY198" s="526"/>
      <c r="BZ198" s="526"/>
      <c r="CA198" s="526"/>
      <c r="CB198" s="526"/>
      <c r="CC198" s="526"/>
      <c r="CD198" s="526"/>
      <c r="CE198" s="526"/>
      <c r="CF198" s="526"/>
      <c r="CG198" s="526"/>
      <c r="CH198" s="526"/>
      <c r="CI198" s="526"/>
      <c r="CJ198" s="526"/>
      <c r="CK198" s="526"/>
      <c r="CL198" s="526"/>
      <c r="CM198" s="526"/>
      <c r="CN198" s="526"/>
      <c r="CO198" s="526"/>
      <c r="CP198" s="526"/>
      <c r="CQ198" s="526"/>
      <c r="CR198" s="526"/>
      <c r="CS198" s="526"/>
      <c r="CT198" s="526"/>
      <c r="CU198" s="526"/>
      <c r="CV198" s="526"/>
      <c r="CW198" s="526"/>
      <c r="CX198" s="526"/>
      <c r="CY198" s="526"/>
      <c r="CZ198" s="526"/>
      <c r="DA198" s="526"/>
      <c r="DB198" s="526"/>
      <c r="DC198" s="526"/>
      <c r="DD198" s="526"/>
      <c r="DE198" s="526"/>
      <c r="DF198" s="526"/>
      <c r="DG198" s="526"/>
      <c r="DH198" s="526"/>
      <c r="DI198" s="526"/>
      <c r="DJ198" s="526"/>
      <c r="DK198" s="526"/>
      <c r="DL198" s="526"/>
      <c r="DM198" s="526"/>
      <c r="DN198" s="526"/>
      <c r="DO198" s="526"/>
      <c r="DP198" s="526"/>
      <c r="DQ198" s="526"/>
      <c r="DR198" s="526"/>
      <c r="DS198" s="526"/>
      <c r="DT198" s="526"/>
      <c r="DU198" s="526"/>
      <c r="DV198" s="526"/>
      <c r="DW198" s="526"/>
      <c r="DX198" s="526"/>
      <c r="DY198" s="526"/>
      <c r="DZ198" s="526"/>
      <c r="EA198" s="526"/>
      <c r="EB198" s="526"/>
      <c r="EC198" s="526"/>
      <c r="ED198" s="526"/>
      <c r="EE198" s="526"/>
      <c r="EF198" s="526"/>
      <c r="EG198" s="526"/>
      <c r="EH198" s="526"/>
      <c r="EI198" s="526"/>
      <c r="EJ198" s="526"/>
      <c r="EK198" s="526"/>
      <c r="EL198" s="526"/>
      <c r="EM198" s="526"/>
      <c r="EN198" s="526"/>
      <c r="EO198" s="526"/>
      <c r="EP198" s="526"/>
      <c r="EQ198" s="526"/>
      <c r="ER198" s="526"/>
      <c r="ES198" s="526"/>
      <c r="ET198" s="526"/>
      <c r="EU198" s="526"/>
      <c r="EV198" s="526"/>
      <c r="EW198" s="526"/>
      <c r="EX198" s="526"/>
      <c r="EY198" s="526"/>
      <c r="EZ198" s="526"/>
      <c r="FA198" s="526"/>
      <c r="FB198" s="526"/>
      <c r="FC198" s="526"/>
      <c r="FD198" s="526"/>
      <c r="FE198" s="526"/>
      <c r="FF198" s="526"/>
      <c r="FG198" s="526"/>
      <c r="FH198" s="526"/>
      <c r="FI198" s="526"/>
      <c r="FJ198" s="526"/>
      <c r="FK198" s="526"/>
      <c r="FL198" s="526"/>
      <c r="FM198" s="526"/>
      <c r="FN198" s="526"/>
      <c r="FO198" s="526"/>
      <c r="FP198" s="526"/>
      <c r="FQ198" s="526"/>
      <c r="FR198" s="526"/>
      <c r="FS198" s="526"/>
      <c r="FT198" s="526"/>
      <c r="FU198" s="526"/>
      <c r="FV198" s="526"/>
      <c r="FW198" s="526"/>
      <c r="FX198" s="526"/>
      <c r="FY198" s="526"/>
      <c r="FZ198" s="526"/>
      <c r="GA198" s="526"/>
      <c r="GB198" s="526"/>
      <c r="GC198" s="526"/>
      <c r="GD198" s="526"/>
      <c r="GE198" s="526"/>
      <c r="GF198" s="526"/>
      <c r="GG198" s="526"/>
      <c r="GH198" s="526"/>
      <c r="GI198" s="526"/>
      <c r="GJ198" s="526"/>
      <c r="GK198" s="526"/>
      <c r="GL198" s="526"/>
      <c r="GM198" s="526"/>
      <c r="GN198" s="526"/>
      <c r="GO198" s="526"/>
      <c r="GP198" s="526"/>
      <c r="GQ198" s="526"/>
      <c r="GR198" s="526"/>
      <c r="GS198" s="526"/>
      <c r="GT198" s="526"/>
      <c r="GU198" s="526"/>
      <c r="GV198" s="526"/>
      <c r="GW198" s="526"/>
      <c r="GX198" s="526"/>
      <c r="GY198" s="526"/>
      <c r="GZ198" s="526"/>
      <c r="HA198" s="526"/>
      <c r="HB198" s="526"/>
      <c r="HC198" s="526"/>
      <c r="HD198" s="526"/>
      <c r="HE198" s="526"/>
      <c r="HF198" s="526"/>
      <c r="HG198" s="526"/>
      <c r="HH198" s="526"/>
      <c r="HI198" s="526"/>
      <c r="HJ198" s="526"/>
      <c r="HK198" s="526"/>
      <c r="HL198" s="526"/>
      <c r="HM198" s="526"/>
      <c r="HN198" s="526"/>
      <c r="HO198" s="526"/>
      <c r="HP198" s="526"/>
      <c r="HQ198" s="526"/>
      <c r="HR198" s="526"/>
      <c r="HS198" s="526"/>
      <c r="HT198" s="526"/>
      <c r="HU198" s="526"/>
      <c r="HV198" s="526"/>
      <c r="HW198" s="526"/>
      <c r="HX198" s="526"/>
      <c r="HY198" s="526"/>
      <c r="HZ198" s="526"/>
      <c r="IA198" s="526"/>
      <c r="IB198" s="526"/>
      <c r="IC198" s="526"/>
      <c r="ID198" s="526"/>
      <c r="IE198" s="526"/>
      <c r="IF198" s="526"/>
      <c r="IG198" s="526"/>
      <c r="IH198" s="526"/>
      <c r="II198" s="526"/>
      <c r="IJ198" s="526"/>
      <c r="IK198" s="526"/>
      <c r="IL198" s="526"/>
      <c r="IM198" s="526"/>
      <c r="IN198" s="526"/>
      <c r="IO198" s="526"/>
      <c r="IP198" s="526"/>
      <c r="IQ198" s="526"/>
    </row>
    <row r="199" spans="1:251" ht="18" customHeight="1">
      <c r="A199" s="525">
        <v>190</v>
      </c>
      <c r="B199" s="538"/>
      <c r="C199" s="543"/>
      <c r="D199" s="483" t="s">
        <v>1091</v>
      </c>
      <c r="E199" s="540"/>
      <c r="F199" s="541"/>
      <c r="G199" s="1460"/>
      <c r="H199" s="753"/>
      <c r="I199" s="728"/>
      <c r="J199" s="1561">
        <f>SUM(J197:J198)</f>
        <v>140048</v>
      </c>
      <c r="K199" s="540"/>
      <c r="L199" s="1238">
        <f>SUM(I199:K199)</f>
        <v>140048</v>
      </c>
      <c r="M199" s="542"/>
      <c r="N199" s="526"/>
      <c r="O199" s="526"/>
      <c r="P199" s="526"/>
      <c r="Q199" s="526"/>
      <c r="R199" s="526"/>
      <c r="S199" s="526"/>
      <c r="T199" s="526"/>
      <c r="U199" s="526"/>
      <c r="V199" s="526"/>
      <c r="W199" s="526"/>
      <c r="X199" s="526"/>
      <c r="Y199" s="526"/>
      <c r="Z199" s="526"/>
      <c r="AA199" s="526"/>
      <c r="AB199" s="526"/>
      <c r="AC199" s="526"/>
      <c r="AD199" s="526"/>
      <c r="AE199" s="526"/>
      <c r="AF199" s="526"/>
      <c r="AG199" s="526"/>
      <c r="AH199" s="526"/>
      <c r="AI199" s="526"/>
      <c r="AJ199" s="526"/>
      <c r="AK199" s="526"/>
      <c r="AL199" s="526"/>
      <c r="AM199" s="526"/>
      <c r="AN199" s="526"/>
      <c r="AO199" s="526"/>
      <c r="AP199" s="526"/>
      <c r="AQ199" s="526"/>
      <c r="AR199" s="526"/>
      <c r="AS199" s="526"/>
      <c r="AT199" s="526"/>
      <c r="AU199" s="526"/>
      <c r="AV199" s="526"/>
      <c r="AW199" s="526"/>
      <c r="AX199" s="526"/>
      <c r="AY199" s="526"/>
      <c r="AZ199" s="526"/>
      <c r="BA199" s="526"/>
      <c r="BB199" s="526"/>
      <c r="BC199" s="526"/>
      <c r="BD199" s="526"/>
      <c r="BE199" s="526"/>
      <c r="BF199" s="526"/>
      <c r="BG199" s="526"/>
      <c r="BH199" s="526"/>
      <c r="BI199" s="526"/>
      <c r="BJ199" s="526"/>
      <c r="BK199" s="526"/>
      <c r="BL199" s="526"/>
      <c r="BM199" s="526"/>
      <c r="BN199" s="526"/>
      <c r="BO199" s="526"/>
      <c r="BP199" s="526"/>
      <c r="BQ199" s="526"/>
      <c r="BR199" s="526"/>
      <c r="BS199" s="526"/>
      <c r="BT199" s="526"/>
      <c r="BU199" s="526"/>
      <c r="BV199" s="526"/>
      <c r="BW199" s="526"/>
      <c r="BX199" s="526"/>
      <c r="BY199" s="526"/>
      <c r="BZ199" s="526"/>
      <c r="CA199" s="526"/>
      <c r="CB199" s="526"/>
      <c r="CC199" s="526"/>
      <c r="CD199" s="526"/>
      <c r="CE199" s="526"/>
      <c r="CF199" s="526"/>
      <c r="CG199" s="526"/>
      <c r="CH199" s="526"/>
      <c r="CI199" s="526"/>
      <c r="CJ199" s="526"/>
      <c r="CK199" s="526"/>
      <c r="CL199" s="526"/>
      <c r="CM199" s="526"/>
      <c r="CN199" s="526"/>
      <c r="CO199" s="526"/>
      <c r="CP199" s="526"/>
      <c r="CQ199" s="526"/>
      <c r="CR199" s="526"/>
      <c r="CS199" s="526"/>
      <c r="CT199" s="526"/>
      <c r="CU199" s="526"/>
      <c r="CV199" s="526"/>
      <c r="CW199" s="526"/>
      <c r="CX199" s="526"/>
      <c r="CY199" s="526"/>
      <c r="CZ199" s="526"/>
      <c r="DA199" s="526"/>
      <c r="DB199" s="526"/>
      <c r="DC199" s="526"/>
      <c r="DD199" s="526"/>
      <c r="DE199" s="526"/>
      <c r="DF199" s="526"/>
      <c r="DG199" s="526"/>
      <c r="DH199" s="526"/>
      <c r="DI199" s="526"/>
      <c r="DJ199" s="526"/>
      <c r="DK199" s="526"/>
      <c r="DL199" s="526"/>
      <c r="DM199" s="526"/>
      <c r="DN199" s="526"/>
      <c r="DO199" s="526"/>
      <c r="DP199" s="526"/>
      <c r="DQ199" s="526"/>
      <c r="DR199" s="526"/>
      <c r="DS199" s="526"/>
      <c r="DT199" s="526"/>
      <c r="DU199" s="526"/>
      <c r="DV199" s="526"/>
      <c r="DW199" s="526"/>
      <c r="DX199" s="526"/>
      <c r="DY199" s="526"/>
      <c r="DZ199" s="526"/>
      <c r="EA199" s="526"/>
      <c r="EB199" s="526"/>
      <c r="EC199" s="526"/>
      <c r="ED199" s="526"/>
      <c r="EE199" s="526"/>
      <c r="EF199" s="526"/>
      <c r="EG199" s="526"/>
      <c r="EH199" s="526"/>
      <c r="EI199" s="526"/>
      <c r="EJ199" s="526"/>
      <c r="EK199" s="526"/>
      <c r="EL199" s="526"/>
      <c r="EM199" s="526"/>
      <c r="EN199" s="526"/>
      <c r="EO199" s="526"/>
      <c r="EP199" s="526"/>
      <c r="EQ199" s="526"/>
      <c r="ER199" s="526"/>
      <c r="ES199" s="526"/>
      <c r="ET199" s="526"/>
      <c r="EU199" s="526"/>
      <c r="EV199" s="526"/>
      <c r="EW199" s="526"/>
      <c r="EX199" s="526"/>
      <c r="EY199" s="526"/>
      <c r="EZ199" s="526"/>
      <c r="FA199" s="526"/>
      <c r="FB199" s="526"/>
      <c r="FC199" s="526"/>
      <c r="FD199" s="526"/>
      <c r="FE199" s="526"/>
      <c r="FF199" s="526"/>
      <c r="FG199" s="526"/>
      <c r="FH199" s="526"/>
      <c r="FI199" s="526"/>
      <c r="FJ199" s="526"/>
      <c r="FK199" s="526"/>
      <c r="FL199" s="526"/>
      <c r="FM199" s="526"/>
      <c r="FN199" s="526"/>
      <c r="FO199" s="526"/>
      <c r="FP199" s="526"/>
      <c r="FQ199" s="526"/>
      <c r="FR199" s="526"/>
      <c r="FS199" s="526"/>
      <c r="FT199" s="526"/>
      <c r="FU199" s="526"/>
      <c r="FV199" s="526"/>
      <c r="FW199" s="526"/>
      <c r="FX199" s="526"/>
      <c r="FY199" s="526"/>
      <c r="FZ199" s="526"/>
      <c r="GA199" s="526"/>
      <c r="GB199" s="526"/>
      <c r="GC199" s="526"/>
      <c r="GD199" s="526"/>
      <c r="GE199" s="526"/>
      <c r="GF199" s="526"/>
      <c r="GG199" s="526"/>
      <c r="GH199" s="526"/>
      <c r="GI199" s="526"/>
      <c r="GJ199" s="526"/>
      <c r="GK199" s="526"/>
      <c r="GL199" s="526"/>
      <c r="GM199" s="526"/>
      <c r="GN199" s="526"/>
      <c r="GO199" s="526"/>
      <c r="GP199" s="526"/>
      <c r="GQ199" s="526"/>
      <c r="GR199" s="526"/>
      <c r="GS199" s="526"/>
      <c r="GT199" s="526"/>
      <c r="GU199" s="526"/>
      <c r="GV199" s="526"/>
      <c r="GW199" s="526"/>
      <c r="GX199" s="526"/>
      <c r="GY199" s="526"/>
      <c r="GZ199" s="526"/>
      <c r="HA199" s="526"/>
      <c r="HB199" s="526"/>
      <c r="HC199" s="526"/>
      <c r="HD199" s="526"/>
      <c r="HE199" s="526"/>
      <c r="HF199" s="526"/>
      <c r="HG199" s="526"/>
      <c r="HH199" s="526"/>
      <c r="HI199" s="526"/>
      <c r="HJ199" s="526"/>
      <c r="HK199" s="526"/>
      <c r="HL199" s="526"/>
      <c r="HM199" s="526"/>
      <c r="HN199" s="526"/>
      <c r="HO199" s="526"/>
      <c r="HP199" s="526"/>
      <c r="HQ199" s="526"/>
      <c r="HR199" s="526"/>
      <c r="HS199" s="526"/>
      <c r="HT199" s="526"/>
      <c r="HU199" s="526"/>
      <c r="HV199" s="526"/>
      <c r="HW199" s="526"/>
      <c r="HX199" s="526"/>
      <c r="HY199" s="526"/>
      <c r="HZ199" s="526"/>
      <c r="IA199" s="526"/>
      <c r="IB199" s="526"/>
      <c r="IC199" s="526"/>
      <c r="ID199" s="526"/>
      <c r="IE199" s="526"/>
      <c r="IF199" s="526"/>
      <c r="IG199" s="526"/>
      <c r="IH199" s="526"/>
      <c r="II199" s="526"/>
      <c r="IJ199" s="526"/>
      <c r="IK199" s="526"/>
      <c r="IL199" s="526"/>
      <c r="IM199" s="526"/>
      <c r="IN199" s="526"/>
      <c r="IO199" s="526"/>
      <c r="IP199" s="526"/>
      <c r="IQ199" s="526"/>
    </row>
    <row r="200" spans="1:13" ht="22.5" customHeight="1">
      <c r="A200" s="525">
        <v>191</v>
      </c>
      <c r="B200" s="538"/>
      <c r="C200" s="539">
        <v>39</v>
      </c>
      <c r="D200" s="328" t="s">
        <v>639</v>
      </c>
      <c r="E200" s="540">
        <f>F200+G200+L204+M201</f>
        <v>20000</v>
      </c>
      <c r="F200" s="541"/>
      <c r="G200" s="1460"/>
      <c r="H200" s="753" t="s">
        <v>22</v>
      </c>
      <c r="I200" s="512"/>
      <c r="J200" s="1297"/>
      <c r="K200" s="1297"/>
      <c r="L200" s="1294"/>
      <c r="M200" s="1032"/>
    </row>
    <row r="201" spans="1:13" ht="18" customHeight="1">
      <c r="A201" s="525">
        <v>192</v>
      </c>
      <c r="B201" s="538"/>
      <c r="C201" s="543"/>
      <c r="D201" s="594" t="s">
        <v>283</v>
      </c>
      <c r="E201" s="540"/>
      <c r="F201" s="541"/>
      <c r="G201" s="1460"/>
      <c r="H201" s="753"/>
      <c r="I201" s="728"/>
      <c r="J201" s="540"/>
      <c r="K201" s="1422">
        <v>20000</v>
      </c>
      <c r="L201" s="1423">
        <f>SUM(I201:K201)</f>
        <v>20000</v>
      </c>
      <c r="M201" s="1032"/>
    </row>
    <row r="202" spans="1:13" ht="18" customHeight="1">
      <c r="A202" s="525">
        <v>193</v>
      </c>
      <c r="B202" s="538"/>
      <c r="C202" s="543"/>
      <c r="D202" s="483" t="s">
        <v>938</v>
      </c>
      <c r="E202" s="540"/>
      <c r="F202" s="541"/>
      <c r="G202" s="1460"/>
      <c r="H202" s="753"/>
      <c r="I202" s="728"/>
      <c r="J202" s="540"/>
      <c r="K202" s="1561">
        <v>20000</v>
      </c>
      <c r="L202" s="1669">
        <f>SUM(I202:K202)</f>
        <v>20000</v>
      </c>
      <c r="M202" s="1032"/>
    </row>
    <row r="203" spans="1:13" ht="18" customHeight="1">
      <c r="A203" s="525">
        <v>194</v>
      </c>
      <c r="B203" s="538"/>
      <c r="C203" s="543"/>
      <c r="D203" s="1146" t="s">
        <v>674</v>
      </c>
      <c r="E203" s="540"/>
      <c r="F203" s="541"/>
      <c r="G203" s="1460"/>
      <c r="H203" s="753"/>
      <c r="I203" s="728"/>
      <c r="J203" s="540"/>
      <c r="K203" s="540"/>
      <c r="L203" s="1288">
        <f>SUM(I203:K203)</f>
        <v>0</v>
      </c>
      <c r="M203" s="1032"/>
    </row>
    <row r="204" spans="1:13" ht="18" customHeight="1">
      <c r="A204" s="525">
        <v>195</v>
      </c>
      <c r="B204" s="538"/>
      <c r="C204" s="543"/>
      <c r="D204" s="483" t="s">
        <v>1091</v>
      </c>
      <c r="E204" s="540"/>
      <c r="F204" s="541"/>
      <c r="G204" s="1460"/>
      <c r="H204" s="753"/>
      <c r="I204" s="728"/>
      <c r="J204" s="540"/>
      <c r="K204" s="1561">
        <f>SUM(K202:K203)</f>
        <v>20000</v>
      </c>
      <c r="L204" s="1289">
        <f>SUM(I204:K204)</f>
        <v>20000</v>
      </c>
      <c r="M204" s="1032"/>
    </row>
    <row r="205" spans="1:13" ht="22.5" customHeight="1">
      <c r="A205" s="525">
        <v>196</v>
      </c>
      <c r="B205" s="538"/>
      <c r="C205" s="539">
        <v>40</v>
      </c>
      <c r="D205" s="328" t="s">
        <v>722</v>
      </c>
      <c r="E205" s="540">
        <f>F205+G205+L208+M207</f>
        <v>899</v>
      </c>
      <c r="F205" s="541"/>
      <c r="G205" s="1460">
        <v>652</v>
      </c>
      <c r="H205" s="753" t="s">
        <v>22</v>
      </c>
      <c r="I205" s="728"/>
      <c r="J205" s="540"/>
      <c r="K205" s="540"/>
      <c r="L205" s="1289"/>
      <c r="M205" s="1032"/>
    </row>
    <row r="206" spans="1:13" ht="18" customHeight="1">
      <c r="A206" s="525">
        <v>197</v>
      </c>
      <c r="B206" s="538"/>
      <c r="C206" s="543"/>
      <c r="D206" s="483" t="s">
        <v>938</v>
      </c>
      <c r="E206" s="540"/>
      <c r="F206" s="541"/>
      <c r="G206" s="1460"/>
      <c r="H206" s="753"/>
      <c r="I206" s="728"/>
      <c r="J206" s="1561">
        <v>90</v>
      </c>
      <c r="K206" s="540"/>
      <c r="L206" s="1669">
        <f>SUM(I206:K206)</f>
        <v>90</v>
      </c>
      <c r="M206" s="1032"/>
    </row>
    <row r="207" spans="1:13" ht="18" customHeight="1">
      <c r="A207" s="525">
        <v>198</v>
      </c>
      <c r="B207" s="538"/>
      <c r="C207" s="543"/>
      <c r="D207" s="1146" t="s">
        <v>1005</v>
      </c>
      <c r="E207" s="540"/>
      <c r="F207" s="541"/>
      <c r="G207" s="1460"/>
      <c r="H207" s="753"/>
      <c r="I207" s="728"/>
      <c r="J207" s="1458">
        <v>157</v>
      </c>
      <c r="K207" s="540"/>
      <c r="L207" s="1288">
        <f>SUM(I207:K207)</f>
        <v>157</v>
      </c>
      <c r="M207" s="1032"/>
    </row>
    <row r="208" spans="1:13" ht="18" customHeight="1">
      <c r="A208" s="525">
        <v>199</v>
      </c>
      <c r="B208" s="538"/>
      <c r="C208" s="543"/>
      <c r="D208" s="483" t="s">
        <v>1091</v>
      </c>
      <c r="E208" s="540"/>
      <c r="F208" s="541"/>
      <c r="G208" s="1460"/>
      <c r="H208" s="753"/>
      <c r="I208" s="728"/>
      <c r="J208" s="1561">
        <f>SUM(J206:J207)</f>
        <v>247</v>
      </c>
      <c r="K208" s="540"/>
      <c r="L208" s="1289">
        <f>SUM(I208:K208)</f>
        <v>247</v>
      </c>
      <c r="M208" s="1032"/>
    </row>
    <row r="209" spans="1:16" ht="51" customHeight="1">
      <c r="A209" s="525">
        <v>200</v>
      </c>
      <c r="B209" s="538"/>
      <c r="C209" s="543">
        <v>41</v>
      </c>
      <c r="D209" s="1013" t="s">
        <v>804</v>
      </c>
      <c r="E209" s="540">
        <f>F209+G209+L212+M211</f>
        <v>1200</v>
      </c>
      <c r="F209" s="541"/>
      <c r="G209" s="1460"/>
      <c r="H209" s="753" t="s">
        <v>22</v>
      </c>
      <c r="I209" s="728"/>
      <c r="J209" s="540"/>
      <c r="K209" s="540"/>
      <c r="L209" s="1289"/>
      <c r="M209" s="1032"/>
      <c r="P209" s="1776"/>
    </row>
    <row r="210" spans="1:16" ht="18" customHeight="1">
      <c r="A210" s="525">
        <v>201</v>
      </c>
      <c r="B210" s="538"/>
      <c r="C210" s="543"/>
      <c r="D210" s="483" t="s">
        <v>938</v>
      </c>
      <c r="E210" s="540"/>
      <c r="F210" s="541"/>
      <c r="G210" s="1460"/>
      <c r="H210" s="753"/>
      <c r="I210" s="728"/>
      <c r="J210" s="1561">
        <v>1200</v>
      </c>
      <c r="K210" s="540"/>
      <c r="L210" s="1289">
        <f>SUM(I210:K210)</f>
        <v>1200</v>
      </c>
      <c r="M210" s="1032"/>
      <c r="P210" s="1776"/>
    </row>
    <row r="211" spans="1:16" ht="18" customHeight="1">
      <c r="A211" s="525">
        <v>202</v>
      </c>
      <c r="B211" s="538"/>
      <c r="C211" s="543"/>
      <c r="D211" s="1146" t="s">
        <v>725</v>
      </c>
      <c r="E211" s="540"/>
      <c r="F211" s="541"/>
      <c r="G211" s="1460"/>
      <c r="H211" s="753"/>
      <c r="I211" s="728"/>
      <c r="J211" s="1458"/>
      <c r="K211" s="540"/>
      <c r="L211" s="1288">
        <f>SUM(I211:K211)</f>
        <v>0</v>
      </c>
      <c r="M211" s="1032"/>
      <c r="P211" s="1776"/>
    </row>
    <row r="212" spans="1:16" ht="18" customHeight="1">
      <c r="A212" s="525">
        <v>203</v>
      </c>
      <c r="B212" s="538"/>
      <c r="C212" s="543"/>
      <c r="D212" s="483" t="s">
        <v>1091</v>
      </c>
      <c r="E212" s="540"/>
      <c r="F212" s="541"/>
      <c r="G212" s="1460"/>
      <c r="H212" s="753"/>
      <c r="I212" s="728"/>
      <c r="J212" s="1561">
        <f>SUM(J210:J211)</f>
        <v>1200</v>
      </c>
      <c r="K212" s="540"/>
      <c r="L212" s="1289">
        <f>SUM(I212:K212)</f>
        <v>1200</v>
      </c>
      <c r="M212" s="1032"/>
      <c r="P212" s="1776"/>
    </row>
    <row r="213" spans="1:16" ht="22.5" customHeight="1">
      <c r="A213" s="525">
        <v>204</v>
      </c>
      <c r="B213" s="538"/>
      <c r="C213" s="539">
        <v>42</v>
      </c>
      <c r="D213" s="328" t="s">
        <v>798</v>
      </c>
      <c r="E213" s="540">
        <f>F213+L216+G213+M214</f>
        <v>3280</v>
      </c>
      <c r="F213" s="541"/>
      <c r="G213" s="1460">
        <v>3027</v>
      </c>
      <c r="H213" s="753" t="s">
        <v>23</v>
      </c>
      <c r="I213" s="728"/>
      <c r="J213" s="1561"/>
      <c r="K213" s="540"/>
      <c r="L213" s="1289"/>
      <c r="M213" s="1032"/>
      <c r="P213" s="1776"/>
    </row>
    <row r="214" spans="1:16" ht="18" customHeight="1">
      <c r="A214" s="525">
        <v>205</v>
      </c>
      <c r="B214" s="538"/>
      <c r="C214" s="543"/>
      <c r="D214" s="483" t="s">
        <v>938</v>
      </c>
      <c r="E214" s="540"/>
      <c r="F214" s="541"/>
      <c r="G214" s="1460"/>
      <c r="H214" s="753"/>
      <c r="I214" s="728"/>
      <c r="J214" s="1561">
        <v>253</v>
      </c>
      <c r="K214" s="540"/>
      <c r="L214" s="1289">
        <f>SUM(I214:K214)</f>
        <v>253</v>
      </c>
      <c r="M214" s="1032"/>
      <c r="P214" s="1776"/>
    </row>
    <row r="215" spans="1:16" ht="18" customHeight="1">
      <c r="A215" s="525">
        <v>206</v>
      </c>
      <c r="B215" s="538"/>
      <c r="C215" s="543"/>
      <c r="D215" s="1146" t="s">
        <v>725</v>
      </c>
      <c r="E215" s="540"/>
      <c r="F215" s="541"/>
      <c r="G215" s="1460"/>
      <c r="H215" s="753"/>
      <c r="I215" s="728"/>
      <c r="J215" s="1458"/>
      <c r="K215" s="540"/>
      <c r="L215" s="1288">
        <f>SUM(I215:K215)</f>
        <v>0</v>
      </c>
      <c r="M215" s="1032"/>
      <c r="P215" s="1776"/>
    </row>
    <row r="216" spans="1:16" ht="18" customHeight="1">
      <c r="A216" s="525">
        <v>207</v>
      </c>
      <c r="B216" s="538"/>
      <c r="C216" s="543"/>
      <c r="D216" s="483" t="s">
        <v>1091</v>
      </c>
      <c r="E216" s="540"/>
      <c r="F216" s="541"/>
      <c r="G216" s="1460"/>
      <c r="H216" s="753"/>
      <c r="I216" s="728"/>
      <c r="J216" s="1561">
        <f>SUM(J214:J215)</f>
        <v>253</v>
      </c>
      <c r="K216" s="540"/>
      <c r="L216" s="1289">
        <f>SUM(I216:K216)</f>
        <v>253</v>
      </c>
      <c r="M216" s="1032"/>
      <c r="P216" s="1776"/>
    </row>
    <row r="217" spans="1:13" ht="22.5" customHeight="1">
      <c r="A217" s="525">
        <v>208</v>
      </c>
      <c r="B217" s="538"/>
      <c r="C217" s="539"/>
      <c r="D217" s="1031" t="s">
        <v>656</v>
      </c>
      <c r="E217" s="540"/>
      <c r="F217" s="541"/>
      <c r="G217" s="1460"/>
      <c r="H217" s="753" t="s">
        <v>22</v>
      </c>
      <c r="I217" s="540"/>
      <c r="J217" s="540"/>
      <c r="K217" s="540"/>
      <c r="L217" s="551"/>
      <c r="M217" s="1032"/>
    </row>
    <row r="218" spans="1:13" ht="34.5" customHeight="1">
      <c r="A218" s="525">
        <v>209</v>
      </c>
      <c r="B218" s="538"/>
      <c r="C218" s="543">
        <v>43</v>
      </c>
      <c r="D218" s="1013" t="s">
        <v>670</v>
      </c>
      <c r="E218" s="540">
        <f>F218+G218+L222+M219</f>
        <v>96000</v>
      </c>
      <c r="F218" s="541"/>
      <c r="G218" s="1460"/>
      <c r="H218" s="753"/>
      <c r="I218" s="512"/>
      <c r="J218" s="1297"/>
      <c r="K218" s="1297"/>
      <c r="L218" s="1295"/>
      <c r="M218" s="1032"/>
    </row>
    <row r="219" spans="1:13" ht="18" customHeight="1">
      <c r="A219" s="525">
        <v>210</v>
      </c>
      <c r="B219" s="538"/>
      <c r="C219" s="543"/>
      <c r="D219" s="594" t="s">
        <v>283</v>
      </c>
      <c r="E219" s="540"/>
      <c r="F219" s="541"/>
      <c r="G219" s="1460"/>
      <c r="H219" s="753"/>
      <c r="I219" s="540"/>
      <c r="J219" s="1422">
        <v>80000</v>
      </c>
      <c r="K219" s="1422"/>
      <c r="L219" s="1423">
        <f>SUM(I219:K219)</f>
        <v>80000</v>
      </c>
      <c r="M219" s="1032"/>
    </row>
    <row r="220" spans="1:13" ht="18" customHeight="1">
      <c r="A220" s="525">
        <v>211</v>
      </c>
      <c r="B220" s="538"/>
      <c r="C220" s="543"/>
      <c r="D220" s="483" t="s">
        <v>938</v>
      </c>
      <c r="E220" s="540"/>
      <c r="F220" s="541"/>
      <c r="G220" s="1460"/>
      <c r="H220" s="753"/>
      <c r="I220" s="540"/>
      <c r="J220" s="1561">
        <f>80000+16000</f>
        <v>96000</v>
      </c>
      <c r="K220" s="1561"/>
      <c r="L220" s="1669">
        <f>SUM(I220:K220)</f>
        <v>96000</v>
      </c>
      <c r="M220" s="1032"/>
    </row>
    <row r="221" spans="1:13" ht="18" customHeight="1">
      <c r="A221" s="525">
        <v>212</v>
      </c>
      <c r="B221" s="538"/>
      <c r="C221" s="543"/>
      <c r="D221" s="1146" t="s">
        <v>674</v>
      </c>
      <c r="E221" s="540"/>
      <c r="F221" s="541"/>
      <c r="G221" s="551"/>
      <c r="H221" s="753"/>
      <c r="I221" s="1458">
        <v>200</v>
      </c>
      <c r="J221" s="1458">
        <v>-200</v>
      </c>
      <c r="K221" s="1458"/>
      <c r="L221" s="1296">
        <f>SUM(I221:K221)</f>
        <v>0</v>
      </c>
      <c r="M221" s="1032"/>
    </row>
    <row r="222" spans="1:13" ht="18" customHeight="1">
      <c r="A222" s="525">
        <v>213</v>
      </c>
      <c r="B222" s="538"/>
      <c r="C222" s="543"/>
      <c r="D222" s="483" t="s">
        <v>1091</v>
      </c>
      <c r="E222" s="540"/>
      <c r="F222" s="541"/>
      <c r="G222" s="551"/>
      <c r="H222" s="753"/>
      <c r="I222" s="1561">
        <f>SUM(I220:I221)</f>
        <v>200</v>
      </c>
      <c r="J222" s="1561">
        <f>SUM(J220:J221)</f>
        <v>95800</v>
      </c>
      <c r="K222" s="540"/>
      <c r="L222" s="1238">
        <f>SUM(I222:K222)</f>
        <v>96000</v>
      </c>
      <c r="M222" s="542"/>
    </row>
    <row r="223" spans="1:13" ht="33" customHeight="1">
      <c r="A223" s="525">
        <v>214</v>
      </c>
      <c r="B223" s="538"/>
      <c r="C223" s="1744">
        <v>44</v>
      </c>
      <c r="D223" s="1013" t="s">
        <v>916</v>
      </c>
      <c r="E223" s="540">
        <f>F223+G223+L226+M224</f>
        <v>4130</v>
      </c>
      <c r="F223" s="541"/>
      <c r="G223" s="1460"/>
      <c r="H223" s="753" t="s">
        <v>23</v>
      </c>
      <c r="I223" s="540"/>
      <c r="J223" s="1561"/>
      <c r="K223" s="540"/>
      <c r="L223" s="1293"/>
      <c r="M223" s="542"/>
    </row>
    <row r="224" spans="1:13" ht="19.5" customHeight="1">
      <c r="A224" s="525">
        <v>215</v>
      </c>
      <c r="B224" s="538"/>
      <c r="C224" s="1744"/>
      <c r="D224" s="260" t="s">
        <v>938</v>
      </c>
      <c r="E224" s="540"/>
      <c r="F224" s="541"/>
      <c r="G224" s="1460"/>
      <c r="H224" s="753"/>
      <c r="I224" s="540"/>
      <c r="J224" s="1561">
        <v>4130</v>
      </c>
      <c r="K224" s="540"/>
      <c r="L224" s="1238">
        <f>SUM(I224:K224)</f>
        <v>4130</v>
      </c>
      <c r="M224" s="542"/>
    </row>
    <row r="225" spans="1:13" ht="18" customHeight="1">
      <c r="A225" s="525">
        <v>216</v>
      </c>
      <c r="B225" s="538"/>
      <c r="C225" s="1744"/>
      <c r="D225" s="1151" t="s">
        <v>689</v>
      </c>
      <c r="E225" s="540"/>
      <c r="F225" s="541"/>
      <c r="G225" s="1460"/>
      <c r="H225" s="753"/>
      <c r="I225" s="1458">
        <v>902</v>
      </c>
      <c r="J225" s="1458">
        <v>-902</v>
      </c>
      <c r="K225" s="540"/>
      <c r="L225" s="1296">
        <f>SUM(I225:K225)</f>
        <v>0</v>
      </c>
      <c r="M225" s="542"/>
    </row>
    <row r="226" spans="1:13" ht="18" customHeight="1">
      <c r="A226" s="525">
        <v>217</v>
      </c>
      <c r="B226" s="538"/>
      <c r="C226" s="1744"/>
      <c r="D226" s="260" t="s">
        <v>1091</v>
      </c>
      <c r="E226" s="540"/>
      <c r="F226" s="541"/>
      <c r="G226" s="1460"/>
      <c r="H226" s="753"/>
      <c r="I226" s="1561">
        <f>SUM(I224:I225)</f>
        <v>902</v>
      </c>
      <c r="J226" s="1561">
        <f>SUM(J224:J225)</f>
        <v>3228</v>
      </c>
      <c r="K226" s="540"/>
      <c r="L226" s="1238">
        <f>SUM(I226:K226)</f>
        <v>4130</v>
      </c>
      <c r="M226" s="542"/>
    </row>
    <row r="227" spans="1:13" ht="22.5" customHeight="1">
      <c r="A227" s="525">
        <v>218</v>
      </c>
      <c r="B227" s="538"/>
      <c r="C227" s="1766">
        <v>45</v>
      </c>
      <c r="D227" s="328" t="s">
        <v>917</v>
      </c>
      <c r="E227" s="540">
        <f>F227+G227+L230+M228</f>
        <v>12065</v>
      </c>
      <c r="F227" s="541"/>
      <c r="G227" s="1460"/>
      <c r="H227" s="753" t="s">
        <v>23</v>
      </c>
      <c r="I227" s="540"/>
      <c r="J227" s="1561"/>
      <c r="K227" s="540"/>
      <c r="L227" s="1293"/>
      <c r="M227" s="542"/>
    </row>
    <row r="228" spans="1:13" ht="19.5" customHeight="1">
      <c r="A228" s="525">
        <v>219</v>
      </c>
      <c r="B228" s="538"/>
      <c r="C228" s="1766"/>
      <c r="D228" s="260" t="s">
        <v>938</v>
      </c>
      <c r="E228" s="540"/>
      <c r="F228" s="541"/>
      <c r="G228" s="1460"/>
      <c r="H228" s="753"/>
      <c r="I228" s="540"/>
      <c r="J228" s="1561">
        <v>12065</v>
      </c>
      <c r="K228" s="540"/>
      <c r="L228" s="1238">
        <f>SUM(I228:K228)</f>
        <v>12065</v>
      </c>
      <c r="M228" s="542"/>
    </row>
    <row r="229" spans="1:13" ht="18" customHeight="1">
      <c r="A229" s="525">
        <v>220</v>
      </c>
      <c r="B229" s="538"/>
      <c r="C229" s="1744"/>
      <c r="D229" s="1151" t="s">
        <v>725</v>
      </c>
      <c r="E229" s="540"/>
      <c r="F229" s="541"/>
      <c r="G229" s="1460"/>
      <c r="H229" s="753"/>
      <c r="I229" s="540"/>
      <c r="J229" s="1458"/>
      <c r="K229" s="540"/>
      <c r="L229" s="1296">
        <f>SUM(I229:K229)</f>
        <v>0</v>
      </c>
      <c r="M229" s="542"/>
    </row>
    <row r="230" spans="1:13" ht="18" customHeight="1">
      <c r="A230" s="525">
        <v>221</v>
      </c>
      <c r="B230" s="538"/>
      <c r="C230" s="1744"/>
      <c r="D230" s="260" t="s">
        <v>1091</v>
      </c>
      <c r="E230" s="540"/>
      <c r="F230" s="541"/>
      <c r="G230" s="1460"/>
      <c r="H230" s="753"/>
      <c r="I230" s="540"/>
      <c r="J230" s="1561">
        <f>SUM(J228:J229)</f>
        <v>12065</v>
      </c>
      <c r="K230" s="540"/>
      <c r="L230" s="1238">
        <f>SUM(I230:K230)</f>
        <v>12065</v>
      </c>
      <c r="M230" s="542"/>
    </row>
    <row r="231" spans="1:13" ht="22.5" customHeight="1">
      <c r="A231" s="525">
        <v>222</v>
      </c>
      <c r="B231" s="538"/>
      <c r="C231" s="1766">
        <v>46</v>
      </c>
      <c r="D231" s="328" t="s">
        <v>934</v>
      </c>
      <c r="E231" s="540">
        <f>F231+G231+L234+M232</f>
        <v>12000</v>
      </c>
      <c r="F231" s="541"/>
      <c r="G231" s="1460"/>
      <c r="H231" s="753"/>
      <c r="I231" s="540"/>
      <c r="J231" s="1561"/>
      <c r="K231" s="540"/>
      <c r="L231" s="1293"/>
      <c r="M231" s="542"/>
    </row>
    <row r="232" spans="1:13" ht="19.5" customHeight="1">
      <c r="A232" s="525">
        <v>223</v>
      </c>
      <c r="B232" s="538"/>
      <c r="C232" s="1766"/>
      <c r="D232" s="260" t="s">
        <v>938</v>
      </c>
      <c r="E232" s="540"/>
      <c r="F232" s="541"/>
      <c r="G232" s="1460"/>
      <c r="H232" s="753"/>
      <c r="I232" s="540"/>
      <c r="J232" s="1561">
        <v>12000</v>
      </c>
      <c r="K232" s="540"/>
      <c r="L232" s="1238">
        <f>SUM(I232:K232)</f>
        <v>12000</v>
      </c>
      <c r="M232" s="542"/>
    </row>
    <row r="233" spans="1:13" ht="18" customHeight="1">
      <c r="A233" s="525">
        <v>224</v>
      </c>
      <c r="B233" s="538"/>
      <c r="C233" s="1744"/>
      <c r="D233" s="1151" t="s">
        <v>725</v>
      </c>
      <c r="E233" s="540"/>
      <c r="F233" s="541"/>
      <c r="G233" s="1460"/>
      <c r="H233" s="753"/>
      <c r="I233" s="540"/>
      <c r="J233" s="1458"/>
      <c r="K233" s="540"/>
      <c r="L233" s="1296">
        <f>SUM(I233:K233)</f>
        <v>0</v>
      </c>
      <c r="M233" s="542"/>
    </row>
    <row r="234" spans="1:13" ht="18" customHeight="1">
      <c r="A234" s="525">
        <v>225</v>
      </c>
      <c r="B234" s="538"/>
      <c r="C234" s="1744"/>
      <c r="D234" s="260" t="s">
        <v>1091</v>
      </c>
      <c r="E234" s="540"/>
      <c r="F234" s="541"/>
      <c r="G234" s="1460"/>
      <c r="H234" s="753"/>
      <c r="I234" s="540"/>
      <c r="J234" s="1561">
        <f>SUM(J232:J233)</f>
        <v>12000</v>
      </c>
      <c r="K234" s="540"/>
      <c r="L234" s="1238">
        <f>SUM(I234:K234)</f>
        <v>12000</v>
      </c>
      <c r="M234" s="542"/>
    </row>
    <row r="235" spans="1:13" ht="68.25" customHeight="1">
      <c r="A235" s="525">
        <v>226</v>
      </c>
      <c r="B235" s="538"/>
      <c r="C235" s="1744">
        <v>47</v>
      </c>
      <c r="D235" s="328" t="s">
        <v>936</v>
      </c>
      <c r="E235" s="540">
        <f>F235+G235+L238+M236</f>
        <v>3400</v>
      </c>
      <c r="F235" s="541"/>
      <c r="G235" s="1460"/>
      <c r="H235" s="753"/>
      <c r="I235" s="540"/>
      <c r="J235" s="1561"/>
      <c r="K235" s="540"/>
      <c r="L235" s="1293"/>
      <c r="M235" s="542"/>
    </row>
    <row r="236" spans="1:13" ht="19.5" customHeight="1">
      <c r="A236" s="525">
        <v>227</v>
      </c>
      <c r="B236" s="538"/>
      <c r="C236" s="1744"/>
      <c r="D236" s="260" t="s">
        <v>938</v>
      </c>
      <c r="E236" s="540"/>
      <c r="F236" s="541"/>
      <c r="G236" s="1460"/>
      <c r="H236" s="753"/>
      <c r="I236" s="540"/>
      <c r="J236" s="1561">
        <v>3400</v>
      </c>
      <c r="K236" s="540"/>
      <c r="L236" s="1238">
        <f>SUM(I236:K236)</f>
        <v>3400</v>
      </c>
      <c r="M236" s="542"/>
    </row>
    <row r="237" spans="1:13" ht="18" customHeight="1">
      <c r="A237" s="525">
        <v>228</v>
      </c>
      <c r="B237" s="538"/>
      <c r="C237" s="1744"/>
      <c r="D237" s="1151" t="s">
        <v>725</v>
      </c>
      <c r="E237" s="540"/>
      <c r="F237" s="541"/>
      <c r="G237" s="1460"/>
      <c r="H237" s="753"/>
      <c r="I237" s="540"/>
      <c r="J237" s="1458"/>
      <c r="K237" s="540"/>
      <c r="L237" s="1296">
        <f>SUM(I237:K237)</f>
        <v>0</v>
      </c>
      <c r="M237" s="542"/>
    </row>
    <row r="238" spans="1:13" ht="18" customHeight="1">
      <c r="A238" s="525">
        <v>229</v>
      </c>
      <c r="B238" s="538"/>
      <c r="C238" s="1744"/>
      <c r="D238" s="260" t="s">
        <v>1091</v>
      </c>
      <c r="E238" s="540"/>
      <c r="F238" s="541"/>
      <c r="G238" s="1460"/>
      <c r="H238" s="753"/>
      <c r="I238" s="540"/>
      <c r="J238" s="1561">
        <f>SUM(J236:J237)</f>
        <v>3400</v>
      </c>
      <c r="K238" s="540"/>
      <c r="L238" s="1238">
        <f>SUM(I238:K238)</f>
        <v>3400</v>
      </c>
      <c r="M238" s="542"/>
    </row>
    <row r="239" spans="1:13" ht="29.25" customHeight="1">
      <c r="A239" s="525">
        <v>230</v>
      </c>
      <c r="B239" s="538"/>
      <c r="C239" s="1744">
        <v>48</v>
      </c>
      <c r="D239" s="1745" t="s">
        <v>911</v>
      </c>
      <c r="E239" s="540">
        <f>F239+G239+L242+M240</f>
        <v>100000</v>
      </c>
      <c r="F239" s="541"/>
      <c r="G239" s="1460"/>
      <c r="H239" s="753" t="s">
        <v>23</v>
      </c>
      <c r="I239" s="540"/>
      <c r="J239" s="1561"/>
      <c r="K239" s="540"/>
      <c r="L239" s="1293"/>
      <c r="M239" s="542"/>
    </row>
    <row r="240" spans="1:13" ht="19.5" customHeight="1">
      <c r="A240" s="525">
        <v>231</v>
      </c>
      <c r="B240" s="538"/>
      <c r="C240" s="1744"/>
      <c r="D240" s="260" t="s">
        <v>938</v>
      </c>
      <c r="E240" s="540"/>
      <c r="F240" s="541"/>
      <c r="G240" s="1460"/>
      <c r="H240" s="753"/>
      <c r="I240" s="540"/>
      <c r="J240" s="1561"/>
      <c r="K240" s="1773">
        <v>50000</v>
      </c>
      <c r="L240" s="1238">
        <f>SUM(I240:K240)</f>
        <v>50000</v>
      </c>
      <c r="M240" s="1774">
        <v>50000</v>
      </c>
    </row>
    <row r="241" spans="1:13" ht="18" customHeight="1">
      <c r="A241" s="525">
        <v>232</v>
      </c>
      <c r="B241" s="538"/>
      <c r="C241" s="543"/>
      <c r="D241" s="1146" t="s">
        <v>725</v>
      </c>
      <c r="E241" s="540"/>
      <c r="F241" s="541"/>
      <c r="G241" s="1460"/>
      <c r="H241" s="753"/>
      <c r="I241" s="540"/>
      <c r="J241" s="1458"/>
      <c r="K241" s="1458"/>
      <c r="L241" s="1296">
        <f>SUM(I241:K241)</f>
        <v>0</v>
      </c>
      <c r="M241" s="542"/>
    </row>
    <row r="242" spans="1:13" ht="18" customHeight="1">
      <c r="A242" s="525">
        <v>233</v>
      </c>
      <c r="B242" s="538"/>
      <c r="C242" s="543"/>
      <c r="D242" s="483" t="s">
        <v>1091</v>
      </c>
      <c r="E242" s="540"/>
      <c r="F242" s="541"/>
      <c r="G242" s="1460"/>
      <c r="H242" s="753"/>
      <c r="I242" s="540"/>
      <c r="J242" s="1561"/>
      <c r="K242" s="1561">
        <f>SUM(K240:K241)</f>
        <v>50000</v>
      </c>
      <c r="L242" s="1238">
        <f>SUM(I242:K242)</f>
        <v>50000</v>
      </c>
      <c r="M242" s="542"/>
    </row>
    <row r="243" spans="1:13" ht="22.5" customHeight="1">
      <c r="A243" s="525">
        <v>234</v>
      </c>
      <c r="B243" s="538"/>
      <c r="C243" s="539">
        <v>49</v>
      </c>
      <c r="D243" s="328" t="s">
        <v>914</v>
      </c>
      <c r="E243" s="540">
        <f>F243+G243+L246+M244</f>
        <v>18160</v>
      </c>
      <c r="F243" s="541"/>
      <c r="G243" s="1460"/>
      <c r="H243" s="753" t="s">
        <v>23</v>
      </c>
      <c r="I243" s="540"/>
      <c r="J243" s="1561"/>
      <c r="K243" s="540"/>
      <c r="L243" s="1293"/>
      <c r="M243" s="542"/>
    </row>
    <row r="244" spans="1:13" ht="19.5" customHeight="1">
      <c r="A244" s="525">
        <v>235</v>
      </c>
      <c r="B244" s="538"/>
      <c r="C244" s="539"/>
      <c r="D244" s="483" t="s">
        <v>938</v>
      </c>
      <c r="E244" s="540"/>
      <c r="F244" s="541"/>
      <c r="G244" s="1460"/>
      <c r="H244" s="753"/>
      <c r="I244" s="540"/>
      <c r="J244" s="1561">
        <v>18160</v>
      </c>
      <c r="K244" s="540"/>
      <c r="L244" s="1238">
        <f>SUM(I244:K244)</f>
        <v>18160</v>
      </c>
      <c r="M244" s="542"/>
    </row>
    <row r="245" spans="1:13" ht="18" customHeight="1">
      <c r="A245" s="525">
        <v>236</v>
      </c>
      <c r="B245" s="538"/>
      <c r="C245" s="543"/>
      <c r="D245" s="1146" t="s">
        <v>725</v>
      </c>
      <c r="E245" s="540"/>
      <c r="F245" s="541"/>
      <c r="G245" s="1460"/>
      <c r="H245" s="753"/>
      <c r="I245" s="540"/>
      <c r="J245" s="1458"/>
      <c r="K245" s="540"/>
      <c r="L245" s="1296">
        <f>SUM(I245:K245)</f>
        <v>0</v>
      </c>
      <c r="M245" s="542"/>
    </row>
    <row r="246" spans="1:13" ht="18" customHeight="1">
      <c r="A246" s="525">
        <v>237</v>
      </c>
      <c r="B246" s="1948"/>
      <c r="C246" s="543"/>
      <c r="D246" s="1391" t="s">
        <v>1091</v>
      </c>
      <c r="E246" s="1797"/>
      <c r="F246" s="1798"/>
      <c r="G246" s="1941"/>
      <c r="H246" s="1942"/>
      <c r="I246" s="1797"/>
      <c r="J246" s="1943">
        <f>SUM(J244:J245)</f>
        <v>18160</v>
      </c>
      <c r="K246" s="1797"/>
      <c r="L246" s="1944">
        <f>SUM(I246:K246)</f>
        <v>18160</v>
      </c>
      <c r="M246" s="1945"/>
    </row>
    <row r="247" spans="1:13" ht="22.5" customHeight="1">
      <c r="A247" s="525">
        <v>238</v>
      </c>
      <c r="B247" s="1948"/>
      <c r="C247" s="1989">
        <v>50</v>
      </c>
      <c r="D247" s="328" t="s">
        <v>1056</v>
      </c>
      <c r="E247" s="1797">
        <f>F247+G247+L249+M249</f>
        <v>20000</v>
      </c>
      <c r="F247" s="1798"/>
      <c r="G247" s="1987"/>
      <c r="H247" s="1942"/>
      <c r="I247" s="1797"/>
      <c r="J247" s="1943"/>
      <c r="K247" s="1797"/>
      <c r="L247" s="1944"/>
      <c r="M247" s="1945"/>
    </row>
    <row r="248" spans="1:13" ht="18" customHeight="1">
      <c r="A248" s="525">
        <v>239</v>
      </c>
      <c r="B248" s="1948"/>
      <c r="C248" s="543"/>
      <c r="D248" s="1146" t="s">
        <v>689</v>
      </c>
      <c r="E248" s="1797"/>
      <c r="F248" s="1798"/>
      <c r="G248" s="1987"/>
      <c r="H248" s="1942"/>
      <c r="I248" s="1797"/>
      <c r="J248" s="1988">
        <v>20000</v>
      </c>
      <c r="K248" s="1797"/>
      <c r="L248" s="1296">
        <f>SUM(I248:K248)</f>
        <v>20000</v>
      </c>
      <c r="M248" s="1945"/>
    </row>
    <row r="249" spans="1:13" ht="18" customHeight="1">
      <c r="A249" s="525">
        <v>240</v>
      </c>
      <c r="B249" s="1948"/>
      <c r="C249" s="543"/>
      <c r="D249" s="1391" t="s">
        <v>1091</v>
      </c>
      <c r="E249" s="1797"/>
      <c r="F249" s="1798"/>
      <c r="G249" s="1987"/>
      <c r="H249" s="1942"/>
      <c r="I249" s="1797"/>
      <c r="J249" s="1943">
        <f>SUM(J248)</f>
        <v>20000</v>
      </c>
      <c r="K249" s="1797"/>
      <c r="L249" s="1944">
        <f>SUM(I249:K249)</f>
        <v>20000</v>
      </c>
      <c r="M249" s="1945"/>
    </row>
    <row r="250" spans="1:13" ht="33.75" customHeight="1">
      <c r="A250" s="525">
        <v>241</v>
      </c>
      <c r="B250" s="1948"/>
      <c r="C250" s="543">
        <v>51</v>
      </c>
      <c r="D250" s="328" t="s">
        <v>1055</v>
      </c>
      <c r="E250" s="1797">
        <f>F250+G250+L252+M252</f>
        <v>4900</v>
      </c>
      <c r="F250" s="1798"/>
      <c r="G250" s="1987"/>
      <c r="H250" s="1942"/>
      <c r="I250" s="1797"/>
      <c r="J250" s="1943"/>
      <c r="K250" s="1797"/>
      <c r="L250" s="1944"/>
      <c r="M250" s="1945"/>
    </row>
    <row r="251" spans="1:13" ht="18" customHeight="1">
      <c r="A251" s="525">
        <v>242</v>
      </c>
      <c r="B251" s="1948"/>
      <c r="C251" s="543"/>
      <c r="D251" s="1146" t="s">
        <v>689</v>
      </c>
      <c r="E251" s="1797"/>
      <c r="F251" s="1798"/>
      <c r="G251" s="1987"/>
      <c r="H251" s="1942"/>
      <c r="I251" s="1797"/>
      <c r="J251" s="1988">
        <v>4900</v>
      </c>
      <c r="K251" s="1797"/>
      <c r="L251" s="1296">
        <f>SUM(I251:K251)</f>
        <v>4900</v>
      </c>
      <c r="M251" s="1945"/>
    </row>
    <row r="252" spans="1:13" ht="18" customHeight="1">
      <c r="A252" s="525">
        <v>243</v>
      </c>
      <c r="B252" s="1948"/>
      <c r="C252" s="543"/>
      <c r="D252" s="1391" t="s">
        <v>1091</v>
      </c>
      <c r="E252" s="1797"/>
      <c r="F252" s="1798"/>
      <c r="G252" s="1987"/>
      <c r="H252" s="1942"/>
      <c r="I252" s="1797"/>
      <c r="J252" s="1943">
        <f>SUM(J251)</f>
        <v>4900</v>
      </c>
      <c r="K252" s="1797"/>
      <c r="L252" s="1944">
        <f>SUM(I252:K252)</f>
        <v>4900</v>
      </c>
      <c r="M252" s="1945"/>
    </row>
    <row r="253" spans="1:13" ht="35.25" customHeight="1">
      <c r="A253" s="525">
        <v>244</v>
      </c>
      <c r="B253" s="1948"/>
      <c r="C253" s="543">
        <v>52</v>
      </c>
      <c r="D253" s="328" t="s">
        <v>1053</v>
      </c>
      <c r="E253" s="1797">
        <f>F253+G253+L255+M255</f>
        <v>65000</v>
      </c>
      <c r="F253" s="1798"/>
      <c r="G253" s="1987"/>
      <c r="H253" s="1942"/>
      <c r="I253" s="1797"/>
      <c r="J253" s="1943"/>
      <c r="K253" s="1797"/>
      <c r="L253" s="1944"/>
      <c r="M253" s="1945"/>
    </row>
    <row r="254" spans="1:13" ht="18" customHeight="1">
      <c r="A254" s="525">
        <v>245</v>
      </c>
      <c r="B254" s="1948"/>
      <c r="C254" s="543"/>
      <c r="D254" s="1146" t="s">
        <v>689</v>
      </c>
      <c r="E254" s="1797"/>
      <c r="F254" s="1798"/>
      <c r="G254" s="1987"/>
      <c r="H254" s="1942"/>
      <c r="I254" s="1797"/>
      <c r="J254" s="1988">
        <v>65000</v>
      </c>
      <c r="K254" s="1797"/>
      <c r="L254" s="1296">
        <f>SUM(I254:K254)</f>
        <v>65000</v>
      </c>
      <c r="M254" s="1945"/>
    </row>
    <row r="255" spans="1:13" ht="18" customHeight="1">
      <c r="A255" s="525">
        <v>246</v>
      </c>
      <c r="B255" s="1948"/>
      <c r="C255" s="543"/>
      <c r="D255" s="1391" t="s">
        <v>1091</v>
      </c>
      <c r="E255" s="1797"/>
      <c r="F255" s="1798"/>
      <c r="G255" s="1987"/>
      <c r="H255" s="1942"/>
      <c r="I255" s="1797"/>
      <c r="J255" s="1943">
        <f>SUM(J254)</f>
        <v>65000</v>
      </c>
      <c r="K255" s="1797"/>
      <c r="L255" s="1944">
        <f>SUM(I255:K255)</f>
        <v>65000</v>
      </c>
      <c r="M255" s="1945"/>
    </row>
    <row r="256" spans="1:13" ht="22.5" customHeight="1">
      <c r="A256" s="525">
        <v>247</v>
      </c>
      <c r="B256" s="1948"/>
      <c r="C256" s="543"/>
      <c r="D256" s="1031" t="s">
        <v>1093</v>
      </c>
      <c r="E256" s="328"/>
      <c r="F256" s="1798"/>
      <c r="G256" s="1987"/>
      <c r="H256" s="1942"/>
      <c r="I256" s="1797"/>
      <c r="J256" s="1943"/>
      <c r="K256" s="1797"/>
      <c r="L256" s="1944"/>
      <c r="M256" s="1945"/>
    </row>
    <row r="257" spans="1:13" ht="22.5" customHeight="1">
      <c r="A257" s="525">
        <v>248</v>
      </c>
      <c r="B257" s="1948"/>
      <c r="C257" s="543">
        <v>53</v>
      </c>
      <c r="D257" s="2035" t="s">
        <v>1094</v>
      </c>
      <c r="E257" s="1797">
        <f>F257+G257+L259+M259</f>
        <v>5000</v>
      </c>
      <c r="F257" s="1798"/>
      <c r="G257" s="1987"/>
      <c r="H257" s="1942"/>
      <c r="I257" s="1797"/>
      <c r="J257" s="1943"/>
      <c r="K257" s="1797"/>
      <c r="L257" s="1944"/>
      <c r="M257" s="1945"/>
    </row>
    <row r="258" spans="1:13" ht="18" customHeight="1">
      <c r="A258" s="525">
        <v>249</v>
      </c>
      <c r="B258" s="1948"/>
      <c r="C258" s="543"/>
      <c r="D258" s="2034" t="s">
        <v>689</v>
      </c>
      <c r="E258" s="1797"/>
      <c r="F258" s="1798"/>
      <c r="G258" s="1987"/>
      <c r="H258" s="1942"/>
      <c r="I258" s="1797"/>
      <c r="J258" s="1988">
        <v>5000</v>
      </c>
      <c r="K258" s="1797"/>
      <c r="L258" s="1296">
        <f>SUM(I258:K258)</f>
        <v>5000</v>
      </c>
      <c r="M258" s="1945"/>
    </row>
    <row r="259" spans="1:13" ht="18" customHeight="1">
      <c r="A259" s="525">
        <v>250</v>
      </c>
      <c r="B259" s="1948"/>
      <c r="C259" s="543"/>
      <c r="D259" s="1391" t="s">
        <v>1091</v>
      </c>
      <c r="E259" s="1797"/>
      <c r="F259" s="1798"/>
      <c r="G259" s="1987"/>
      <c r="H259" s="1942"/>
      <c r="I259" s="1797"/>
      <c r="J259" s="1943">
        <f>SUM(J258)</f>
        <v>5000</v>
      </c>
      <c r="K259" s="1797"/>
      <c r="L259" s="1944">
        <f>SUM(I259:K259)</f>
        <v>5000</v>
      </c>
      <c r="M259" s="1945"/>
    </row>
    <row r="260" spans="1:13" ht="22.5" customHeight="1">
      <c r="A260" s="525">
        <v>251</v>
      </c>
      <c r="B260" s="1792"/>
      <c r="C260" s="539">
        <v>54</v>
      </c>
      <c r="D260" s="328" t="s">
        <v>1046</v>
      </c>
      <c r="E260" s="1797">
        <f>F260+G260+L262+M262</f>
        <v>6181</v>
      </c>
      <c r="F260" s="541"/>
      <c r="G260" s="1793"/>
      <c r="H260" s="753"/>
      <c r="I260" s="540"/>
      <c r="J260" s="1561"/>
      <c r="K260" s="540"/>
      <c r="L260" s="1238"/>
      <c r="M260" s="542"/>
    </row>
    <row r="261" spans="1:13" ht="18" customHeight="1">
      <c r="A261" s="525">
        <v>252</v>
      </c>
      <c r="B261" s="1792"/>
      <c r="C261" s="543"/>
      <c r="D261" s="1146" t="s">
        <v>689</v>
      </c>
      <c r="E261" s="540"/>
      <c r="F261" s="541"/>
      <c r="G261" s="1793"/>
      <c r="H261" s="753"/>
      <c r="I261" s="540"/>
      <c r="J261" s="1561"/>
      <c r="K261" s="1458">
        <v>6181</v>
      </c>
      <c r="L261" s="1296">
        <f>SUM(I261:K261)</f>
        <v>6181</v>
      </c>
      <c r="M261" s="542"/>
    </row>
    <row r="262" spans="1:13" ht="18" customHeight="1" thickBot="1">
      <c r="A262" s="525">
        <v>253</v>
      </c>
      <c r="B262" s="1946"/>
      <c r="C262" s="1734"/>
      <c r="D262" s="1269" t="s">
        <v>1091</v>
      </c>
      <c r="E262" s="1286"/>
      <c r="F262" s="1287"/>
      <c r="G262" s="1947"/>
      <c r="H262" s="1736"/>
      <c r="I262" s="1286"/>
      <c r="J262" s="1735"/>
      <c r="K262" s="1735">
        <f>SUM(K261)</f>
        <v>6181</v>
      </c>
      <c r="L262" s="1299">
        <f>SUM(I262:K262)</f>
        <v>6181</v>
      </c>
      <c r="M262" s="1753"/>
    </row>
    <row r="263" spans="1:13" ht="19.5" customHeight="1">
      <c r="A263" s="525">
        <v>254</v>
      </c>
      <c r="B263" s="2238" t="s">
        <v>13</v>
      </c>
      <c r="C263" s="2239"/>
      <c r="D263" s="2239"/>
      <c r="E263" s="2239"/>
      <c r="F263" s="2239"/>
      <c r="G263" s="2240"/>
      <c r="H263" s="1732"/>
      <c r="I263" s="1733"/>
      <c r="J263" s="1733"/>
      <c r="K263" s="1733"/>
      <c r="L263" s="1733"/>
      <c r="M263" s="1277">
        <f>SUM(M12:M246)</f>
        <v>82693</v>
      </c>
    </row>
    <row r="264" spans="1:13" ht="19.5" customHeight="1">
      <c r="A264" s="525">
        <v>255</v>
      </c>
      <c r="B264" s="1278"/>
      <c r="C264" s="1275"/>
      <c r="D264" s="2271" t="s">
        <v>283</v>
      </c>
      <c r="E264" s="2271"/>
      <c r="F264" s="2271"/>
      <c r="G264" s="2272"/>
      <c r="H264" s="1276"/>
      <c r="I264" s="1554">
        <f>I219+I201+I196+I191+I186+I181+I176+I171+I166+I161+I156+I151+I146+I141+I136+I131+I126+I121+I116+I111+I106+I101+I96+I91+I86+I81+I76+I71+I66+I61+I56+I51+I46+I41+I36+I31+I26+I21+I12</f>
        <v>1183</v>
      </c>
      <c r="J264" s="1554">
        <f>J219+J201+J196+J191+J186+J181+J176+J171+J166+J161+J156+J151+J146+J141+J136+J131+J126+J121+J116+J111+J106+J101+J96+J91+J86+J81+J76+J71+J66+J61+J56+J51+J46+J41+J36+J31+J26+J21+J12</f>
        <v>1113878</v>
      </c>
      <c r="K264" s="1554">
        <f>K219+K201+K196+K191+K186+K181+K176+K171+K166+K161+K156+K151+K146+K141+K136+K131+K126+K121+K116+K111+K106+K101+K96+K91+K86+K81+K76+K71+K66+K61+K56+K51+K46+K41+K36+K31+K26+K21+K12</f>
        <v>20000</v>
      </c>
      <c r="L264" s="879">
        <f>SUM(I264:K264)</f>
        <v>1135061</v>
      </c>
      <c r="M264" s="1279"/>
    </row>
    <row r="265" spans="1:13" ht="19.5" customHeight="1">
      <c r="A265" s="525">
        <v>256</v>
      </c>
      <c r="B265" s="1278"/>
      <c r="C265" s="1275"/>
      <c r="D265" s="2194" t="s">
        <v>938</v>
      </c>
      <c r="E265" s="2194"/>
      <c r="F265" s="2194"/>
      <c r="G265" s="2195"/>
      <c r="H265" s="1276"/>
      <c r="I265" s="1670">
        <f>I220+I202+I197+I192+I187+I182+I177+I172+I167+I162+I157+I152+I147+I142+I137+I132+I127+I122+I117+I112+I107+I102+I97+I92+I87+I82+I77+I72+I67+I62+I57+I52+I47+I42+I37+I32+I27+I22+I13+I214+I210+I206+I244+I240+I236+I232+I228+I224+I17</f>
        <v>1817</v>
      </c>
      <c r="J265" s="1670">
        <f>J220+J202+J197+J192+J187+J182+J177+J172+J167+J162+J157+J152+J147+J142+J137+J132+J127+J122+J117+J112+J107+J102+J97+J92+J87+J82+J77+J72+J67+J62+J57+J52+J47+J42+J37+J32+J27+J22+J13+J214+J210+J206+J244+J240+J236+J232+J228+J224+J17</f>
        <v>1187916</v>
      </c>
      <c r="K265" s="1670">
        <f>K220+K202+K197+K192+K187+K182+K177+K172+K167+K162+K157+K152+K147+K142+K137+K132+K127+K122+K117+K112+K107+K102+K97+K92+K87+K82+K77+K72+K67+K62+K57+K52+K47+K42+K37+K32+K27+K22+K13+K214+K210+K206+K244+K240+K236+K232+K228+K224+K17</f>
        <v>70000</v>
      </c>
      <c r="L265" s="1238">
        <f>SUM(I265:K265)</f>
        <v>1259733</v>
      </c>
      <c r="M265" s="1279"/>
    </row>
    <row r="266" spans="1:13" ht="19.5" customHeight="1">
      <c r="A266" s="525">
        <v>257</v>
      </c>
      <c r="B266" s="1278"/>
      <c r="C266" s="1275"/>
      <c r="D266" s="2189" t="s">
        <v>674</v>
      </c>
      <c r="E266" s="2189"/>
      <c r="F266" s="2189"/>
      <c r="G266" s="2190"/>
      <c r="H266" s="1276"/>
      <c r="I266" s="1298">
        <f>I221+I203+I198+I193+I188+I183+I178+I173+I168+I163+I158+I153+I148+I143+I138+I133+I128+I123+I118+I113+I108+I103+I98+I93+I88+I83+I78+I73+I68+I63+I58+I53+I48+I43+I38+I33+I28+I23+I14+I207+I211+I215+I245+I241+I18+I229+I225+I237+I233+I261+I248+I251+I254+I258</f>
        <v>1256</v>
      </c>
      <c r="J266" s="1298">
        <f>J221+J203+J198+J193+J188+J183+J178+J173+J168+J163+J158+J153+J148+J143+J138+J133+J128+J123+J118+J113+J108+J103+J98+J93+J88+J83+J78+J73+J68+J63+J58+J53+J48+J43+J38+J33+J28+J23+J14+J207+J211+J215+J245+J241+J18+J229+J225+J237+J233+J261+J248+J251+J254+J258</f>
        <v>92801</v>
      </c>
      <c r="K266" s="1298">
        <f>K221+K203+K198+K193+K188+K183+K178+K173+K168+K163+K158+K153+K148+K143+K138+K133+K128+K123+K118+K113+K108+K103+K98+K93+K88+K83+K78+K73+K68+K63+K58+K53+K48+K43+K38+K33+K28+K23+K14+K207+K211+K215+K245+K241+K18+K229+K225+K237+K233+K261+K248+K251+K254+K258</f>
        <v>6181</v>
      </c>
      <c r="L266" s="1241">
        <f>SUM(I266:K266)</f>
        <v>100238</v>
      </c>
      <c r="M266" s="1279"/>
    </row>
    <row r="267" spans="1:13" ht="19.5" customHeight="1" thickBot="1">
      <c r="A267" s="525">
        <v>258</v>
      </c>
      <c r="B267" s="1280"/>
      <c r="C267" s="1281"/>
      <c r="D267" s="2186" t="s">
        <v>1091</v>
      </c>
      <c r="E267" s="2186"/>
      <c r="F267" s="2186"/>
      <c r="G267" s="2187"/>
      <c r="H267" s="1282"/>
      <c r="I267" s="1555">
        <f>SUM(I265:I266)</f>
        <v>3073</v>
      </c>
      <c r="J267" s="1555">
        <f>SUM(J265:J266)</f>
        <v>1280717</v>
      </c>
      <c r="K267" s="1555">
        <f>SUM(K265:K266)</f>
        <v>76181</v>
      </c>
      <c r="L267" s="1299">
        <f>SUM(I267:K267)</f>
        <v>1359971</v>
      </c>
      <c r="M267" s="1283"/>
    </row>
    <row r="268" spans="2:13" ht="18" customHeight="1">
      <c r="B268" s="519" t="s">
        <v>26</v>
      </c>
      <c r="C268" s="519"/>
      <c r="D268" s="519"/>
      <c r="E268" s="520"/>
      <c r="F268" s="521"/>
      <c r="G268" s="520"/>
      <c r="H268" s="1284"/>
      <c r="I268" s="520"/>
      <c r="J268" s="520"/>
      <c r="K268" s="520"/>
      <c r="L268" s="520"/>
      <c r="M268" s="1285"/>
    </row>
    <row r="269" spans="2:12" ht="18" customHeight="1">
      <c r="B269" s="519" t="s">
        <v>27</v>
      </c>
      <c r="C269" s="519"/>
      <c r="D269" s="519"/>
      <c r="E269" s="510"/>
      <c r="F269" s="521"/>
      <c r="G269" s="520"/>
      <c r="H269" s="509"/>
      <c r="I269" s="520"/>
      <c r="J269" s="520"/>
      <c r="K269" s="520"/>
      <c r="L269" s="520"/>
    </row>
    <row r="270" spans="2:12" ht="18" customHeight="1">
      <c r="B270" s="519" t="s">
        <v>28</v>
      </c>
      <c r="C270" s="519"/>
      <c r="D270" s="519"/>
      <c r="E270" s="510"/>
      <c r="F270" s="521"/>
      <c r="G270" s="520"/>
      <c r="H270" s="509"/>
      <c r="I270" s="520"/>
      <c r="J270" s="520"/>
      <c r="K270" s="520"/>
      <c r="L270" s="520"/>
    </row>
  </sheetData>
  <sheetProtection/>
  <mergeCells count="21">
    <mergeCell ref="B1:M1"/>
    <mergeCell ref="I2:M2"/>
    <mergeCell ref="D264:G264"/>
    <mergeCell ref="D266:G266"/>
    <mergeCell ref="D265:G265"/>
    <mergeCell ref="D267:G267"/>
    <mergeCell ref="B2:D2"/>
    <mergeCell ref="B263:G263"/>
    <mergeCell ref="B3:M3"/>
    <mergeCell ref="B4:M4"/>
    <mergeCell ref="I7:L7"/>
    <mergeCell ref="M7:M9"/>
    <mergeCell ref="E7:E9"/>
    <mergeCell ref="B7:B9"/>
    <mergeCell ref="C7:C9"/>
    <mergeCell ref="D7:D9"/>
    <mergeCell ref="J8:K8"/>
    <mergeCell ref="L8:L9"/>
    <mergeCell ref="H7:H9"/>
    <mergeCell ref="G7:G9"/>
    <mergeCell ref="F7:F9"/>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49" r:id="rId1"/>
  <headerFooter>
    <oddFooter>&amp;C-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R71"/>
  <sheetViews>
    <sheetView view="pageBreakPreview" zoomScaleSheetLayoutView="100" zoomScalePageLayoutView="0" workbookViewId="0" topLeftCell="A1">
      <pane ySplit="9" topLeftCell="A58" activePane="bottomLeft" state="frozen"/>
      <selection pane="topLeft" activeCell="F23" sqref="F23"/>
      <selection pane="bottomLeft" activeCell="B1" sqref="B1:M1"/>
    </sheetView>
  </sheetViews>
  <sheetFormatPr defaultColWidth="9.125" defaultRowHeight="12.75"/>
  <cols>
    <col min="1" max="1" width="3.625" style="1777" customWidth="1"/>
    <col min="2" max="2" width="5.75390625" style="1782" customWidth="1"/>
    <col min="3" max="3" width="5.75390625" style="1783" customWidth="1"/>
    <col min="4" max="4" width="59.75390625" style="1784" customWidth="1"/>
    <col min="5" max="7" width="10.75390625" style="1785" customWidth="1"/>
    <col min="8" max="8" width="6.75390625" style="1786" customWidth="1"/>
    <col min="9" max="10" width="14.875" style="1785" customWidth="1"/>
    <col min="11" max="11" width="15.75390625" style="1785" customWidth="1"/>
    <col min="12" max="12" width="13.75390625" style="1830" customWidth="1"/>
    <col min="13" max="16384" width="9.125" style="1778" customWidth="1"/>
  </cols>
  <sheetData>
    <row r="1" spans="2:13" ht="17.25">
      <c r="B1" s="2116" t="s">
        <v>1105</v>
      </c>
      <c r="C1" s="2116"/>
      <c r="D1" s="2116"/>
      <c r="E1" s="2116"/>
      <c r="F1" s="2116"/>
      <c r="G1" s="2116"/>
      <c r="H1" s="2116"/>
      <c r="I1" s="2116"/>
      <c r="J1" s="2116"/>
      <c r="K1" s="2116"/>
      <c r="L1" s="2116"/>
      <c r="M1" s="2116"/>
    </row>
    <row r="2" spans="1:250" s="1781" customFormat="1" ht="18" customHeight="1">
      <c r="A2" s="1779"/>
      <c r="B2" s="2237" t="s">
        <v>910</v>
      </c>
      <c r="C2" s="2237"/>
      <c r="D2" s="2237"/>
      <c r="E2" s="470"/>
      <c r="F2" s="470"/>
      <c r="G2" s="470"/>
      <c r="H2" s="469"/>
      <c r="I2" s="2270"/>
      <c r="J2" s="2270"/>
      <c r="K2" s="2270"/>
      <c r="L2" s="2270"/>
      <c r="M2" s="2270"/>
      <c r="N2" s="1780"/>
      <c r="O2" s="1780"/>
      <c r="P2" s="1780"/>
      <c r="Q2" s="1780"/>
      <c r="R2" s="1780"/>
      <c r="S2" s="1780"/>
      <c r="T2" s="1780"/>
      <c r="U2" s="1780"/>
      <c r="V2" s="1780"/>
      <c r="W2" s="1780"/>
      <c r="X2" s="1780"/>
      <c r="Y2" s="1780"/>
      <c r="Z2" s="1780"/>
      <c r="AA2" s="1780"/>
      <c r="AB2" s="1780"/>
      <c r="AC2" s="1780"/>
      <c r="AD2" s="1780"/>
      <c r="AE2" s="1780"/>
      <c r="AF2" s="1780"/>
      <c r="AG2" s="1780"/>
      <c r="AH2" s="1780"/>
      <c r="AI2" s="1780"/>
      <c r="AJ2" s="1780"/>
      <c r="AK2" s="1780"/>
      <c r="AL2" s="1780"/>
      <c r="AM2" s="1780"/>
      <c r="AN2" s="1780"/>
      <c r="AO2" s="1780"/>
      <c r="AP2" s="1780"/>
      <c r="AQ2" s="1780"/>
      <c r="AR2" s="1780"/>
      <c r="AS2" s="1780"/>
      <c r="AT2" s="1780"/>
      <c r="AU2" s="1780"/>
      <c r="AV2" s="1780"/>
      <c r="AW2" s="1780"/>
      <c r="AX2" s="1780"/>
      <c r="AY2" s="1780"/>
      <c r="AZ2" s="1780"/>
      <c r="BA2" s="1780"/>
      <c r="BB2" s="1780"/>
      <c r="BC2" s="1780"/>
      <c r="BD2" s="1780"/>
      <c r="BE2" s="1780"/>
      <c r="BF2" s="1780"/>
      <c r="BG2" s="1780"/>
      <c r="BH2" s="1780"/>
      <c r="BI2" s="1780"/>
      <c r="BJ2" s="1780"/>
      <c r="BK2" s="1780"/>
      <c r="BL2" s="1780"/>
      <c r="BM2" s="1780"/>
      <c r="BN2" s="1780"/>
      <c r="BO2" s="1780"/>
      <c r="BP2" s="1780"/>
      <c r="BQ2" s="1780"/>
      <c r="BR2" s="1780"/>
      <c r="BS2" s="1780"/>
      <c r="BT2" s="1780"/>
      <c r="BU2" s="1780"/>
      <c r="BV2" s="1780"/>
      <c r="BW2" s="1780"/>
      <c r="BX2" s="1780"/>
      <c r="BY2" s="1780"/>
      <c r="BZ2" s="1780"/>
      <c r="CA2" s="1780"/>
      <c r="CB2" s="1780"/>
      <c r="CC2" s="1780"/>
      <c r="CD2" s="1780"/>
      <c r="CE2" s="1780"/>
      <c r="CF2" s="1780"/>
      <c r="CG2" s="1780"/>
      <c r="CH2" s="1780"/>
      <c r="CI2" s="1780"/>
      <c r="CJ2" s="1780"/>
      <c r="CK2" s="1780"/>
      <c r="CL2" s="1780"/>
      <c r="CM2" s="1780"/>
      <c r="CN2" s="1780"/>
      <c r="CO2" s="1780"/>
      <c r="CP2" s="1780"/>
      <c r="CQ2" s="1780"/>
      <c r="CR2" s="1780"/>
      <c r="CS2" s="1780"/>
      <c r="CT2" s="1780"/>
      <c r="CU2" s="1780"/>
      <c r="CV2" s="1780"/>
      <c r="CW2" s="1780"/>
      <c r="CX2" s="1780"/>
      <c r="CY2" s="1780"/>
      <c r="CZ2" s="1780"/>
      <c r="DA2" s="1780"/>
      <c r="DB2" s="1780"/>
      <c r="DC2" s="1780"/>
      <c r="DD2" s="1780"/>
      <c r="DE2" s="1780"/>
      <c r="DF2" s="1780"/>
      <c r="DG2" s="1780"/>
      <c r="DH2" s="1780"/>
      <c r="DI2" s="1780"/>
      <c r="DJ2" s="1780"/>
      <c r="DK2" s="1780"/>
      <c r="DL2" s="1780"/>
      <c r="DM2" s="1780"/>
      <c r="DN2" s="1780"/>
      <c r="DO2" s="1780"/>
      <c r="DP2" s="1780"/>
      <c r="DQ2" s="1780"/>
      <c r="DR2" s="1780"/>
      <c r="DS2" s="1780"/>
      <c r="DT2" s="1780"/>
      <c r="DU2" s="1780"/>
      <c r="DV2" s="1780"/>
      <c r="DW2" s="1780"/>
      <c r="DX2" s="1780"/>
      <c r="DY2" s="1780"/>
      <c r="DZ2" s="1780"/>
      <c r="EA2" s="1780"/>
      <c r="EB2" s="1780"/>
      <c r="EC2" s="1780"/>
      <c r="ED2" s="1780"/>
      <c r="EE2" s="1780"/>
      <c r="EF2" s="1780"/>
      <c r="EG2" s="1780"/>
      <c r="EH2" s="1780"/>
      <c r="EI2" s="1780"/>
      <c r="EJ2" s="1780"/>
      <c r="EK2" s="1780"/>
      <c r="EL2" s="1780"/>
      <c r="EM2" s="1780"/>
      <c r="EN2" s="1780"/>
      <c r="EO2" s="1780"/>
      <c r="EP2" s="1780"/>
      <c r="EQ2" s="1780"/>
      <c r="ER2" s="1780"/>
      <c r="ES2" s="1780"/>
      <c r="ET2" s="1780"/>
      <c r="EU2" s="1780"/>
      <c r="EV2" s="1780"/>
      <c r="EW2" s="1780"/>
      <c r="EX2" s="1780"/>
      <c r="EY2" s="1780"/>
      <c r="EZ2" s="1780"/>
      <c r="FA2" s="1780"/>
      <c r="FB2" s="1780"/>
      <c r="FC2" s="1780"/>
      <c r="FD2" s="1780"/>
      <c r="FE2" s="1780"/>
      <c r="FF2" s="1780"/>
      <c r="FG2" s="1780"/>
      <c r="FH2" s="1780"/>
      <c r="FI2" s="1780"/>
      <c r="FJ2" s="1780"/>
      <c r="FK2" s="1780"/>
      <c r="FL2" s="1780"/>
      <c r="FM2" s="1780"/>
      <c r="FN2" s="1780"/>
      <c r="FO2" s="1780"/>
      <c r="FP2" s="1780"/>
      <c r="FQ2" s="1780"/>
      <c r="FR2" s="1780"/>
      <c r="FS2" s="1780"/>
      <c r="FT2" s="1780"/>
      <c r="FU2" s="1780"/>
      <c r="FV2" s="1780"/>
      <c r="FW2" s="1780"/>
      <c r="FX2" s="1780"/>
      <c r="FY2" s="1780"/>
      <c r="FZ2" s="1780"/>
      <c r="GA2" s="1780"/>
      <c r="GB2" s="1780"/>
      <c r="GC2" s="1780"/>
      <c r="GD2" s="1780"/>
      <c r="GE2" s="1780"/>
      <c r="GF2" s="1780"/>
      <c r="GG2" s="1780"/>
      <c r="GH2" s="1780"/>
      <c r="GI2" s="1780"/>
      <c r="GJ2" s="1780"/>
      <c r="GK2" s="1780"/>
      <c r="GL2" s="1780"/>
      <c r="GM2" s="1780"/>
      <c r="GN2" s="1780"/>
      <c r="GO2" s="1780"/>
      <c r="GP2" s="1780"/>
      <c r="GQ2" s="1780"/>
      <c r="GR2" s="1780"/>
      <c r="GS2" s="1780"/>
      <c r="GT2" s="1780"/>
      <c r="GU2" s="1780"/>
      <c r="GV2" s="1780"/>
      <c r="GW2" s="1780"/>
      <c r="GX2" s="1780"/>
      <c r="GY2" s="1780"/>
      <c r="GZ2" s="1780"/>
      <c r="HA2" s="1780"/>
      <c r="HB2" s="1780"/>
      <c r="HC2" s="1780"/>
      <c r="HD2" s="1780"/>
      <c r="HE2" s="1780"/>
      <c r="HF2" s="1780"/>
      <c r="HG2" s="1780"/>
      <c r="HH2" s="1780"/>
      <c r="HI2" s="1780"/>
      <c r="HJ2" s="1780"/>
      <c r="HK2" s="1780"/>
      <c r="HL2" s="1780"/>
      <c r="HM2" s="1780"/>
      <c r="HN2" s="1780"/>
      <c r="HO2" s="1780"/>
      <c r="HP2" s="1780"/>
      <c r="HQ2" s="1780"/>
      <c r="HR2" s="1780"/>
      <c r="HS2" s="1780"/>
      <c r="HT2" s="1780"/>
      <c r="HU2" s="1780"/>
      <c r="HV2" s="1780"/>
      <c r="HW2" s="1780"/>
      <c r="HX2" s="1780"/>
      <c r="HY2" s="1780"/>
      <c r="HZ2" s="1780"/>
      <c r="IA2" s="1780"/>
      <c r="IB2" s="1780"/>
      <c r="IC2" s="1780"/>
      <c r="ID2" s="1780"/>
      <c r="IE2" s="1780"/>
      <c r="IF2" s="1780"/>
      <c r="IG2" s="1780"/>
      <c r="IH2" s="1780"/>
      <c r="II2" s="1780"/>
      <c r="IJ2" s="1780"/>
      <c r="IK2" s="1780"/>
      <c r="IL2" s="1780"/>
      <c r="IM2" s="1780"/>
      <c r="IN2" s="1780"/>
      <c r="IO2" s="1780"/>
      <c r="IP2" s="1780"/>
    </row>
    <row r="3" spans="1:12" s="1781" customFormat="1" ht="18" customHeight="1">
      <c r="A3" s="1777"/>
      <c r="B3" s="2273" t="s">
        <v>14</v>
      </c>
      <c r="C3" s="2273"/>
      <c r="D3" s="2273"/>
      <c r="E3" s="2273"/>
      <c r="F3" s="2273"/>
      <c r="G3" s="2273"/>
      <c r="H3" s="2273"/>
      <c r="I3" s="2273"/>
      <c r="J3" s="2273"/>
      <c r="K3" s="2273"/>
      <c r="L3" s="2273"/>
    </row>
    <row r="4" spans="1:12" s="1781" customFormat="1" ht="18" customHeight="1">
      <c r="A4" s="1777"/>
      <c r="B4" s="2274" t="s">
        <v>888</v>
      </c>
      <c r="C4" s="2274"/>
      <c r="D4" s="2274"/>
      <c r="E4" s="2274"/>
      <c r="F4" s="2274"/>
      <c r="G4" s="2274"/>
      <c r="H4" s="2274"/>
      <c r="I4" s="2274"/>
      <c r="J4" s="2274"/>
      <c r="K4" s="2274"/>
      <c r="L4" s="2274"/>
    </row>
    <row r="5" ht="18" customHeight="1">
      <c r="L5" s="1787" t="s">
        <v>0</v>
      </c>
    </row>
    <row r="6" spans="1:250" s="101" customFormat="1" ht="18" customHeight="1" thickBot="1">
      <c r="A6" s="1777"/>
      <c r="B6" s="1788" t="s">
        <v>1</v>
      </c>
      <c r="C6" s="1789" t="s">
        <v>3</v>
      </c>
      <c r="D6" s="1789" t="s">
        <v>2</v>
      </c>
      <c r="E6" s="1789" t="s">
        <v>4</v>
      </c>
      <c r="F6" s="1789" t="s">
        <v>5</v>
      </c>
      <c r="G6" s="1789" t="s">
        <v>15</v>
      </c>
      <c r="H6" s="1789" t="s">
        <v>16</v>
      </c>
      <c r="I6" s="1789" t="s">
        <v>29</v>
      </c>
      <c r="J6" s="1789" t="s">
        <v>22</v>
      </c>
      <c r="K6" s="1789" t="s">
        <v>34</v>
      </c>
      <c r="L6" s="1789" t="s">
        <v>35</v>
      </c>
      <c r="M6" s="1777"/>
      <c r="N6" s="1777"/>
      <c r="O6" s="1777"/>
      <c r="P6" s="1777"/>
      <c r="Q6" s="1777"/>
      <c r="R6" s="1777"/>
      <c r="S6" s="1777"/>
      <c r="T6" s="1777"/>
      <c r="U6" s="1777"/>
      <c r="V6" s="1777"/>
      <c r="W6" s="1777"/>
      <c r="X6" s="1777"/>
      <c r="Y6" s="1777"/>
      <c r="Z6" s="1777"/>
      <c r="AA6" s="1777"/>
      <c r="AB6" s="1777"/>
      <c r="AC6" s="1777"/>
      <c r="AD6" s="1777"/>
      <c r="AE6" s="1777"/>
      <c r="AF6" s="1777"/>
      <c r="AG6" s="1777"/>
      <c r="AH6" s="1777"/>
      <c r="AI6" s="1777"/>
      <c r="AJ6" s="1777"/>
      <c r="AK6" s="1777"/>
      <c r="AL6" s="1777"/>
      <c r="AM6" s="1777"/>
      <c r="AN6" s="1777"/>
      <c r="AO6" s="1777"/>
      <c r="AP6" s="1777"/>
      <c r="AQ6" s="1777"/>
      <c r="AR6" s="1777"/>
      <c r="AS6" s="1777"/>
      <c r="AT6" s="1777"/>
      <c r="AU6" s="1777"/>
      <c r="AV6" s="1777"/>
      <c r="AW6" s="1777"/>
      <c r="AX6" s="1777"/>
      <c r="AY6" s="1777"/>
      <c r="AZ6" s="1777"/>
      <c r="BA6" s="1777"/>
      <c r="BB6" s="1777"/>
      <c r="BC6" s="1777"/>
      <c r="BD6" s="1777"/>
      <c r="BE6" s="1777"/>
      <c r="BF6" s="1777"/>
      <c r="BG6" s="1777"/>
      <c r="BH6" s="1777"/>
      <c r="BI6" s="1777"/>
      <c r="BJ6" s="1777"/>
      <c r="BK6" s="1777"/>
      <c r="BL6" s="1777"/>
      <c r="BM6" s="1777"/>
      <c r="BN6" s="1777"/>
      <c r="BO6" s="1777"/>
      <c r="BP6" s="1777"/>
      <c r="BQ6" s="1777"/>
      <c r="BR6" s="1777"/>
      <c r="BS6" s="1777"/>
      <c r="BT6" s="1777"/>
      <c r="BU6" s="1777"/>
      <c r="BV6" s="1777"/>
      <c r="BW6" s="1777"/>
      <c r="BX6" s="1777"/>
      <c r="BY6" s="1777"/>
      <c r="BZ6" s="1777"/>
      <c r="CA6" s="1777"/>
      <c r="CB6" s="1777"/>
      <c r="CC6" s="1777"/>
      <c r="CD6" s="1777"/>
      <c r="CE6" s="1777"/>
      <c r="CF6" s="1777"/>
      <c r="CG6" s="1777"/>
      <c r="CH6" s="1777"/>
      <c r="CI6" s="1777"/>
      <c r="CJ6" s="1777"/>
      <c r="CK6" s="1777"/>
      <c r="CL6" s="1777"/>
      <c r="CM6" s="1777"/>
      <c r="CN6" s="1777"/>
      <c r="CO6" s="1777"/>
      <c r="CP6" s="1777"/>
      <c r="CQ6" s="1777"/>
      <c r="CR6" s="1777"/>
      <c r="CS6" s="1777"/>
      <c r="CT6" s="1777"/>
      <c r="CU6" s="1777"/>
      <c r="CV6" s="1777"/>
      <c r="CW6" s="1777"/>
      <c r="CX6" s="1777"/>
      <c r="CY6" s="1777"/>
      <c r="CZ6" s="1777"/>
      <c r="DA6" s="1777"/>
      <c r="DB6" s="1777"/>
      <c r="DC6" s="1777"/>
      <c r="DD6" s="1777"/>
      <c r="DE6" s="1777"/>
      <c r="DF6" s="1777"/>
      <c r="DG6" s="1777"/>
      <c r="DH6" s="1777"/>
      <c r="DI6" s="1777"/>
      <c r="DJ6" s="1777"/>
      <c r="DK6" s="1777"/>
      <c r="DL6" s="1777"/>
      <c r="DM6" s="1777"/>
      <c r="DN6" s="1777"/>
      <c r="DO6" s="1777"/>
      <c r="DP6" s="1777"/>
      <c r="DQ6" s="1777"/>
      <c r="DR6" s="1777"/>
      <c r="DS6" s="1777"/>
      <c r="DT6" s="1777"/>
      <c r="DU6" s="1777"/>
      <c r="DV6" s="1777"/>
      <c r="DW6" s="1777"/>
      <c r="DX6" s="1777"/>
      <c r="DY6" s="1777"/>
      <c r="DZ6" s="1777"/>
      <c r="EA6" s="1777"/>
      <c r="EB6" s="1777"/>
      <c r="EC6" s="1777"/>
      <c r="ED6" s="1777"/>
      <c r="EE6" s="1777"/>
      <c r="EF6" s="1777"/>
      <c r="EG6" s="1777"/>
      <c r="EH6" s="1777"/>
      <c r="EI6" s="1777"/>
      <c r="EJ6" s="1777"/>
      <c r="EK6" s="1777"/>
      <c r="EL6" s="1777"/>
      <c r="EM6" s="1777"/>
      <c r="EN6" s="1777"/>
      <c r="EO6" s="1777"/>
      <c r="EP6" s="1777"/>
      <c r="EQ6" s="1777"/>
      <c r="ER6" s="1777"/>
      <c r="ES6" s="1777"/>
      <c r="ET6" s="1777"/>
      <c r="EU6" s="1777"/>
      <c r="EV6" s="1777"/>
      <c r="EW6" s="1777"/>
      <c r="EX6" s="1777"/>
      <c r="EY6" s="1777"/>
      <c r="EZ6" s="1777"/>
      <c r="FA6" s="1777"/>
      <c r="FB6" s="1777"/>
      <c r="FC6" s="1777"/>
      <c r="FD6" s="1777"/>
      <c r="FE6" s="1777"/>
      <c r="FF6" s="1777"/>
      <c r="FG6" s="1777"/>
      <c r="FH6" s="1777"/>
      <c r="FI6" s="1777"/>
      <c r="FJ6" s="1777"/>
      <c r="FK6" s="1777"/>
      <c r="FL6" s="1777"/>
      <c r="FM6" s="1777"/>
      <c r="FN6" s="1777"/>
      <c r="FO6" s="1777"/>
      <c r="FP6" s="1777"/>
      <c r="FQ6" s="1777"/>
      <c r="FR6" s="1777"/>
      <c r="FS6" s="1777"/>
      <c r="FT6" s="1777"/>
      <c r="FU6" s="1777"/>
      <c r="FV6" s="1777"/>
      <c r="FW6" s="1777"/>
      <c r="FX6" s="1777"/>
      <c r="FY6" s="1777"/>
      <c r="FZ6" s="1777"/>
      <c r="GA6" s="1777"/>
      <c r="GB6" s="1777"/>
      <c r="GC6" s="1777"/>
      <c r="GD6" s="1777"/>
      <c r="GE6" s="1777"/>
      <c r="GF6" s="1777"/>
      <c r="GG6" s="1777"/>
      <c r="GH6" s="1777"/>
      <c r="GI6" s="1777"/>
      <c r="GJ6" s="1777"/>
      <c r="GK6" s="1777"/>
      <c r="GL6" s="1777"/>
      <c r="GM6" s="1777"/>
      <c r="GN6" s="1777"/>
      <c r="GO6" s="1777"/>
      <c r="GP6" s="1777"/>
      <c r="GQ6" s="1777"/>
      <c r="GR6" s="1777"/>
      <c r="GS6" s="1777"/>
      <c r="GT6" s="1777"/>
      <c r="GU6" s="1777"/>
      <c r="GV6" s="1777"/>
      <c r="GW6" s="1777"/>
      <c r="GX6" s="1777"/>
      <c r="GY6" s="1777"/>
      <c r="GZ6" s="1777"/>
      <c r="HA6" s="1777"/>
      <c r="HB6" s="1777"/>
      <c r="HC6" s="1777"/>
      <c r="HD6" s="1777"/>
      <c r="HE6" s="1777"/>
      <c r="HF6" s="1777"/>
      <c r="HG6" s="1777"/>
      <c r="HH6" s="1777"/>
      <c r="HI6" s="1777"/>
      <c r="HJ6" s="1777"/>
      <c r="HK6" s="1777"/>
      <c r="HL6" s="1777"/>
      <c r="HM6" s="1777"/>
      <c r="HN6" s="1777"/>
      <c r="HO6" s="1777"/>
      <c r="HP6" s="1777"/>
      <c r="HQ6" s="1777"/>
      <c r="HR6" s="1777"/>
      <c r="HS6" s="1777"/>
      <c r="HT6" s="1777"/>
      <c r="HU6" s="1777"/>
      <c r="HV6" s="1777"/>
      <c r="HW6" s="1777"/>
      <c r="HX6" s="1777"/>
      <c r="HY6" s="1777"/>
      <c r="HZ6" s="1777"/>
      <c r="IA6" s="1777"/>
      <c r="IB6" s="1777"/>
      <c r="IC6" s="1777"/>
      <c r="ID6" s="1777"/>
      <c r="IE6" s="1777"/>
      <c r="IF6" s="1777"/>
      <c r="IG6" s="1777"/>
      <c r="IH6" s="1777"/>
      <c r="II6" s="1777"/>
      <c r="IJ6" s="1777"/>
      <c r="IK6" s="1777"/>
      <c r="IL6" s="1777"/>
      <c r="IM6" s="1777"/>
      <c r="IN6" s="1777"/>
      <c r="IO6" s="1777"/>
      <c r="IP6" s="1777"/>
    </row>
    <row r="7" spans="2:12" ht="30" customHeight="1">
      <c r="B7" s="2252" t="s">
        <v>18</v>
      </c>
      <c r="C7" s="2255" t="s">
        <v>19</v>
      </c>
      <c r="D7" s="2258" t="s">
        <v>6</v>
      </c>
      <c r="E7" s="2249" t="s">
        <v>21</v>
      </c>
      <c r="F7" s="2249" t="s">
        <v>513</v>
      </c>
      <c r="G7" s="2267" t="s">
        <v>889</v>
      </c>
      <c r="H7" s="2264" t="s">
        <v>276</v>
      </c>
      <c r="I7" s="2281" t="s">
        <v>537</v>
      </c>
      <c r="J7" s="2281"/>
      <c r="K7" s="2282"/>
      <c r="L7" s="2246" t="s">
        <v>589</v>
      </c>
    </row>
    <row r="8" spans="2:12" ht="45" customHeight="1">
      <c r="B8" s="2253"/>
      <c r="C8" s="2256"/>
      <c r="D8" s="2259"/>
      <c r="E8" s="2250"/>
      <c r="F8" s="2250"/>
      <c r="G8" s="2268"/>
      <c r="H8" s="2265"/>
      <c r="I8" s="1786" t="s">
        <v>36</v>
      </c>
      <c r="J8" s="1973" t="s">
        <v>148</v>
      </c>
      <c r="K8" s="2262" t="s">
        <v>115</v>
      </c>
      <c r="L8" s="2247"/>
    </row>
    <row r="9" spans="2:12" ht="53.25" customHeight="1" thickBot="1">
      <c r="B9" s="2254"/>
      <c r="C9" s="2257"/>
      <c r="D9" s="2260"/>
      <c r="E9" s="2251"/>
      <c r="F9" s="2251"/>
      <c r="G9" s="2269"/>
      <c r="H9" s="2266"/>
      <c r="I9" s="725" t="s">
        <v>39</v>
      </c>
      <c r="J9" s="546" t="s">
        <v>214</v>
      </c>
      <c r="K9" s="2263"/>
      <c r="L9" s="2248"/>
    </row>
    <row r="10" spans="1:12" ht="23.25" customHeight="1">
      <c r="A10" s="1790">
        <v>1</v>
      </c>
      <c r="B10" s="724">
        <v>18</v>
      </c>
      <c r="C10" s="716" t="s">
        <v>890</v>
      </c>
      <c r="D10" s="1775"/>
      <c r="E10" s="518"/>
      <c r="F10" s="536"/>
      <c r="G10" s="1459"/>
      <c r="H10" s="752"/>
      <c r="I10" s="726"/>
      <c r="J10" s="547"/>
      <c r="K10" s="548"/>
      <c r="L10" s="537"/>
    </row>
    <row r="11" spans="1:12" ht="22.5" customHeight="1">
      <c r="A11" s="1790">
        <v>2</v>
      </c>
      <c r="B11" s="538"/>
      <c r="C11" s="539">
        <v>1</v>
      </c>
      <c r="D11" s="1764" t="s">
        <v>891</v>
      </c>
      <c r="E11" s="540">
        <f>F11+G11+K15+L11</f>
        <v>11252</v>
      </c>
      <c r="F11" s="541">
        <v>9999</v>
      </c>
      <c r="G11" s="1460"/>
      <c r="H11" s="753" t="s">
        <v>23</v>
      </c>
      <c r="I11" s="727"/>
      <c r="J11" s="549"/>
      <c r="K11" s="550"/>
      <c r="L11" s="542"/>
    </row>
    <row r="12" spans="1:12" ht="18" customHeight="1">
      <c r="A12" s="1790">
        <v>3</v>
      </c>
      <c r="B12" s="538"/>
      <c r="C12" s="539"/>
      <c r="D12" s="1974" t="s">
        <v>283</v>
      </c>
      <c r="E12" s="540"/>
      <c r="F12" s="541"/>
      <c r="G12" s="1460"/>
      <c r="H12" s="753"/>
      <c r="I12" s="727"/>
      <c r="J12" s="1433">
        <v>1253</v>
      </c>
      <c r="K12" s="1434">
        <f>SUM(I12:J12)</f>
        <v>1253</v>
      </c>
      <c r="L12" s="542"/>
    </row>
    <row r="13" spans="1:12" ht="18" customHeight="1">
      <c r="A13" s="1790">
        <v>4</v>
      </c>
      <c r="B13" s="538"/>
      <c r="C13" s="539"/>
      <c r="D13" s="260" t="s">
        <v>938</v>
      </c>
      <c r="E13" s="540"/>
      <c r="F13" s="541"/>
      <c r="G13" s="1460"/>
      <c r="H13" s="753"/>
      <c r="I13" s="727"/>
      <c r="J13" s="1560">
        <v>1253</v>
      </c>
      <c r="K13" s="1668">
        <f>SUM(I13:J13)</f>
        <v>1253</v>
      </c>
      <c r="L13" s="542"/>
    </row>
    <row r="14" spans="1:12" ht="18" customHeight="1">
      <c r="A14" s="1790">
        <v>5</v>
      </c>
      <c r="B14" s="538"/>
      <c r="C14" s="539"/>
      <c r="D14" s="1151" t="s">
        <v>674</v>
      </c>
      <c r="E14" s="540"/>
      <c r="F14" s="541"/>
      <c r="G14" s="1460"/>
      <c r="H14" s="753"/>
      <c r="I14" s="727"/>
      <c r="J14" s="549"/>
      <c r="K14" s="1791">
        <f>SUM(I14:J14)</f>
        <v>0</v>
      </c>
      <c r="L14" s="542"/>
    </row>
    <row r="15" spans="1:12" ht="18" customHeight="1">
      <c r="A15" s="1790">
        <v>6</v>
      </c>
      <c r="B15" s="538"/>
      <c r="C15" s="539"/>
      <c r="D15" s="260" t="s">
        <v>1091</v>
      </c>
      <c r="E15" s="540"/>
      <c r="F15" s="541"/>
      <c r="G15" s="1460"/>
      <c r="H15" s="753"/>
      <c r="I15" s="727"/>
      <c r="J15" s="1560">
        <f>SUM(J13:J14)</f>
        <v>1253</v>
      </c>
      <c r="K15" s="1668">
        <f>SUM(I15:J15)</f>
        <v>1253</v>
      </c>
      <c r="L15" s="542"/>
    </row>
    <row r="16" spans="1:12" ht="33" customHeight="1">
      <c r="A16" s="1790">
        <v>7</v>
      </c>
      <c r="B16" s="538"/>
      <c r="C16" s="543">
        <v>2</v>
      </c>
      <c r="D16" s="1763" t="s">
        <v>892</v>
      </c>
      <c r="E16" s="540">
        <f>F16+G16+K20+L16</f>
        <v>20000</v>
      </c>
      <c r="F16" s="541"/>
      <c r="G16" s="1460"/>
      <c r="H16" s="753" t="s">
        <v>23</v>
      </c>
      <c r="I16" s="727"/>
      <c r="J16" s="549"/>
      <c r="K16" s="550"/>
      <c r="L16" s="542"/>
    </row>
    <row r="17" spans="1:12" ht="18" customHeight="1">
      <c r="A17" s="1790">
        <v>8</v>
      </c>
      <c r="B17" s="1792"/>
      <c r="C17" s="543"/>
      <c r="D17" s="1974" t="s">
        <v>283</v>
      </c>
      <c r="E17" s="540"/>
      <c r="F17" s="541"/>
      <c r="G17" s="1793"/>
      <c r="H17" s="753"/>
      <c r="I17" s="727"/>
      <c r="J17" s="1433">
        <v>20000</v>
      </c>
      <c r="K17" s="1434">
        <f>SUM(I17:J17)</f>
        <v>20000</v>
      </c>
      <c r="L17" s="542"/>
    </row>
    <row r="18" spans="1:12" ht="18" customHeight="1">
      <c r="A18" s="1790">
        <v>9</v>
      </c>
      <c r="B18" s="1792"/>
      <c r="C18" s="543"/>
      <c r="D18" s="260" t="s">
        <v>938</v>
      </c>
      <c r="E18" s="540"/>
      <c r="F18" s="541"/>
      <c r="G18" s="1793"/>
      <c r="H18" s="753"/>
      <c r="I18" s="727"/>
      <c r="J18" s="1560">
        <v>20000</v>
      </c>
      <c r="K18" s="1668">
        <f>SUM(I18:J18)</f>
        <v>20000</v>
      </c>
      <c r="L18" s="542"/>
    </row>
    <row r="19" spans="1:12" ht="18" customHeight="1">
      <c r="A19" s="1790">
        <v>10</v>
      </c>
      <c r="B19" s="1792"/>
      <c r="C19" s="543"/>
      <c r="D19" s="1151" t="s">
        <v>674</v>
      </c>
      <c r="E19" s="540"/>
      <c r="F19" s="541"/>
      <c r="G19" s="1793"/>
      <c r="H19" s="753"/>
      <c r="I19" s="727"/>
      <c r="J19" s="549"/>
      <c r="K19" s="1791">
        <f>SUM(I19:J19)</f>
        <v>0</v>
      </c>
      <c r="L19" s="542"/>
    </row>
    <row r="20" spans="1:12" ht="18" customHeight="1">
      <c r="A20" s="1790">
        <v>11</v>
      </c>
      <c r="B20" s="1792"/>
      <c r="C20" s="543"/>
      <c r="D20" s="260" t="s">
        <v>1091</v>
      </c>
      <c r="E20" s="540"/>
      <c r="F20" s="541"/>
      <c r="G20" s="1793"/>
      <c r="H20" s="753"/>
      <c r="I20" s="727"/>
      <c r="J20" s="1560">
        <f>SUM(J18:J19)</f>
        <v>20000</v>
      </c>
      <c r="K20" s="1668">
        <f>SUM(I20:J20)</f>
        <v>20000</v>
      </c>
      <c r="L20" s="542"/>
    </row>
    <row r="21" spans="1:12" ht="22.5" customHeight="1">
      <c r="A21" s="1790">
        <v>12</v>
      </c>
      <c r="B21" s="1792"/>
      <c r="C21" s="539">
        <v>3</v>
      </c>
      <c r="D21" s="1763" t="s">
        <v>919</v>
      </c>
      <c r="E21" s="540">
        <f>F21+G21+K24+L22</f>
        <v>2500</v>
      </c>
      <c r="F21" s="541"/>
      <c r="G21" s="1793"/>
      <c r="H21" s="753" t="s">
        <v>22</v>
      </c>
      <c r="I21" s="727"/>
      <c r="J21" s="549"/>
      <c r="K21" s="550"/>
      <c r="L21" s="542"/>
    </row>
    <row r="22" spans="1:12" ht="19.5" customHeight="1">
      <c r="A22" s="1790">
        <v>13</v>
      </c>
      <c r="B22" s="1792"/>
      <c r="C22" s="539"/>
      <c r="D22" s="260" t="s">
        <v>938</v>
      </c>
      <c r="E22" s="540"/>
      <c r="F22" s="541"/>
      <c r="G22" s="1793"/>
      <c r="H22" s="753"/>
      <c r="I22" s="727"/>
      <c r="J22" s="1560">
        <v>2500</v>
      </c>
      <c r="K22" s="1668">
        <f>SUM(I22:J22)</f>
        <v>2500</v>
      </c>
      <c r="L22" s="542"/>
    </row>
    <row r="23" spans="1:12" ht="18" customHeight="1">
      <c r="A23" s="1790">
        <v>14</v>
      </c>
      <c r="B23" s="1792"/>
      <c r="C23" s="543"/>
      <c r="D23" s="1151" t="s">
        <v>725</v>
      </c>
      <c r="E23" s="540"/>
      <c r="F23" s="541"/>
      <c r="G23" s="1793"/>
      <c r="H23" s="753"/>
      <c r="I23" s="727"/>
      <c r="J23" s="1300"/>
      <c r="K23" s="1791">
        <f>SUM(I23:J23)</f>
        <v>0</v>
      </c>
      <c r="L23" s="542"/>
    </row>
    <row r="24" spans="1:12" ht="18" customHeight="1">
      <c r="A24" s="1790">
        <v>15</v>
      </c>
      <c r="B24" s="1792"/>
      <c r="C24" s="543"/>
      <c r="D24" s="260" t="s">
        <v>1091</v>
      </c>
      <c r="E24" s="540"/>
      <c r="F24" s="541"/>
      <c r="G24" s="1793"/>
      <c r="H24" s="753"/>
      <c r="I24" s="727"/>
      <c r="J24" s="1560">
        <f>SUM(J22:J23)</f>
        <v>2500</v>
      </c>
      <c r="K24" s="1668">
        <f>SUM(I24:J24)</f>
        <v>2500</v>
      </c>
      <c r="L24" s="542"/>
    </row>
    <row r="25" spans="1:12" ht="22.5" customHeight="1">
      <c r="A25" s="1790">
        <v>16</v>
      </c>
      <c r="B25" s="1792"/>
      <c r="C25" s="539">
        <v>4</v>
      </c>
      <c r="D25" s="1763" t="s">
        <v>885</v>
      </c>
      <c r="E25" s="540">
        <f>F25+G25+K28+L26</f>
        <v>1500</v>
      </c>
      <c r="F25" s="541"/>
      <c r="G25" s="1793"/>
      <c r="H25" s="753" t="s">
        <v>23</v>
      </c>
      <c r="I25" s="727"/>
      <c r="J25" s="549"/>
      <c r="K25" s="550"/>
      <c r="L25" s="542"/>
    </row>
    <row r="26" spans="1:12" ht="19.5" customHeight="1">
      <c r="A26" s="1790">
        <v>17</v>
      </c>
      <c r="B26" s="1792"/>
      <c r="C26" s="539"/>
      <c r="D26" s="260" t="s">
        <v>938</v>
      </c>
      <c r="E26" s="540"/>
      <c r="F26" s="541"/>
      <c r="G26" s="1793"/>
      <c r="H26" s="753"/>
      <c r="I26" s="727"/>
      <c r="J26" s="1560">
        <v>1500</v>
      </c>
      <c r="K26" s="1794">
        <f aca="true" t="shared" si="0" ref="K26:K32">SUM(I26:J26)</f>
        <v>1500</v>
      </c>
      <c r="L26" s="542"/>
    </row>
    <row r="27" spans="1:12" ht="18" customHeight="1">
      <c r="A27" s="1790">
        <v>18</v>
      </c>
      <c r="B27" s="1792"/>
      <c r="C27" s="543"/>
      <c r="D27" s="1151" t="s">
        <v>725</v>
      </c>
      <c r="E27" s="540"/>
      <c r="F27" s="541"/>
      <c r="G27" s="1793"/>
      <c r="H27" s="753"/>
      <c r="I27" s="727"/>
      <c r="J27" s="1300"/>
      <c r="K27" s="1791">
        <f t="shared" si="0"/>
        <v>0</v>
      </c>
      <c r="L27" s="542"/>
    </row>
    <row r="28" spans="1:12" ht="18" customHeight="1">
      <c r="A28" s="1790">
        <v>19</v>
      </c>
      <c r="B28" s="1795"/>
      <c r="C28" s="1796"/>
      <c r="D28" s="1684" t="s">
        <v>1091</v>
      </c>
      <c r="E28" s="1797"/>
      <c r="F28" s="1798"/>
      <c r="G28" s="522"/>
      <c r="H28" s="1799"/>
      <c r="I28" s="1800"/>
      <c r="J28" s="1733">
        <f>SUM(J26:J27)</f>
        <v>1500</v>
      </c>
      <c r="K28" s="1794">
        <f t="shared" si="0"/>
        <v>1500</v>
      </c>
      <c r="L28" s="1801"/>
    </row>
    <row r="29" spans="1:12" ht="22.5" customHeight="1">
      <c r="A29" s="1790">
        <v>20</v>
      </c>
      <c r="B29" s="1792"/>
      <c r="C29" s="539">
        <v>5</v>
      </c>
      <c r="D29" s="1764" t="s">
        <v>918</v>
      </c>
      <c r="E29" s="540">
        <f>F29+G29+K32+L30</f>
        <v>2000</v>
      </c>
      <c r="F29" s="541"/>
      <c r="G29" s="1802"/>
      <c r="H29" s="1803" t="s">
        <v>22</v>
      </c>
      <c r="I29" s="549"/>
      <c r="J29" s="1560"/>
      <c r="K29" s="1804"/>
      <c r="L29" s="1032"/>
    </row>
    <row r="30" spans="1:12" ht="19.5" customHeight="1">
      <c r="A30" s="1790">
        <v>21</v>
      </c>
      <c r="B30" s="1792"/>
      <c r="C30" s="539"/>
      <c r="D30" s="260" t="s">
        <v>938</v>
      </c>
      <c r="E30" s="540"/>
      <c r="F30" s="541"/>
      <c r="G30" s="1802"/>
      <c r="H30" s="1803"/>
      <c r="I30" s="549"/>
      <c r="J30" s="1560">
        <v>2000</v>
      </c>
      <c r="K30" s="1794">
        <f t="shared" si="0"/>
        <v>2000</v>
      </c>
      <c r="L30" s="1032"/>
    </row>
    <row r="31" spans="1:12" ht="18" customHeight="1">
      <c r="A31" s="1790">
        <v>22</v>
      </c>
      <c r="B31" s="1792"/>
      <c r="C31" s="543"/>
      <c r="D31" s="1151" t="s">
        <v>725</v>
      </c>
      <c r="E31" s="540"/>
      <c r="F31" s="541"/>
      <c r="G31" s="1802"/>
      <c r="H31" s="1803"/>
      <c r="I31" s="549"/>
      <c r="J31" s="1300"/>
      <c r="K31" s="1791">
        <f t="shared" si="0"/>
        <v>0</v>
      </c>
      <c r="L31" s="1032"/>
    </row>
    <row r="32" spans="1:12" ht="18" customHeight="1">
      <c r="A32" s="1790">
        <v>23</v>
      </c>
      <c r="B32" s="1795"/>
      <c r="C32" s="1805"/>
      <c r="D32" s="1757" t="s">
        <v>1091</v>
      </c>
      <c r="E32" s="518"/>
      <c r="F32" s="536"/>
      <c r="G32" s="522"/>
      <c r="H32" s="1799"/>
      <c r="I32" s="1800"/>
      <c r="J32" s="1733">
        <f>SUM(J30:J31)</f>
        <v>2000</v>
      </c>
      <c r="K32" s="1794">
        <f t="shared" si="0"/>
        <v>2000</v>
      </c>
      <c r="L32" s="1801"/>
    </row>
    <row r="33" spans="1:12" ht="24.75" customHeight="1">
      <c r="A33" s="1790">
        <v>24</v>
      </c>
      <c r="B33" s="1792"/>
      <c r="C33" s="1805"/>
      <c r="D33" s="1806" t="s">
        <v>286</v>
      </c>
      <c r="E33" s="518"/>
      <c r="F33" s="536"/>
      <c r="G33" s="1793"/>
      <c r="H33" s="753" t="s">
        <v>22</v>
      </c>
      <c r="I33" s="727"/>
      <c r="J33" s="1560"/>
      <c r="K33" s="1668"/>
      <c r="L33" s="542"/>
    </row>
    <row r="34" spans="1:12" ht="22.5" customHeight="1">
      <c r="A34" s="1790">
        <v>25</v>
      </c>
      <c r="B34" s="1792"/>
      <c r="C34" s="1807">
        <v>6</v>
      </c>
      <c r="D34" s="1763" t="s">
        <v>933</v>
      </c>
      <c r="E34" s="540">
        <f>F34+G34+K37+L35</f>
        <v>2540</v>
      </c>
      <c r="F34" s="536"/>
      <c r="G34" s="1793"/>
      <c r="H34" s="753"/>
      <c r="I34" s="727"/>
      <c r="J34" s="1560"/>
      <c r="K34" s="1668"/>
      <c r="L34" s="542"/>
    </row>
    <row r="35" spans="1:12" ht="19.5" customHeight="1">
      <c r="A35" s="1790">
        <v>26</v>
      </c>
      <c r="B35" s="1792"/>
      <c r="C35" s="1807"/>
      <c r="D35" s="260" t="s">
        <v>938</v>
      </c>
      <c r="E35" s="518"/>
      <c r="F35" s="536"/>
      <c r="G35" s="1793"/>
      <c r="H35" s="753"/>
      <c r="I35" s="727"/>
      <c r="J35" s="1560">
        <v>2540</v>
      </c>
      <c r="K35" s="1668">
        <f>SUM(I35:J35)</f>
        <v>2540</v>
      </c>
      <c r="L35" s="542"/>
    </row>
    <row r="36" spans="1:12" ht="18" customHeight="1">
      <c r="A36" s="1790">
        <v>27</v>
      </c>
      <c r="B36" s="1792"/>
      <c r="C36" s="543"/>
      <c r="D36" s="1151" t="s">
        <v>725</v>
      </c>
      <c r="E36" s="518"/>
      <c r="F36" s="541"/>
      <c r="G36" s="1793"/>
      <c r="H36" s="753"/>
      <c r="I36" s="727"/>
      <c r="J36" s="1300"/>
      <c r="K36" s="1791">
        <f>SUM(I36:J36)</f>
        <v>0</v>
      </c>
      <c r="L36" s="542"/>
    </row>
    <row r="37" spans="1:12" ht="18" customHeight="1">
      <c r="A37" s="1790">
        <v>28</v>
      </c>
      <c r="B37" s="1792"/>
      <c r="C37" s="543"/>
      <c r="D37" s="260" t="s">
        <v>1091</v>
      </c>
      <c r="E37" s="518"/>
      <c r="F37" s="541"/>
      <c r="G37" s="1793"/>
      <c r="H37" s="753"/>
      <c r="I37" s="727"/>
      <c r="J37" s="1560">
        <f>SUM(J35:J36)</f>
        <v>2540</v>
      </c>
      <c r="K37" s="1668">
        <f>SUM(I37:J37)</f>
        <v>2540</v>
      </c>
      <c r="L37" s="542"/>
    </row>
    <row r="38" spans="1:12" ht="18" customHeight="1">
      <c r="A38" s="1790">
        <v>29</v>
      </c>
      <c r="B38" s="1792"/>
      <c r="C38" s="543"/>
      <c r="D38" s="1808" t="s">
        <v>927</v>
      </c>
      <c r="E38" s="518"/>
      <c r="F38" s="541"/>
      <c r="G38" s="1793"/>
      <c r="H38" s="753"/>
      <c r="I38" s="727"/>
      <c r="J38" s="1560"/>
      <c r="K38" s="1668"/>
      <c r="L38" s="542"/>
    </row>
    <row r="39" spans="1:12" ht="22.5" customHeight="1">
      <c r="A39" s="1790">
        <v>30</v>
      </c>
      <c r="B39" s="1792"/>
      <c r="C39" s="539">
        <v>7</v>
      </c>
      <c r="D39" s="1763" t="s">
        <v>928</v>
      </c>
      <c r="E39" s="540">
        <f>F39+G39+K42+L40</f>
        <v>3000</v>
      </c>
      <c r="F39" s="541"/>
      <c r="G39" s="1793"/>
      <c r="H39" s="753"/>
      <c r="I39" s="727"/>
      <c r="J39" s="1560"/>
      <c r="K39" s="1668"/>
      <c r="L39" s="542"/>
    </row>
    <row r="40" spans="1:12" ht="19.5" customHeight="1">
      <c r="A40" s="1790">
        <v>31</v>
      </c>
      <c r="B40" s="1792"/>
      <c r="C40" s="539"/>
      <c r="D40" s="260" t="s">
        <v>938</v>
      </c>
      <c r="E40" s="518"/>
      <c r="F40" s="541"/>
      <c r="G40" s="1793"/>
      <c r="H40" s="753"/>
      <c r="I40" s="727"/>
      <c r="J40" s="1560">
        <v>3000</v>
      </c>
      <c r="K40" s="1668">
        <f>SUM(I40:J40)</f>
        <v>3000</v>
      </c>
      <c r="L40" s="542"/>
    </row>
    <row r="41" spans="1:12" ht="18" customHeight="1">
      <c r="A41" s="1790">
        <v>32</v>
      </c>
      <c r="B41" s="1792"/>
      <c r="C41" s="543"/>
      <c r="D41" s="1151" t="s">
        <v>725</v>
      </c>
      <c r="E41" s="518"/>
      <c r="F41" s="541"/>
      <c r="G41" s="1793"/>
      <c r="H41" s="753"/>
      <c r="I41" s="727"/>
      <c r="J41" s="1300"/>
      <c r="K41" s="1791">
        <f>SUM(I41:J41)</f>
        <v>0</v>
      </c>
      <c r="L41" s="542"/>
    </row>
    <row r="42" spans="1:12" ht="18" customHeight="1">
      <c r="A42" s="1790">
        <v>33</v>
      </c>
      <c r="B42" s="1792"/>
      <c r="C42" s="543"/>
      <c r="D42" s="260" t="s">
        <v>1091</v>
      </c>
      <c r="E42" s="518"/>
      <c r="F42" s="541"/>
      <c r="G42" s="1793"/>
      <c r="H42" s="753"/>
      <c r="I42" s="727"/>
      <c r="J42" s="1560">
        <f>SUM(J40:J41)</f>
        <v>3000</v>
      </c>
      <c r="K42" s="1668">
        <f>SUM(I42:J42)</f>
        <v>3000</v>
      </c>
      <c r="L42" s="542"/>
    </row>
    <row r="43" spans="1:12" ht="24.75" customHeight="1">
      <c r="A43" s="1790">
        <v>34</v>
      </c>
      <c r="B43" s="1792"/>
      <c r="C43" s="543"/>
      <c r="D43" s="1806" t="s">
        <v>929</v>
      </c>
      <c r="E43" s="518"/>
      <c r="F43" s="541"/>
      <c r="G43" s="1793"/>
      <c r="H43" s="753" t="s">
        <v>22</v>
      </c>
      <c r="I43" s="727"/>
      <c r="J43" s="1560"/>
      <c r="K43" s="1668"/>
      <c r="L43" s="542"/>
    </row>
    <row r="44" spans="1:12" ht="22.5" customHeight="1">
      <c r="A44" s="1790">
        <v>35</v>
      </c>
      <c r="B44" s="1792"/>
      <c r="C44" s="539">
        <v>8</v>
      </c>
      <c r="D44" s="1763" t="s">
        <v>930</v>
      </c>
      <c r="E44" s="540">
        <f>F44+G44+K47+L45</f>
        <v>4500</v>
      </c>
      <c r="F44" s="541"/>
      <c r="G44" s="1793"/>
      <c r="H44" s="753"/>
      <c r="I44" s="727"/>
      <c r="J44" s="1560"/>
      <c r="K44" s="1668"/>
      <c r="L44" s="542"/>
    </row>
    <row r="45" spans="1:12" ht="19.5" customHeight="1">
      <c r="A45" s="1790">
        <v>36</v>
      </c>
      <c r="B45" s="1792"/>
      <c r="C45" s="539"/>
      <c r="D45" s="260" t="s">
        <v>938</v>
      </c>
      <c r="E45" s="518"/>
      <c r="F45" s="541"/>
      <c r="G45" s="1793"/>
      <c r="H45" s="753"/>
      <c r="I45" s="727"/>
      <c r="J45" s="1560">
        <v>4500</v>
      </c>
      <c r="K45" s="1668">
        <f>SUM(I45:J45)</f>
        <v>4500</v>
      </c>
      <c r="L45" s="542"/>
    </row>
    <row r="46" spans="1:12" ht="18" customHeight="1">
      <c r="A46" s="1790">
        <v>37</v>
      </c>
      <c r="B46" s="1792"/>
      <c r="C46" s="543"/>
      <c r="D46" s="1151" t="s">
        <v>725</v>
      </c>
      <c r="E46" s="518"/>
      <c r="F46" s="541"/>
      <c r="G46" s="1793"/>
      <c r="H46" s="753"/>
      <c r="I46" s="727"/>
      <c r="J46" s="1300"/>
      <c r="K46" s="1791">
        <f>SUM(I46:J46)</f>
        <v>0</v>
      </c>
      <c r="L46" s="542"/>
    </row>
    <row r="47" spans="1:12" ht="18" customHeight="1">
      <c r="A47" s="1790">
        <v>38</v>
      </c>
      <c r="B47" s="1792"/>
      <c r="C47" s="543"/>
      <c r="D47" s="260" t="s">
        <v>1091</v>
      </c>
      <c r="E47" s="518"/>
      <c r="F47" s="541"/>
      <c r="G47" s="1793"/>
      <c r="H47" s="753"/>
      <c r="I47" s="727"/>
      <c r="J47" s="1560">
        <f>SUM(J45:J46)</f>
        <v>4500</v>
      </c>
      <c r="K47" s="1668">
        <f>SUM(I47:J47)</f>
        <v>4500</v>
      </c>
      <c r="L47" s="542"/>
    </row>
    <row r="48" spans="1:12" ht="22.5" customHeight="1">
      <c r="A48" s="1790">
        <v>39</v>
      </c>
      <c r="B48" s="1792"/>
      <c r="C48" s="543"/>
      <c r="D48" s="1806" t="s">
        <v>377</v>
      </c>
      <c r="E48" s="518"/>
      <c r="F48" s="541"/>
      <c r="G48" s="1793"/>
      <c r="H48" s="753" t="s">
        <v>22</v>
      </c>
      <c r="I48" s="727"/>
      <c r="J48" s="1560"/>
      <c r="K48" s="1668"/>
      <c r="L48" s="542"/>
    </row>
    <row r="49" spans="1:12" ht="22.5" customHeight="1">
      <c r="A49" s="1790">
        <v>40</v>
      </c>
      <c r="B49" s="1792"/>
      <c r="C49" s="539">
        <v>9</v>
      </c>
      <c r="D49" s="1763" t="s">
        <v>931</v>
      </c>
      <c r="E49" s="540">
        <f>F49+G49+K52+L50</f>
        <v>5000</v>
      </c>
      <c r="F49" s="541"/>
      <c r="G49" s="1793"/>
      <c r="H49" s="753"/>
      <c r="I49" s="727"/>
      <c r="J49" s="1560"/>
      <c r="K49" s="1668"/>
      <c r="L49" s="542"/>
    </row>
    <row r="50" spans="1:12" ht="19.5" customHeight="1">
      <c r="A50" s="1790">
        <v>41</v>
      </c>
      <c r="B50" s="1792"/>
      <c r="C50" s="539"/>
      <c r="D50" s="260" t="s">
        <v>938</v>
      </c>
      <c r="E50" s="518"/>
      <c r="F50" s="541"/>
      <c r="G50" s="1793"/>
      <c r="H50" s="753"/>
      <c r="I50" s="727"/>
      <c r="J50" s="1560">
        <v>5000</v>
      </c>
      <c r="K50" s="1668">
        <f>SUM(I50:J50)</f>
        <v>5000</v>
      </c>
      <c r="L50" s="542"/>
    </row>
    <row r="51" spans="1:12" ht="18" customHeight="1">
      <c r="A51" s="1790">
        <v>42</v>
      </c>
      <c r="B51" s="1792"/>
      <c r="C51" s="543"/>
      <c r="D51" s="1151" t="s">
        <v>725</v>
      </c>
      <c r="E51" s="518"/>
      <c r="F51" s="541"/>
      <c r="G51" s="1793"/>
      <c r="H51" s="753"/>
      <c r="I51" s="727"/>
      <c r="J51" s="1300"/>
      <c r="K51" s="1791">
        <f>SUM(I51:J51)</f>
        <v>0</v>
      </c>
      <c r="L51" s="542"/>
    </row>
    <row r="52" spans="1:12" ht="18" customHeight="1">
      <c r="A52" s="1790">
        <v>43</v>
      </c>
      <c r="B52" s="1792"/>
      <c r="C52" s="543"/>
      <c r="D52" s="260" t="s">
        <v>1091</v>
      </c>
      <c r="E52" s="518"/>
      <c r="F52" s="541"/>
      <c r="G52" s="1793"/>
      <c r="H52" s="753"/>
      <c r="I52" s="727"/>
      <c r="J52" s="1560">
        <f>SUM(J50:J51)</f>
        <v>5000</v>
      </c>
      <c r="K52" s="1668">
        <f>SUM(I52:J52)</f>
        <v>5000</v>
      </c>
      <c r="L52" s="542"/>
    </row>
    <row r="53" spans="1:12" ht="22.5" customHeight="1">
      <c r="A53" s="1790">
        <v>44</v>
      </c>
      <c r="B53" s="1792"/>
      <c r="C53" s="543"/>
      <c r="D53" s="1806" t="s">
        <v>932</v>
      </c>
      <c r="E53" s="518"/>
      <c r="F53" s="541"/>
      <c r="G53" s="1793"/>
      <c r="H53" s="753" t="s">
        <v>22</v>
      </c>
      <c r="I53" s="727"/>
      <c r="J53" s="1560"/>
      <c r="K53" s="1668"/>
      <c r="L53" s="542"/>
    </row>
    <row r="54" spans="1:12" ht="22.5" customHeight="1">
      <c r="A54" s="1790">
        <v>45</v>
      </c>
      <c r="B54" s="1792"/>
      <c r="C54" s="539">
        <v>10</v>
      </c>
      <c r="D54" s="1763" t="s">
        <v>1057</v>
      </c>
      <c r="E54" s="540">
        <f>F54+G54+K57+L55</f>
        <v>2500</v>
      </c>
      <c r="F54" s="541"/>
      <c r="G54" s="1793"/>
      <c r="H54" s="753"/>
      <c r="I54" s="727"/>
      <c r="J54" s="1560"/>
      <c r="K54" s="1668"/>
      <c r="L54" s="542"/>
    </row>
    <row r="55" spans="1:12" ht="19.5" customHeight="1">
      <c r="A55" s="1790">
        <v>46</v>
      </c>
      <c r="B55" s="1792"/>
      <c r="C55" s="539"/>
      <c r="D55" s="260" t="s">
        <v>938</v>
      </c>
      <c r="E55" s="518"/>
      <c r="F55" s="541"/>
      <c r="G55" s="1793"/>
      <c r="H55" s="753"/>
      <c r="I55" s="727"/>
      <c r="J55" s="1560">
        <v>600</v>
      </c>
      <c r="K55" s="1668">
        <f>SUM(I55:J55)</f>
        <v>600</v>
      </c>
      <c r="L55" s="542"/>
    </row>
    <row r="56" spans="1:12" ht="18" customHeight="1">
      <c r="A56" s="1790">
        <v>47</v>
      </c>
      <c r="B56" s="1792"/>
      <c r="C56" s="543"/>
      <c r="D56" s="1151" t="s">
        <v>689</v>
      </c>
      <c r="E56" s="518"/>
      <c r="F56" s="541"/>
      <c r="G56" s="1793"/>
      <c r="H56" s="753"/>
      <c r="I56" s="727"/>
      <c r="J56" s="1300">
        <v>1900</v>
      </c>
      <c r="K56" s="1791">
        <f>SUM(I56:J56)</f>
        <v>1900</v>
      </c>
      <c r="L56" s="542"/>
    </row>
    <row r="57" spans="1:12" ht="18" customHeight="1">
      <c r="A57" s="1790">
        <v>48</v>
      </c>
      <c r="B57" s="1792"/>
      <c r="C57" s="543"/>
      <c r="D57" s="260" t="s">
        <v>1091</v>
      </c>
      <c r="E57" s="518"/>
      <c r="F57" s="541"/>
      <c r="G57" s="1793"/>
      <c r="H57" s="753"/>
      <c r="I57" s="727"/>
      <c r="J57" s="1560">
        <f>SUM(J55:J56)</f>
        <v>2500</v>
      </c>
      <c r="K57" s="1668">
        <f>SUM(I57:J57)</f>
        <v>2500</v>
      </c>
      <c r="L57" s="542"/>
    </row>
    <row r="58" spans="1:12" ht="22.5" customHeight="1">
      <c r="A58" s="1790">
        <v>49</v>
      </c>
      <c r="B58" s="1792"/>
      <c r="C58" s="543"/>
      <c r="D58" s="1806" t="s">
        <v>296</v>
      </c>
      <c r="E58" s="1809"/>
      <c r="F58" s="541"/>
      <c r="G58" s="1793"/>
      <c r="H58" s="753"/>
      <c r="I58" s="727"/>
      <c r="J58" s="1560"/>
      <c r="K58" s="1668"/>
      <c r="L58" s="542"/>
    </row>
    <row r="59" spans="1:12" ht="22.5" customHeight="1">
      <c r="A59" s="1790">
        <v>50</v>
      </c>
      <c r="B59" s="1792"/>
      <c r="C59" s="539">
        <v>11</v>
      </c>
      <c r="D59" s="1763" t="s">
        <v>923</v>
      </c>
      <c r="E59" s="540">
        <f>F59+G59+K62+L60</f>
        <v>15000</v>
      </c>
      <c r="F59" s="541"/>
      <c r="G59" s="1793"/>
      <c r="H59" s="753" t="s">
        <v>22</v>
      </c>
      <c r="I59" s="727"/>
      <c r="J59" s="549"/>
      <c r="K59" s="550"/>
      <c r="L59" s="542"/>
    </row>
    <row r="60" spans="1:12" ht="19.5" customHeight="1">
      <c r="A60" s="1790">
        <v>51</v>
      </c>
      <c r="B60" s="1792"/>
      <c r="C60" s="539"/>
      <c r="D60" s="260" t="s">
        <v>938</v>
      </c>
      <c r="E60" s="540"/>
      <c r="F60" s="541"/>
      <c r="G60" s="1793"/>
      <c r="H60" s="753"/>
      <c r="I60" s="727"/>
      <c r="J60" s="1560">
        <v>20000</v>
      </c>
      <c r="K60" s="1668">
        <f>SUM(I60:J60)</f>
        <v>20000</v>
      </c>
      <c r="L60" s="542"/>
    </row>
    <row r="61" spans="1:12" ht="18" customHeight="1">
      <c r="A61" s="1790">
        <v>52</v>
      </c>
      <c r="B61" s="1792"/>
      <c r="C61" s="543"/>
      <c r="D61" s="1151" t="s">
        <v>689</v>
      </c>
      <c r="E61" s="540"/>
      <c r="F61" s="541"/>
      <c r="G61" s="1793"/>
      <c r="H61" s="753"/>
      <c r="I61" s="727"/>
      <c r="J61" s="1300">
        <v>-5000</v>
      </c>
      <c r="K61" s="1791">
        <f>SUM(I61:J61)</f>
        <v>-5000</v>
      </c>
      <c r="L61" s="542"/>
    </row>
    <row r="62" spans="1:12" ht="18" customHeight="1" thickBot="1">
      <c r="A62" s="1790">
        <v>53</v>
      </c>
      <c r="B62" s="1792"/>
      <c r="C62" s="543"/>
      <c r="D62" s="260" t="s">
        <v>1091</v>
      </c>
      <c r="E62" s="540"/>
      <c r="F62" s="541"/>
      <c r="G62" s="1793"/>
      <c r="H62" s="753"/>
      <c r="I62" s="727"/>
      <c r="J62" s="1560">
        <f>SUM(J60:J61)</f>
        <v>15000</v>
      </c>
      <c r="K62" s="1668">
        <f>SUM(I62:J62)</f>
        <v>15000</v>
      </c>
      <c r="L62" s="542"/>
    </row>
    <row r="63" spans="1:12" ht="19.5" customHeight="1">
      <c r="A63" s="1790">
        <v>54</v>
      </c>
      <c r="B63" s="2283" t="s">
        <v>13</v>
      </c>
      <c r="C63" s="2284"/>
      <c r="D63" s="2284"/>
      <c r="E63" s="2284"/>
      <c r="F63" s="2284"/>
      <c r="G63" s="2285"/>
      <c r="H63" s="1810"/>
      <c r="I63" s="1811"/>
      <c r="J63" s="1811"/>
      <c r="K63" s="1812"/>
      <c r="L63" s="1813"/>
    </row>
    <row r="64" spans="1:12" ht="19.5" customHeight="1">
      <c r="A64" s="1790">
        <v>55</v>
      </c>
      <c r="B64" s="1814"/>
      <c r="C64" s="1815"/>
      <c r="D64" s="2286" t="s">
        <v>283</v>
      </c>
      <c r="E64" s="2286"/>
      <c r="F64" s="2286"/>
      <c r="G64" s="2287"/>
      <c r="H64" s="1816"/>
      <c r="I64" s="1817">
        <f>I17+I12</f>
        <v>0</v>
      </c>
      <c r="J64" s="1817">
        <f>J17+J12</f>
        <v>21253</v>
      </c>
      <c r="K64" s="1818">
        <f>SUM(I64:J64)</f>
        <v>21253</v>
      </c>
      <c r="L64" s="1819"/>
    </row>
    <row r="65" spans="1:12" ht="19.5" customHeight="1">
      <c r="A65" s="1790">
        <v>56</v>
      </c>
      <c r="B65" s="1814"/>
      <c r="C65" s="1815"/>
      <c r="D65" s="260" t="s">
        <v>938</v>
      </c>
      <c r="E65" s="1974"/>
      <c r="F65" s="1974"/>
      <c r="G65" s="1975"/>
      <c r="H65" s="1816"/>
      <c r="I65" s="1560">
        <f>I18+I13+I22+I26+I30+I35+I40+I45+I50+I55+I60</f>
        <v>0</v>
      </c>
      <c r="J65" s="1560">
        <f>J18+J13+J22+J26+J30+J35+J40+J45+J50+J55+J60</f>
        <v>62893</v>
      </c>
      <c r="K65" s="1668">
        <f>SUM(I65:J65)</f>
        <v>62893</v>
      </c>
      <c r="L65" s="1819"/>
    </row>
    <row r="66" spans="1:12" ht="19.5" customHeight="1">
      <c r="A66" s="1790">
        <v>57</v>
      </c>
      <c r="B66" s="1814"/>
      <c r="C66" s="1815"/>
      <c r="D66" s="2275" t="s">
        <v>674</v>
      </c>
      <c r="E66" s="2276"/>
      <c r="F66" s="2276"/>
      <c r="G66" s="2277"/>
      <c r="H66" s="1816"/>
      <c r="I66" s="1300">
        <f>I27+I19+I14+I23+I61+I56+I51+I46+I41+I36+I31</f>
        <v>0</v>
      </c>
      <c r="J66" s="1300">
        <f>J27+J19+J14+J23+J61+J56+J51+J46+J41+J36+J31</f>
        <v>-3100</v>
      </c>
      <c r="K66" s="1791">
        <f>SUM(I66:J66)</f>
        <v>-3100</v>
      </c>
      <c r="L66" s="1819"/>
    </row>
    <row r="67" spans="1:12" ht="19.5" customHeight="1" thickBot="1">
      <c r="A67" s="1790">
        <v>58</v>
      </c>
      <c r="B67" s="1820"/>
      <c r="C67" s="1821"/>
      <c r="D67" s="2278" t="s">
        <v>1091</v>
      </c>
      <c r="E67" s="2279"/>
      <c r="F67" s="2279"/>
      <c r="G67" s="2280"/>
      <c r="H67" s="1822"/>
      <c r="I67" s="1823">
        <f>SUM(I65:I66)</f>
        <v>0</v>
      </c>
      <c r="J67" s="1823">
        <f>SUM(J65:J66)</f>
        <v>59793</v>
      </c>
      <c r="K67" s="1824">
        <f>SUM(I67:J67)</f>
        <v>59793</v>
      </c>
      <c r="L67" s="1825"/>
    </row>
    <row r="68" spans="2:11" ht="18" customHeight="1">
      <c r="B68" s="1826" t="s">
        <v>26</v>
      </c>
      <c r="C68" s="1826"/>
      <c r="D68" s="1826"/>
      <c r="E68" s="1827"/>
      <c r="F68" s="1828"/>
      <c r="G68" s="1827"/>
      <c r="H68" s="1829"/>
      <c r="I68" s="1827"/>
      <c r="J68" s="1827"/>
      <c r="K68" s="1827"/>
    </row>
    <row r="69" spans="2:11" ht="18" customHeight="1">
      <c r="B69" s="1826" t="s">
        <v>27</v>
      </c>
      <c r="C69" s="1826"/>
      <c r="D69" s="1826"/>
      <c r="E69" s="1831"/>
      <c r="F69" s="1828"/>
      <c r="G69" s="1827"/>
      <c r="H69" s="1829"/>
      <c r="I69" s="1827"/>
      <c r="J69" s="1827"/>
      <c r="K69" s="1827"/>
    </row>
    <row r="70" spans="2:11" ht="18" customHeight="1">
      <c r="B70" s="1826" t="s">
        <v>28</v>
      </c>
      <c r="C70" s="1826"/>
      <c r="D70" s="1826"/>
      <c r="E70" s="1831"/>
      <c r="F70" s="1828"/>
      <c r="G70" s="1827"/>
      <c r="H70" s="1829"/>
      <c r="I70" s="1827"/>
      <c r="J70" s="1827"/>
      <c r="K70" s="1827"/>
    </row>
    <row r="71" spans="1:252" s="1785" customFormat="1" ht="15">
      <c r="A71" s="1777"/>
      <c r="B71" s="1782"/>
      <c r="C71" s="1783"/>
      <c r="D71" s="1784"/>
      <c r="H71" s="1786"/>
      <c r="L71" s="1830"/>
      <c r="M71" s="1778"/>
      <c r="N71" s="1778"/>
      <c r="O71" s="1778"/>
      <c r="P71" s="1778"/>
      <c r="Q71" s="1778"/>
      <c r="R71" s="1778"/>
      <c r="S71" s="1778"/>
      <c r="T71" s="1778"/>
      <c r="U71" s="1778"/>
      <c r="V71" s="1778"/>
      <c r="W71" s="1778"/>
      <c r="X71" s="1778"/>
      <c r="Y71" s="1778"/>
      <c r="Z71" s="1778"/>
      <c r="AA71" s="1778"/>
      <c r="AB71" s="1778"/>
      <c r="AC71" s="1778"/>
      <c r="AD71" s="1778"/>
      <c r="AE71" s="1778"/>
      <c r="AF71" s="1778"/>
      <c r="AG71" s="1778"/>
      <c r="AH71" s="1778"/>
      <c r="AI71" s="1778"/>
      <c r="AJ71" s="1778"/>
      <c r="AK71" s="1778"/>
      <c r="AL71" s="1778"/>
      <c r="AM71" s="1778"/>
      <c r="AN71" s="1778"/>
      <c r="AO71" s="1778"/>
      <c r="AP71" s="1778"/>
      <c r="AQ71" s="1778"/>
      <c r="AR71" s="1778"/>
      <c r="AS71" s="1778"/>
      <c r="AT71" s="1778"/>
      <c r="AU71" s="1778"/>
      <c r="AV71" s="1778"/>
      <c r="AW71" s="1778"/>
      <c r="AX71" s="1778"/>
      <c r="AY71" s="1778"/>
      <c r="AZ71" s="1778"/>
      <c r="BA71" s="1778"/>
      <c r="BB71" s="1778"/>
      <c r="BC71" s="1778"/>
      <c r="BD71" s="1778"/>
      <c r="BE71" s="1778"/>
      <c r="BF71" s="1778"/>
      <c r="BG71" s="1778"/>
      <c r="BH71" s="1778"/>
      <c r="BI71" s="1778"/>
      <c r="BJ71" s="1778"/>
      <c r="BK71" s="1778"/>
      <c r="BL71" s="1778"/>
      <c r="BM71" s="1778"/>
      <c r="BN71" s="1778"/>
      <c r="BO71" s="1778"/>
      <c r="BP71" s="1778"/>
      <c r="BQ71" s="1778"/>
      <c r="BR71" s="1778"/>
      <c r="BS71" s="1778"/>
      <c r="BT71" s="1778"/>
      <c r="BU71" s="1778"/>
      <c r="BV71" s="1778"/>
      <c r="BW71" s="1778"/>
      <c r="BX71" s="1778"/>
      <c r="BY71" s="1778"/>
      <c r="BZ71" s="1778"/>
      <c r="CA71" s="1778"/>
      <c r="CB71" s="1778"/>
      <c r="CC71" s="1778"/>
      <c r="CD71" s="1778"/>
      <c r="CE71" s="1778"/>
      <c r="CF71" s="1778"/>
      <c r="CG71" s="1778"/>
      <c r="CH71" s="1778"/>
      <c r="CI71" s="1778"/>
      <c r="CJ71" s="1778"/>
      <c r="CK71" s="1778"/>
      <c r="CL71" s="1778"/>
      <c r="CM71" s="1778"/>
      <c r="CN71" s="1778"/>
      <c r="CO71" s="1778"/>
      <c r="CP71" s="1778"/>
      <c r="CQ71" s="1778"/>
      <c r="CR71" s="1778"/>
      <c r="CS71" s="1778"/>
      <c r="CT71" s="1778"/>
      <c r="CU71" s="1778"/>
      <c r="CV71" s="1778"/>
      <c r="CW71" s="1778"/>
      <c r="CX71" s="1778"/>
      <c r="CY71" s="1778"/>
      <c r="CZ71" s="1778"/>
      <c r="DA71" s="1778"/>
      <c r="DB71" s="1778"/>
      <c r="DC71" s="1778"/>
      <c r="DD71" s="1778"/>
      <c r="DE71" s="1778"/>
      <c r="DF71" s="1778"/>
      <c r="DG71" s="1778"/>
      <c r="DH71" s="1778"/>
      <c r="DI71" s="1778"/>
      <c r="DJ71" s="1778"/>
      <c r="DK71" s="1778"/>
      <c r="DL71" s="1778"/>
      <c r="DM71" s="1778"/>
      <c r="DN71" s="1778"/>
      <c r="DO71" s="1778"/>
      <c r="DP71" s="1778"/>
      <c r="DQ71" s="1778"/>
      <c r="DR71" s="1778"/>
      <c r="DS71" s="1778"/>
      <c r="DT71" s="1778"/>
      <c r="DU71" s="1778"/>
      <c r="DV71" s="1778"/>
      <c r="DW71" s="1778"/>
      <c r="DX71" s="1778"/>
      <c r="DY71" s="1778"/>
      <c r="DZ71" s="1778"/>
      <c r="EA71" s="1778"/>
      <c r="EB71" s="1778"/>
      <c r="EC71" s="1778"/>
      <c r="ED71" s="1778"/>
      <c r="EE71" s="1778"/>
      <c r="EF71" s="1778"/>
      <c r="EG71" s="1778"/>
      <c r="EH71" s="1778"/>
      <c r="EI71" s="1778"/>
      <c r="EJ71" s="1778"/>
      <c r="EK71" s="1778"/>
      <c r="EL71" s="1778"/>
      <c r="EM71" s="1778"/>
      <c r="EN71" s="1778"/>
      <c r="EO71" s="1778"/>
      <c r="EP71" s="1778"/>
      <c r="EQ71" s="1778"/>
      <c r="ER71" s="1778"/>
      <c r="ES71" s="1778"/>
      <c r="ET71" s="1778"/>
      <c r="EU71" s="1778"/>
      <c r="EV71" s="1778"/>
      <c r="EW71" s="1778"/>
      <c r="EX71" s="1778"/>
      <c r="EY71" s="1778"/>
      <c r="EZ71" s="1778"/>
      <c r="FA71" s="1778"/>
      <c r="FB71" s="1778"/>
      <c r="FC71" s="1778"/>
      <c r="FD71" s="1778"/>
      <c r="FE71" s="1778"/>
      <c r="FF71" s="1778"/>
      <c r="FG71" s="1778"/>
      <c r="FH71" s="1778"/>
      <c r="FI71" s="1778"/>
      <c r="FJ71" s="1778"/>
      <c r="FK71" s="1778"/>
      <c r="FL71" s="1778"/>
      <c r="FM71" s="1778"/>
      <c r="FN71" s="1778"/>
      <c r="FO71" s="1778"/>
      <c r="FP71" s="1778"/>
      <c r="FQ71" s="1778"/>
      <c r="FR71" s="1778"/>
      <c r="FS71" s="1778"/>
      <c r="FT71" s="1778"/>
      <c r="FU71" s="1778"/>
      <c r="FV71" s="1778"/>
      <c r="FW71" s="1778"/>
      <c r="FX71" s="1778"/>
      <c r="FY71" s="1778"/>
      <c r="FZ71" s="1778"/>
      <c r="GA71" s="1778"/>
      <c r="GB71" s="1778"/>
      <c r="GC71" s="1778"/>
      <c r="GD71" s="1778"/>
      <c r="GE71" s="1778"/>
      <c r="GF71" s="1778"/>
      <c r="GG71" s="1778"/>
      <c r="GH71" s="1778"/>
      <c r="GI71" s="1778"/>
      <c r="GJ71" s="1778"/>
      <c r="GK71" s="1778"/>
      <c r="GL71" s="1778"/>
      <c r="GM71" s="1778"/>
      <c r="GN71" s="1778"/>
      <c r="GO71" s="1778"/>
      <c r="GP71" s="1778"/>
      <c r="GQ71" s="1778"/>
      <c r="GR71" s="1778"/>
      <c r="GS71" s="1778"/>
      <c r="GT71" s="1778"/>
      <c r="GU71" s="1778"/>
      <c r="GV71" s="1778"/>
      <c r="GW71" s="1778"/>
      <c r="GX71" s="1778"/>
      <c r="GY71" s="1778"/>
      <c r="GZ71" s="1778"/>
      <c r="HA71" s="1778"/>
      <c r="HB71" s="1778"/>
      <c r="HC71" s="1778"/>
      <c r="HD71" s="1778"/>
      <c r="HE71" s="1778"/>
      <c r="HF71" s="1778"/>
      <c r="HG71" s="1778"/>
      <c r="HH71" s="1778"/>
      <c r="HI71" s="1778"/>
      <c r="HJ71" s="1778"/>
      <c r="HK71" s="1778"/>
      <c r="HL71" s="1778"/>
      <c r="HM71" s="1778"/>
      <c r="HN71" s="1778"/>
      <c r="HO71" s="1778"/>
      <c r="HP71" s="1778"/>
      <c r="HQ71" s="1778"/>
      <c r="HR71" s="1778"/>
      <c r="HS71" s="1778"/>
      <c r="HT71" s="1778"/>
      <c r="HU71" s="1778"/>
      <c r="HV71" s="1778"/>
      <c r="HW71" s="1778"/>
      <c r="HX71" s="1778"/>
      <c r="HY71" s="1778"/>
      <c r="HZ71" s="1778"/>
      <c r="IA71" s="1778"/>
      <c r="IB71" s="1778"/>
      <c r="IC71" s="1778"/>
      <c r="ID71" s="1778"/>
      <c r="IE71" s="1778"/>
      <c r="IF71" s="1778"/>
      <c r="IG71" s="1778"/>
      <c r="IH71" s="1778"/>
      <c r="II71" s="1778"/>
      <c r="IJ71" s="1778"/>
      <c r="IK71" s="1778"/>
      <c r="IL71" s="1778"/>
      <c r="IM71" s="1778"/>
      <c r="IN71" s="1778"/>
      <c r="IO71" s="1778"/>
      <c r="IP71" s="1778"/>
      <c r="IQ71" s="1778"/>
      <c r="IR71" s="1778"/>
    </row>
  </sheetData>
  <sheetProtection/>
  <mergeCells count="19">
    <mergeCell ref="L7:L9"/>
    <mergeCell ref="K8:K9"/>
    <mergeCell ref="B63:G63"/>
    <mergeCell ref="D64:G64"/>
    <mergeCell ref="G7:G9"/>
    <mergeCell ref="D66:G66"/>
    <mergeCell ref="D67:G67"/>
    <mergeCell ref="H7:H9"/>
    <mergeCell ref="I7:K7"/>
    <mergeCell ref="B7:B9"/>
    <mergeCell ref="C7:C9"/>
    <mergeCell ref="D7:D9"/>
    <mergeCell ref="E7:E9"/>
    <mergeCell ref="F7:F9"/>
    <mergeCell ref="B1:M1"/>
    <mergeCell ref="I2:M2"/>
    <mergeCell ref="B2:D2"/>
    <mergeCell ref="B3:L3"/>
    <mergeCell ref="B4:L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8" r:id="rId1"/>
  <headerFooter>
    <oddFooter>&amp;C- &amp;P -</oddFooter>
  </headerFooter>
</worksheet>
</file>

<file path=xl/worksheets/sheet12.xml><?xml version="1.0" encoding="utf-8"?>
<worksheet xmlns="http://schemas.openxmlformats.org/spreadsheetml/2006/main" xmlns:r="http://schemas.openxmlformats.org/officeDocument/2006/relationships">
  <dimension ref="A1:IV148"/>
  <sheetViews>
    <sheetView view="pageBreakPreview" zoomScaleSheetLayoutView="100" zoomScalePageLayoutView="0" workbookViewId="0" topLeftCell="B1">
      <selection activeCell="B1" sqref="B1:M1"/>
    </sheetView>
  </sheetViews>
  <sheetFormatPr defaultColWidth="9.125" defaultRowHeight="12.75"/>
  <cols>
    <col min="1" max="1" width="4.75390625" style="552" customWidth="1"/>
    <col min="2" max="3" width="5.75390625" style="681" customWidth="1"/>
    <col min="4" max="4" width="62.75390625" style="326" customWidth="1"/>
    <col min="5" max="5" width="12.75390625" style="680" customWidth="1"/>
    <col min="6" max="7" width="10.75390625" style="680" customWidth="1"/>
    <col min="8" max="8" width="6.75390625" style="555" customWidth="1"/>
    <col min="9" max="14" width="14.875" style="680" customWidth="1"/>
    <col min="15" max="15" width="15.75390625" style="575" customWidth="1"/>
    <col min="16" max="16" width="13.875" style="680" customWidth="1"/>
    <col min="17" max="16384" width="9.125" style="326" customWidth="1"/>
  </cols>
  <sheetData>
    <row r="1" spans="2:16" ht="17.25">
      <c r="B1" s="2039" t="s">
        <v>1106</v>
      </c>
      <c r="C1" s="2039"/>
      <c r="D1" s="2039"/>
      <c r="E1" s="2039"/>
      <c r="F1" s="2039"/>
      <c r="G1" s="2039"/>
      <c r="H1" s="2039"/>
      <c r="I1" s="2039"/>
      <c r="J1" s="2039"/>
      <c r="K1" s="2039"/>
      <c r="L1" s="2039"/>
      <c r="M1" s="2039"/>
      <c r="N1" s="1472"/>
      <c r="P1" s="1472"/>
    </row>
    <row r="2" spans="2:250" ht="18" customHeight="1">
      <c r="B2" s="1473" t="s">
        <v>734</v>
      </c>
      <c r="C2" s="1473"/>
      <c r="D2" s="1473"/>
      <c r="E2" s="470"/>
      <c r="F2" s="470"/>
      <c r="G2" s="470"/>
      <c r="H2" s="553"/>
      <c r="I2" s="2270"/>
      <c r="J2" s="2270"/>
      <c r="K2" s="2270"/>
      <c r="L2" s="2270"/>
      <c r="M2" s="2270"/>
      <c r="N2" s="2270"/>
      <c r="O2" s="2270"/>
      <c r="P2" s="2270"/>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c r="BW2" s="554"/>
      <c r="BX2" s="554"/>
      <c r="BY2" s="554"/>
      <c r="BZ2" s="554"/>
      <c r="CA2" s="554"/>
      <c r="CB2" s="554"/>
      <c r="CC2" s="554"/>
      <c r="CD2" s="554"/>
      <c r="CE2" s="554"/>
      <c r="CF2" s="554"/>
      <c r="CG2" s="554"/>
      <c r="CH2" s="554"/>
      <c r="CI2" s="554"/>
      <c r="CJ2" s="554"/>
      <c r="CK2" s="554"/>
      <c r="CL2" s="554"/>
      <c r="CM2" s="554"/>
      <c r="CN2" s="554"/>
      <c r="CO2" s="554"/>
      <c r="CP2" s="554"/>
      <c r="CQ2" s="554"/>
      <c r="CR2" s="554"/>
      <c r="CS2" s="554"/>
      <c r="CT2" s="554"/>
      <c r="CU2" s="554"/>
      <c r="CV2" s="554"/>
      <c r="CW2" s="554"/>
      <c r="CX2" s="554"/>
      <c r="CY2" s="554"/>
      <c r="CZ2" s="554"/>
      <c r="DA2" s="554"/>
      <c r="DB2" s="554"/>
      <c r="DC2" s="554"/>
      <c r="DD2" s="554"/>
      <c r="DE2" s="554"/>
      <c r="DF2" s="554"/>
      <c r="DG2" s="554"/>
      <c r="DH2" s="554"/>
      <c r="DI2" s="554"/>
      <c r="DJ2" s="554"/>
      <c r="DK2" s="554"/>
      <c r="DL2" s="554"/>
      <c r="DM2" s="554"/>
      <c r="DN2" s="554"/>
      <c r="DO2" s="554"/>
      <c r="DP2" s="554"/>
      <c r="DQ2" s="554"/>
      <c r="DR2" s="554"/>
      <c r="DS2" s="554"/>
      <c r="DT2" s="554"/>
      <c r="DU2" s="554"/>
      <c r="DV2" s="554"/>
      <c r="DW2" s="554"/>
      <c r="DX2" s="554"/>
      <c r="DY2" s="554"/>
      <c r="DZ2" s="554"/>
      <c r="EA2" s="554"/>
      <c r="EB2" s="554"/>
      <c r="EC2" s="554"/>
      <c r="ED2" s="554"/>
      <c r="EE2" s="554"/>
      <c r="EF2" s="554"/>
      <c r="EG2" s="554"/>
      <c r="EH2" s="554"/>
      <c r="EI2" s="554"/>
      <c r="EJ2" s="554"/>
      <c r="EK2" s="554"/>
      <c r="EL2" s="554"/>
      <c r="EM2" s="554"/>
      <c r="EN2" s="554"/>
      <c r="EO2" s="554"/>
      <c r="EP2" s="554"/>
      <c r="EQ2" s="554"/>
      <c r="ER2" s="554"/>
      <c r="ES2" s="554"/>
      <c r="ET2" s="554"/>
      <c r="EU2" s="554"/>
      <c r="EV2" s="554"/>
      <c r="EW2" s="554"/>
      <c r="EX2" s="554"/>
      <c r="EY2" s="554"/>
      <c r="EZ2" s="554"/>
      <c r="FA2" s="554"/>
      <c r="FB2" s="554"/>
      <c r="FC2" s="554"/>
      <c r="FD2" s="554"/>
      <c r="FE2" s="554"/>
      <c r="FF2" s="554"/>
      <c r="FG2" s="554"/>
      <c r="FH2" s="554"/>
      <c r="FI2" s="554"/>
      <c r="FJ2" s="554"/>
      <c r="FK2" s="554"/>
      <c r="FL2" s="554"/>
      <c r="FM2" s="554"/>
      <c r="FN2" s="554"/>
      <c r="FO2" s="554"/>
      <c r="FP2" s="554"/>
      <c r="FQ2" s="554"/>
      <c r="FR2" s="554"/>
      <c r="FS2" s="554"/>
      <c r="FT2" s="554"/>
      <c r="FU2" s="554"/>
      <c r="FV2" s="554"/>
      <c r="FW2" s="554"/>
      <c r="FX2" s="554"/>
      <c r="FY2" s="554"/>
      <c r="FZ2" s="554"/>
      <c r="GA2" s="554"/>
      <c r="GB2" s="554"/>
      <c r="GC2" s="554"/>
      <c r="GD2" s="554"/>
      <c r="GE2" s="554"/>
      <c r="GF2" s="554"/>
      <c r="GG2" s="554"/>
      <c r="GH2" s="554"/>
      <c r="GI2" s="554"/>
      <c r="GJ2" s="554"/>
      <c r="GK2" s="554"/>
      <c r="GL2" s="554"/>
      <c r="GM2" s="554"/>
      <c r="GN2" s="554"/>
      <c r="GO2" s="554"/>
      <c r="GP2" s="554"/>
      <c r="GQ2" s="554"/>
      <c r="GR2" s="554"/>
      <c r="GS2" s="554"/>
      <c r="GT2" s="554"/>
      <c r="GU2" s="554"/>
      <c r="GV2" s="554"/>
      <c r="GW2" s="554"/>
      <c r="GX2" s="554"/>
      <c r="GY2" s="554"/>
      <c r="GZ2" s="554"/>
      <c r="HA2" s="554"/>
      <c r="HB2" s="554"/>
      <c r="HC2" s="554"/>
      <c r="HD2" s="554"/>
      <c r="HE2" s="554"/>
      <c r="HF2" s="554"/>
      <c r="HG2" s="554"/>
      <c r="HH2" s="554"/>
      <c r="HI2" s="554"/>
      <c r="HJ2" s="554"/>
      <c r="HK2" s="554"/>
      <c r="HL2" s="554"/>
      <c r="HM2" s="554"/>
      <c r="HN2" s="554"/>
      <c r="HO2" s="554"/>
      <c r="HP2" s="554"/>
      <c r="HQ2" s="554"/>
      <c r="HR2" s="554"/>
      <c r="HS2" s="554"/>
      <c r="HT2" s="554"/>
      <c r="HU2" s="554"/>
      <c r="HV2" s="554"/>
      <c r="HW2" s="554"/>
      <c r="HX2" s="554"/>
      <c r="HY2" s="554"/>
      <c r="HZ2" s="554"/>
      <c r="IA2" s="554"/>
      <c r="IB2" s="554"/>
      <c r="IC2" s="554"/>
      <c r="ID2" s="554"/>
      <c r="IE2" s="554"/>
      <c r="IF2" s="554"/>
      <c r="IG2" s="554"/>
      <c r="IH2" s="554"/>
      <c r="II2" s="554"/>
      <c r="IJ2" s="554"/>
      <c r="IK2" s="554"/>
      <c r="IL2" s="554"/>
      <c r="IM2" s="554"/>
      <c r="IN2" s="554"/>
      <c r="IO2" s="554"/>
      <c r="IP2" s="554"/>
    </row>
    <row r="3" spans="1:16" ht="24.75" customHeight="1">
      <c r="A3" s="2241" t="s">
        <v>14</v>
      </c>
      <c r="B3" s="2241"/>
      <c r="C3" s="2241"/>
      <c r="D3" s="2241"/>
      <c r="E3" s="2241"/>
      <c r="F3" s="2241"/>
      <c r="G3" s="2241"/>
      <c r="H3" s="2241"/>
      <c r="I3" s="2241"/>
      <c r="J3" s="2241"/>
      <c r="K3" s="2241"/>
      <c r="L3" s="2241"/>
      <c r="M3" s="2241"/>
      <c r="N3" s="2241"/>
      <c r="O3" s="2241"/>
      <c r="P3" s="2241"/>
    </row>
    <row r="4" spans="1:16" ht="24.75" customHeight="1">
      <c r="A4" s="2310" t="s">
        <v>588</v>
      </c>
      <c r="B4" s="2310"/>
      <c r="C4" s="2310"/>
      <c r="D4" s="2310"/>
      <c r="E4" s="2310"/>
      <c r="F4" s="2310"/>
      <c r="G4" s="2310"/>
      <c r="H4" s="2310"/>
      <c r="I4" s="2310"/>
      <c r="J4" s="2310"/>
      <c r="K4" s="2310"/>
      <c r="L4" s="2310"/>
      <c r="M4" s="2310"/>
      <c r="N4" s="2310"/>
      <c r="O4" s="2310"/>
      <c r="P4" s="2310"/>
    </row>
    <row r="5" spans="1:16" s="745" customFormat="1" ht="18" customHeight="1">
      <c r="A5" s="552"/>
      <c r="B5" s="552"/>
      <c r="C5" s="552"/>
      <c r="E5" s="511"/>
      <c r="F5" s="511"/>
      <c r="G5" s="511"/>
      <c r="H5" s="746"/>
      <c r="I5" s="511"/>
      <c r="J5" s="511"/>
      <c r="K5" s="511"/>
      <c r="L5" s="511"/>
      <c r="M5" s="511"/>
      <c r="N5" s="511"/>
      <c r="O5" s="747"/>
      <c r="P5" s="517" t="s">
        <v>0</v>
      </c>
    </row>
    <row r="6" spans="1:250" s="751" customFormat="1" ht="18" customHeight="1" thickBot="1">
      <c r="A6" s="748"/>
      <c r="B6" s="749" t="s">
        <v>1</v>
      </c>
      <c r="C6" s="750" t="s">
        <v>3</v>
      </c>
      <c r="D6" s="750" t="s">
        <v>2</v>
      </c>
      <c r="E6" s="750" t="s">
        <v>4</v>
      </c>
      <c r="F6" s="750" t="s">
        <v>5</v>
      </c>
      <c r="G6" s="750" t="s">
        <v>15</v>
      </c>
      <c r="H6" s="750" t="s">
        <v>16</v>
      </c>
      <c r="I6" s="750" t="s">
        <v>17</v>
      </c>
      <c r="J6" s="750" t="s">
        <v>33</v>
      </c>
      <c r="K6" s="750" t="s">
        <v>29</v>
      </c>
      <c r="L6" s="750" t="s">
        <v>22</v>
      </c>
      <c r="M6" s="750" t="s">
        <v>34</v>
      </c>
      <c r="N6" s="750" t="s">
        <v>35</v>
      </c>
      <c r="O6" s="750" t="s">
        <v>145</v>
      </c>
      <c r="P6" s="750" t="s">
        <v>146</v>
      </c>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8"/>
      <c r="BJ6" s="748"/>
      <c r="BK6" s="748"/>
      <c r="BL6" s="748"/>
      <c r="BM6" s="748"/>
      <c r="BN6" s="748"/>
      <c r="BO6" s="748"/>
      <c r="BP6" s="748"/>
      <c r="BQ6" s="748"/>
      <c r="BR6" s="748"/>
      <c r="BS6" s="748"/>
      <c r="BT6" s="748"/>
      <c r="BU6" s="748"/>
      <c r="BV6" s="748"/>
      <c r="BW6" s="748"/>
      <c r="BX6" s="748"/>
      <c r="BY6" s="748"/>
      <c r="BZ6" s="748"/>
      <c r="CA6" s="748"/>
      <c r="CB6" s="748"/>
      <c r="CC6" s="748"/>
      <c r="CD6" s="748"/>
      <c r="CE6" s="748"/>
      <c r="CF6" s="748"/>
      <c r="CG6" s="748"/>
      <c r="CH6" s="748"/>
      <c r="CI6" s="748"/>
      <c r="CJ6" s="748"/>
      <c r="CK6" s="748"/>
      <c r="CL6" s="748"/>
      <c r="CM6" s="748"/>
      <c r="CN6" s="748"/>
      <c r="CO6" s="748"/>
      <c r="CP6" s="748"/>
      <c r="CQ6" s="748"/>
      <c r="CR6" s="748"/>
      <c r="CS6" s="748"/>
      <c r="CT6" s="748"/>
      <c r="CU6" s="748"/>
      <c r="CV6" s="748"/>
      <c r="CW6" s="748"/>
      <c r="CX6" s="748"/>
      <c r="CY6" s="748"/>
      <c r="CZ6" s="748"/>
      <c r="DA6" s="748"/>
      <c r="DB6" s="748"/>
      <c r="DC6" s="748"/>
      <c r="DD6" s="748"/>
      <c r="DE6" s="748"/>
      <c r="DF6" s="748"/>
      <c r="DG6" s="748"/>
      <c r="DH6" s="748"/>
      <c r="DI6" s="748"/>
      <c r="DJ6" s="748"/>
      <c r="DK6" s="748"/>
      <c r="DL6" s="748"/>
      <c r="DM6" s="748"/>
      <c r="DN6" s="748"/>
      <c r="DO6" s="748"/>
      <c r="DP6" s="748"/>
      <c r="DQ6" s="748"/>
      <c r="DR6" s="748"/>
      <c r="DS6" s="748"/>
      <c r="DT6" s="748"/>
      <c r="DU6" s="748"/>
      <c r="DV6" s="748"/>
      <c r="DW6" s="748"/>
      <c r="DX6" s="748"/>
      <c r="DY6" s="748"/>
      <c r="DZ6" s="748"/>
      <c r="EA6" s="748"/>
      <c r="EB6" s="748"/>
      <c r="EC6" s="748"/>
      <c r="ED6" s="748"/>
      <c r="EE6" s="748"/>
      <c r="EF6" s="748"/>
      <c r="EG6" s="748"/>
      <c r="EH6" s="748"/>
      <c r="EI6" s="748"/>
      <c r="EJ6" s="748"/>
      <c r="EK6" s="748"/>
      <c r="EL6" s="748"/>
      <c r="EM6" s="748"/>
      <c r="EN6" s="748"/>
      <c r="EO6" s="748"/>
      <c r="EP6" s="748"/>
      <c r="EQ6" s="748"/>
      <c r="ER6" s="748"/>
      <c r="ES6" s="748"/>
      <c r="ET6" s="748"/>
      <c r="EU6" s="748"/>
      <c r="EV6" s="748"/>
      <c r="EW6" s="748"/>
      <c r="EX6" s="748"/>
      <c r="EY6" s="748"/>
      <c r="EZ6" s="748"/>
      <c r="FA6" s="748"/>
      <c r="FB6" s="748"/>
      <c r="FC6" s="748"/>
      <c r="FD6" s="748"/>
      <c r="FE6" s="748"/>
      <c r="FF6" s="748"/>
      <c r="FG6" s="748"/>
      <c r="FH6" s="748"/>
      <c r="FI6" s="748"/>
      <c r="FJ6" s="748"/>
      <c r="FK6" s="748"/>
      <c r="FL6" s="748"/>
      <c r="FM6" s="748"/>
      <c r="FN6" s="748"/>
      <c r="FO6" s="748"/>
      <c r="FP6" s="748"/>
      <c r="FQ6" s="748"/>
      <c r="FR6" s="748"/>
      <c r="FS6" s="748"/>
      <c r="FT6" s="748"/>
      <c r="FU6" s="748"/>
      <c r="FV6" s="748"/>
      <c r="FW6" s="748"/>
      <c r="FX6" s="748"/>
      <c r="FY6" s="748"/>
      <c r="FZ6" s="748"/>
      <c r="GA6" s="748"/>
      <c r="GB6" s="748"/>
      <c r="GC6" s="748"/>
      <c r="GD6" s="748"/>
      <c r="GE6" s="748"/>
      <c r="GF6" s="748"/>
      <c r="GG6" s="748"/>
      <c r="GH6" s="748"/>
      <c r="GI6" s="748"/>
      <c r="GJ6" s="748"/>
      <c r="GK6" s="748"/>
      <c r="GL6" s="748"/>
      <c r="GM6" s="748"/>
      <c r="GN6" s="748"/>
      <c r="GO6" s="748"/>
      <c r="GP6" s="748"/>
      <c r="GQ6" s="748"/>
      <c r="GR6" s="748"/>
      <c r="GS6" s="748"/>
      <c r="GT6" s="748"/>
      <c r="GU6" s="748"/>
      <c r="GV6" s="748"/>
      <c r="GW6" s="748"/>
      <c r="GX6" s="748"/>
      <c r="GY6" s="748"/>
      <c r="GZ6" s="748"/>
      <c r="HA6" s="748"/>
      <c r="HB6" s="748"/>
      <c r="HC6" s="748"/>
      <c r="HD6" s="748"/>
      <c r="HE6" s="748"/>
      <c r="HF6" s="748"/>
      <c r="HG6" s="748"/>
      <c r="HH6" s="748"/>
      <c r="HI6" s="748"/>
      <c r="HJ6" s="748"/>
      <c r="HK6" s="748"/>
      <c r="HL6" s="748"/>
      <c r="HM6" s="748"/>
      <c r="HN6" s="748"/>
      <c r="HO6" s="748"/>
      <c r="HP6" s="748"/>
      <c r="HQ6" s="748"/>
      <c r="HR6" s="748"/>
      <c r="HS6" s="748"/>
      <c r="HT6" s="748"/>
      <c r="HU6" s="748"/>
      <c r="HV6" s="748"/>
      <c r="HW6" s="748"/>
      <c r="HX6" s="748"/>
      <c r="HY6" s="748"/>
      <c r="HZ6" s="748"/>
      <c r="IA6" s="748"/>
      <c r="IB6" s="748"/>
      <c r="IC6" s="748"/>
      <c r="ID6" s="748"/>
      <c r="IE6" s="748"/>
      <c r="IF6" s="748"/>
      <c r="IG6" s="748"/>
      <c r="IH6" s="748"/>
      <c r="II6" s="748"/>
      <c r="IJ6" s="748"/>
      <c r="IK6" s="748"/>
      <c r="IL6" s="748"/>
      <c r="IM6" s="748"/>
      <c r="IN6" s="748"/>
      <c r="IO6" s="748"/>
      <c r="IP6" s="748"/>
    </row>
    <row r="7" spans="2:18" ht="22.5" customHeight="1">
      <c r="B7" s="2304" t="s">
        <v>18</v>
      </c>
      <c r="C7" s="2294" t="s">
        <v>19</v>
      </c>
      <c r="D7" s="2311" t="s">
        <v>6</v>
      </c>
      <c r="E7" s="2307" t="s">
        <v>416</v>
      </c>
      <c r="F7" s="2307" t="s">
        <v>590</v>
      </c>
      <c r="G7" s="2314" t="s">
        <v>741</v>
      </c>
      <c r="H7" s="2264" t="s">
        <v>20</v>
      </c>
      <c r="I7" s="2317" t="s">
        <v>537</v>
      </c>
      <c r="J7" s="2307"/>
      <c r="K7" s="2307"/>
      <c r="L7" s="2307"/>
      <c r="M7" s="2307"/>
      <c r="N7" s="2307"/>
      <c r="O7" s="2318"/>
      <c r="P7" s="2319" t="s">
        <v>589</v>
      </c>
      <c r="Q7" s="2303"/>
      <c r="R7" s="2303"/>
    </row>
    <row r="8" spans="2:16" ht="33" customHeight="1">
      <c r="B8" s="2305"/>
      <c r="C8" s="2295"/>
      <c r="D8" s="2312"/>
      <c r="E8" s="2308"/>
      <c r="F8" s="2308"/>
      <c r="G8" s="2315"/>
      <c r="H8" s="2265"/>
      <c r="I8" s="2322" t="s">
        <v>418</v>
      </c>
      <c r="J8" s="2323"/>
      <c r="K8" s="2324"/>
      <c r="L8" s="2324"/>
      <c r="M8" s="2325" t="s">
        <v>148</v>
      </c>
      <c r="N8" s="2325"/>
      <c r="O8" s="2326" t="s">
        <v>115</v>
      </c>
      <c r="P8" s="2320"/>
    </row>
    <row r="9" spans="2:16" ht="53.25" customHeight="1" thickBot="1">
      <c r="B9" s="2306"/>
      <c r="C9" s="2296"/>
      <c r="D9" s="2313"/>
      <c r="E9" s="2309"/>
      <c r="F9" s="2309"/>
      <c r="G9" s="2316"/>
      <c r="H9" s="2266"/>
      <c r="I9" s="768" t="s">
        <v>37</v>
      </c>
      <c r="J9" s="556" t="s">
        <v>413</v>
      </c>
      <c r="K9" s="557" t="s">
        <v>39</v>
      </c>
      <c r="L9" s="557" t="s">
        <v>415</v>
      </c>
      <c r="M9" s="556" t="s">
        <v>213</v>
      </c>
      <c r="N9" s="556" t="s">
        <v>149</v>
      </c>
      <c r="O9" s="2327"/>
      <c r="P9" s="2321"/>
    </row>
    <row r="10" spans="1:256" s="560" customFormat="1" ht="22.5" customHeight="1">
      <c r="A10" s="574">
        <v>1</v>
      </c>
      <c r="B10" s="558">
        <v>18</v>
      </c>
      <c r="C10" s="570" t="s">
        <v>14</v>
      </c>
      <c r="D10" s="757"/>
      <c r="E10" s="333"/>
      <c r="F10" s="331"/>
      <c r="G10" s="332"/>
      <c r="H10" s="772"/>
      <c r="I10" s="785"/>
      <c r="J10" s="786"/>
      <c r="K10" s="786"/>
      <c r="L10" s="786"/>
      <c r="M10" s="786"/>
      <c r="N10" s="786"/>
      <c r="O10" s="787"/>
      <c r="P10" s="562"/>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326"/>
      <c r="FK10" s="326"/>
      <c r="FL10" s="326"/>
      <c r="FM10" s="326"/>
      <c r="FN10" s="326"/>
      <c r="FO10" s="326"/>
      <c r="FP10" s="326"/>
      <c r="FQ10" s="326"/>
      <c r="FR10" s="326"/>
      <c r="FS10" s="326"/>
      <c r="FT10" s="326"/>
      <c r="FU10" s="326"/>
      <c r="FV10" s="326"/>
      <c r="FW10" s="326"/>
      <c r="FX10" s="326"/>
      <c r="FY10" s="326"/>
      <c r="FZ10" s="326"/>
      <c r="GA10" s="326"/>
      <c r="GB10" s="326"/>
      <c r="GC10" s="326"/>
      <c r="GD10" s="326"/>
      <c r="GE10" s="326"/>
      <c r="GF10" s="326"/>
      <c r="GG10" s="326"/>
      <c r="GH10" s="326"/>
      <c r="GI10" s="326"/>
      <c r="GJ10" s="326"/>
      <c r="GK10" s="326"/>
      <c r="GL10" s="326"/>
      <c r="GM10" s="326"/>
      <c r="GN10" s="326"/>
      <c r="GO10" s="326"/>
      <c r="GP10" s="326"/>
      <c r="GQ10" s="326"/>
      <c r="GR10" s="326"/>
      <c r="GS10" s="326"/>
      <c r="GT10" s="326"/>
      <c r="GU10" s="326"/>
      <c r="GV10" s="326"/>
      <c r="GW10" s="326"/>
      <c r="GX10" s="326"/>
      <c r="GY10" s="326"/>
      <c r="GZ10" s="326"/>
      <c r="HA10" s="326"/>
      <c r="HB10" s="326"/>
      <c r="HC10" s="326"/>
      <c r="HD10" s="326"/>
      <c r="HE10" s="326"/>
      <c r="HF10" s="326"/>
      <c r="HG10" s="326"/>
      <c r="HH10" s="326"/>
      <c r="HI10" s="326"/>
      <c r="HJ10" s="326"/>
      <c r="HK10" s="326"/>
      <c r="HL10" s="326"/>
      <c r="HM10" s="326"/>
      <c r="HN10" s="326"/>
      <c r="HO10" s="326"/>
      <c r="HP10" s="326"/>
      <c r="HQ10" s="326"/>
      <c r="HR10" s="326"/>
      <c r="HS10" s="326"/>
      <c r="HT10" s="326"/>
      <c r="HU10" s="326"/>
      <c r="HV10" s="326"/>
      <c r="HW10" s="326"/>
      <c r="HX10" s="326"/>
      <c r="HY10" s="326"/>
      <c r="HZ10" s="326"/>
      <c r="IA10" s="326"/>
      <c r="IB10" s="326"/>
      <c r="IC10" s="326"/>
      <c r="ID10" s="326"/>
      <c r="IE10" s="326"/>
      <c r="IF10" s="326"/>
      <c r="IG10" s="326"/>
      <c r="IH10" s="326"/>
      <c r="II10" s="326"/>
      <c r="IJ10" s="326"/>
      <c r="IK10" s="326"/>
      <c r="IL10" s="326"/>
      <c r="IM10" s="326"/>
      <c r="IN10" s="326"/>
      <c r="IO10" s="326"/>
      <c r="IP10" s="326"/>
      <c r="IQ10" s="326"/>
      <c r="IR10" s="326"/>
      <c r="IS10" s="326"/>
      <c r="IT10" s="326"/>
      <c r="IU10" s="326"/>
      <c r="IV10" s="326"/>
    </row>
    <row r="11" spans="1:256" s="560" customFormat="1" ht="22.5" customHeight="1">
      <c r="A11" s="574">
        <v>2</v>
      </c>
      <c r="B11" s="568"/>
      <c r="C11" s="366">
        <v>1</v>
      </c>
      <c r="D11" s="571" t="s">
        <v>361</v>
      </c>
      <c r="E11" s="335"/>
      <c r="F11" s="564"/>
      <c r="G11" s="336"/>
      <c r="H11" s="773" t="s">
        <v>23</v>
      </c>
      <c r="I11" s="788"/>
      <c r="J11" s="784"/>
      <c r="K11" s="784"/>
      <c r="L11" s="784"/>
      <c r="M11" s="784"/>
      <c r="N11" s="784"/>
      <c r="O11" s="758"/>
      <c r="P11" s="565"/>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326"/>
      <c r="DP11" s="326"/>
      <c r="DQ11" s="326"/>
      <c r="DR11" s="326"/>
      <c r="DS11" s="326"/>
      <c r="DT11" s="326"/>
      <c r="DU11" s="326"/>
      <c r="DV11" s="326"/>
      <c r="DW11" s="326"/>
      <c r="DX11" s="326"/>
      <c r="DY11" s="326"/>
      <c r="DZ11" s="326"/>
      <c r="EA11" s="326"/>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326"/>
      <c r="FK11" s="326"/>
      <c r="FL11" s="326"/>
      <c r="FM11" s="326"/>
      <c r="FN11" s="326"/>
      <c r="FO11" s="326"/>
      <c r="FP11" s="326"/>
      <c r="FQ11" s="326"/>
      <c r="FR11" s="326"/>
      <c r="FS11" s="326"/>
      <c r="FT11" s="326"/>
      <c r="FU11" s="326"/>
      <c r="FV11" s="326"/>
      <c r="FW11" s="326"/>
      <c r="FX11" s="326"/>
      <c r="FY11" s="326"/>
      <c r="FZ11" s="326"/>
      <c r="GA11" s="326"/>
      <c r="GB11" s="326"/>
      <c r="GC11" s="326"/>
      <c r="GD11" s="326"/>
      <c r="GE11" s="326"/>
      <c r="GF11" s="326"/>
      <c r="GG11" s="326"/>
      <c r="GH11" s="326"/>
      <c r="GI11" s="326"/>
      <c r="GJ11" s="326"/>
      <c r="GK11" s="326"/>
      <c r="GL11" s="326"/>
      <c r="GM11" s="326"/>
      <c r="GN11" s="326"/>
      <c r="GO11" s="326"/>
      <c r="GP11" s="326"/>
      <c r="GQ11" s="326"/>
      <c r="GR11" s="326"/>
      <c r="GS11" s="326"/>
      <c r="GT11" s="326"/>
      <c r="GU11" s="326"/>
      <c r="GV11" s="326"/>
      <c r="GW11" s="326"/>
      <c r="GX11" s="326"/>
      <c r="GY11" s="326"/>
      <c r="GZ11" s="326"/>
      <c r="HA11" s="326"/>
      <c r="HB11" s="326"/>
      <c r="HC11" s="326"/>
      <c r="HD11" s="326"/>
      <c r="HE11" s="326"/>
      <c r="HF11" s="326"/>
      <c r="HG11" s="326"/>
      <c r="HH11" s="326"/>
      <c r="HI11" s="326"/>
      <c r="HJ11" s="326"/>
      <c r="HK11" s="326"/>
      <c r="HL11" s="326"/>
      <c r="HM11" s="326"/>
      <c r="HN11" s="326"/>
      <c r="HO11" s="326"/>
      <c r="HP11" s="326"/>
      <c r="HQ11" s="326"/>
      <c r="HR11" s="326"/>
      <c r="HS11" s="326"/>
      <c r="HT11" s="326"/>
      <c r="HU11" s="326"/>
      <c r="HV11" s="326"/>
      <c r="HW11" s="326"/>
      <c r="HX11" s="326"/>
      <c r="HY11" s="326"/>
      <c r="HZ11" s="326"/>
      <c r="IA11" s="326"/>
      <c r="IB11" s="326"/>
      <c r="IC11" s="326"/>
      <c r="ID11" s="326"/>
      <c r="IE11" s="326"/>
      <c r="IF11" s="326"/>
      <c r="IG11" s="326"/>
      <c r="IH11" s="326"/>
      <c r="II11" s="326"/>
      <c r="IJ11" s="326"/>
      <c r="IK11" s="326"/>
      <c r="IL11" s="326"/>
      <c r="IM11" s="326"/>
      <c r="IN11" s="326"/>
      <c r="IO11" s="326"/>
      <c r="IP11" s="326"/>
      <c r="IQ11" s="326"/>
      <c r="IR11" s="326"/>
      <c r="IS11" s="326"/>
      <c r="IT11" s="326"/>
      <c r="IU11" s="326"/>
      <c r="IV11" s="326"/>
    </row>
    <row r="12" spans="1:16" s="766" customFormat="1" ht="18" customHeight="1">
      <c r="A12" s="574">
        <v>3</v>
      </c>
      <c r="B12" s="759"/>
      <c r="C12" s="760"/>
      <c r="D12" s="1974" t="s">
        <v>283</v>
      </c>
      <c r="E12" s="335">
        <f>F12+G12+O15+P12</f>
        <v>25975</v>
      </c>
      <c r="F12" s="564">
        <f>6208+6205+12386</f>
        <v>24799</v>
      </c>
      <c r="G12" s="336">
        <v>416</v>
      </c>
      <c r="H12" s="773"/>
      <c r="I12" s="771"/>
      <c r="J12" s="764"/>
      <c r="K12" s="764"/>
      <c r="L12" s="764">
        <v>760</v>
      </c>
      <c r="M12" s="764"/>
      <c r="N12" s="764"/>
      <c r="O12" s="758">
        <f>SUM(I12:N12)</f>
        <v>760</v>
      </c>
      <c r="P12" s="765"/>
    </row>
    <row r="13" spans="1:16" s="766" customFormat="1" ht="18" customHeight="1">
      <c r="A13" s="574">
        <v>4</v>
      </c>
      <c r="B13" s="759"/>
      <c r="C13" s="760"/>
      <c r="D13" s="483" t="s">
        <v>938</v>
      </c>
      <c r="E13" s="335"/>
      <c r="F13" s="564"/>
      <c r="G13" s="336"/>
      <c r="H13" s="773"/>
      <c r="I13" s="771"/>
      <c r="J13" s="764"/>
      <c r="K13" s="764"/>
      <c r="L13" s="1309">
        <v>760</v>
      </c>
      <c r="M13" s="1309"/>
      <c r="N13" s="1309"/>
      <c r="O13" s="569">
        <f>SUM(I13:N13)</f>
        <v>760</v>
      </c>
      <c r="P13" s="765"/>
    </row>
    <row r="14" spans="1:16" s="766" customFormat="1" ht="18" customHeight="1">
      <c r="A14" s="574">
        <v>5</v>
      </c>
      <c r="B14" s="759"/>
      <c r="C14" s="760"/>
      <c r="D14" s="1146" t="s">
        <v>674</v>
      </c>
      <c r="E14" s="335"/>
      <c r="F14" s="564"/>
      <c r="G14" s="336"/>
      <c r="H14" s="773"/>
      <c r="I14" s="1305"/>
      <c r="J14" s="1306"/>
      <c r="K14" s="1306"/>
      <c r="L14" s="1306"/>
      <c r="M14" s="1306"/>
      <c r="N14" s="1306"/>
      <c r="O14" s="1307">
        <f>SUM(I14:N14)</f>
        <v>0</v>
      </c>
      <c r="P14" s="765"/>
    </row>
    <row r="15" spans="1:16" s="766" customFormat="1" ht="18" customHeight="1">
      <c r="A15" s="574">
        <v>6</v>
      </c>
      <c r="B15" s="759"/>
      <c r="C15" s="760"/>
      <c r="D15" s="483" t="s">
        <v>1091</v>
      </c>
      <c r="E15" s="335"/>
      <c r="F15" s="564"/>
      <c r="G15" s="336"/>
      <c r="H15" s="773"/>
      <c r="I15" s="1308"/>
      <c r="J15" s="1309"/>
      <c r="K15" s="1309"/>
      <c r="L15" s="1309">
        <f>SUM(L13:L14)</f>
        <v>760</v>
      </c>
      <c r="M15" s="1309"/>
      <c r="N15" s="1309"/>
      <c r="O15" s="569">
        <f>SUM(I15:N15)</f>
        <v>760</v>
      </c>
      <c r="P15" s="765"/>
    </row>
    <row r="16" spans="1:256" s="560" customFormat="1" ht="36" customHeight="1">
      <c r="A16" s="574">
        <v>7</v>
      </c>
      <c r="B16" s="568"/>
      <c r="C16" s="327">
        <v>2</v>
      </c>
      <c r="D16" s="791" t="s">
        <v>436</v>
      </c>
      <c r="E16" s="335"/>
      <c r="F16" s="564"/>
      <c r="G16" s="336"/>
      <c r="H16" s="795" t="s">
        <v>23</v>
      </c>
      <c r="I16" s="771"/>
      <c r="J16" s="764"/>
      <c r="K16" s="764"/>
      <c r="L16" s="764"/>
      <c r="M16" s="764"/>
      <c r="N16" s="784"/>
      <c r="O16" s="758"/>
      <c r="P16" s="565"/>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326"/>
      <c r="HD16" s="326"/>
      <c r="HE16" s="326"/>
      <c r="HF16" s="326"/>
      <c r="HG16" s="326"/>
      <c r="HH16" s="326"/>
      <c r="HI16" s="326"/>
      <c r="HJ16" s="326"/>
      <c r="HK16" s="326"/>
      <c r="HL16" s="326"/>
      <c r="HM16" s="326"/>
      <c r="HN16" s="326"/>
      <c r="HO16" s="326"/>
      <c r="HP16" s="326"/>
      <c r="HQ16" s="326"/>
      <c r="HR16" s="326"/>
      <c r="HS16" s="326"/>
      <c r="HT16" s="326"/>
      <c r="HU16" s="326"/>
      <c r="HV16" s="326"/>
      <c r="HW16" s="326"/>
      <c r="HX16" s="326"/>
      <c r="HY16" s="326"/>
      <c r="HZ16" s="326"/>
      <c r="IA16" s="326"/>
      <c r="IB16" s="326"/>
      <c r="IC16" s="326"/>
      <c r="ID16" s="326"/>
      <c r="IE16" s="326"/>
      <c r="IF16" s="326"/>
      <c r="IG16" s="326"/>
      <c r="IH16" s="326"/>
      <c r="II16" s="326"/>
      <c r="IJ16" s="326"/>
      <c r="IK16" s="326"/>
      <c r="IL16" s="326"/>
      <c r="IM16" s="326"/>
      <c r="IN16" s="326"/>
      <c r="IO16" s="326"/>
      <c r="IP16" s="326"/>
      <c r="IQ16" s="326"/>
      <c r="IR16" s="326"/>
      <c r="IS16" s="326"/>
      <c r="IT16" s="326"/>
      <c r="IU16" s="326"/>
      <c r="IV16" s="326"/>
    </row>
    <row r="17" spans="1:16" s="766" customFormat="1" ht="18" customHeight="1">
      <c r="A17" s="574">
        <v>8</v>
      </c>
      <c r="B17" s="759"/>
      <c r="C17" s="760"/>
      <c r="D17" s="1974" t="s">
        <v>283</v>
      </c>
      <c r="E17" s="335">
        <f>F17+G17+O20+P17</f>
        <v>319576</v>
      </c>
      <c r="F17" s="564">
        <v>6699</v>
      </c>
      <c r="G17" s="336"/>
      <c r="H17" s="773"/>
      <c r="I17" s="771"/>
      <c r="J17" s="764"/>
      <c r="K17" s="764">
        <v>278</v>
      </c>
      <c r="L17" s="764"/>
      <c r="M17" s="764">
        <v>312599</v>
      </c>
      <c r="N17" s="764"/>
      <c r="O17" s="758">
        <f>SUM(I17:N17)</f>
        <v>312877</v>
      </c>
      <c r="P17" s="765"/>
    </row>
    <row r="18" spans="1:16" s="766" customFormat="1" ht="18" customHeight="1">
      <c r="A18" s="574">
        <v>9</v>
      </c>
      <c r="B18" s="759"/>
      <c r="C18" s="760"/>
      <c r="D18" s="483" t="s">
        <v>938</v>
      </c>
      <c r="E18" s="335"/>
      <c r="F18" s="564"/>
      <c r="G18" s="336"/>
      <c r="H18" s="773"/>
      <c r="I18" s="771"/>
      <c r="J18" s="764"/>
      <c r="K18" s="1309">
        <v>278</v>
      </c>
      <c r="L18" s="1309"/>
      <c r="M18" s="1309">
        <v>312599</v>
      </c>
      <c r="N18" s="1309"/>
      <c r="O18" s="569">
        <f>SUM(I18:N18)</f>
        <v>312877</v>
      </c>
      <c r="P18" s="765"/>
    </row>
    <row r="19" spans="1:16" s="766" customFormat="1" ht="18" customHeight="1">
      <c r="A19" s="574">
        <v>10</v>
      </c>
      <c r="B19" s="759"/>
      <c r="C19" s="760"/>
      <c r="D19" s="1146" t="s">
        <v>674</v>
      </c>
      <c r="E19" s="335"/>
      <c r="F19" s="564"/>
      <c r="G19" s="336"/>
      <c r="H19" s="773"/>
      <c r="I19" s="771"/>
      <c r="J19" s="764"/>
      <c r="K19" s="764"/>
      <c r="L19" s="764"/>
      <c r="M19" s="764"/>
      <c r="N19" s="764"/>
      <c r="O19" s="1307">
        <f>SUM(I19:N19)</f>
        <v>0</v>
      </c>
      <c r="P19" s="765"/>
    </row>
    <row r="20" spans="1:16" s="766" customFormat="1" ht="18" customHeight="1">
      <c r="A20" s="574">
        <v>11</v>
      </c>
      <c r="B20" s="759"/>
      <c r="C20" s="760"/>
      <c r="D20" s="483" t="s">
        <v>1091</v>
      </c>
      <c r="E20" s="335"/>
      <c r="F20" s="564"/>
      <c r="G20" s="336"/>
      <c r="H20" s="773"/>
      <c r="I20" s="771"/>
      <c r="J20" s="764"/>
      <c r="K20" s="1309">
        <f>SUM(K18:K19)</f>
        <v>278</v>
      </c>
      <c r="L20" s="1309"/>
      <c r="M20" s="1309">
        <f>SUM(M18:M19)</f>
        <v>312599</v>
      </c>
      <c r="N20" s="764"/>
      <c r="O20" s="569">
        <f>SUM(I20:N20)</f>
        <v>312877</v>
      </c>
      <c r="P20" s="765"/>
    </row>
    <row r="21" spans="1:256" s="560" customFormat="1" ht="38.25" customHeight="1">
      <c r="A21" s="574">
        <v>12</v>
      </c>
      <c r="B21" s="568"/>
      <c r="C21" s="327">
        <v>3</v>
      </c>
      <c r="D21" s="329" t="s">
        <v>403</v>
      </c>
      <c r="E21" s="335"/>
      <c r="F21" s="335"/>
      <c r="G21" s="336"/>
      <c r="H21" s="795" t="s">
        <v>23</v>
      </c>
      <c r="I21" s="1053"/>
      <c r="J21" s="762"/>
      <c r="K21" s="762"/>
      <c r="L21" s="762"/>
      <c r="M21" s="762"/>
      <c r="N21" s="783"/>
      <c r="O21" s="790"/>
      <c r="P21" s="565"/>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326"/>
      <c r="DL21" s="326"/>
      <c r="DM21" s="326"/>
      <c r="DN21" s="326"/>
      <c r="DO21" s="326"/>
      <c r="DP21" s="326"/>
      <c r="DQ21" s="326"/>
      <c r="DR21" s="326"/>
      <c r="DS21" s="326"/>
      <c r="DT21" s="326"/>
      <c r="DU21" s="326"/>
      <c r="DV21" s="326"/>
      <c r="DW21" s="326"/>
      <c r="DX21" s="326"/>
      <c r="DY21" s="326"/>
      <c r="DZ21" s="326"/>
      <c r="EA21" s="326"/>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326"/>
      <c r="FK21" s="326"/>
      <c r="FL21" s="326"/>
      <c r="FM21" s="326"/>
      <c r="FN21" s="326"/>
      <c r="FO21" s="326"/>
      <c r="FP21" s="326"/>
      <c r="FQ21" s="326"/>
      <c r="FR21" s="326"/>
      <c r="FS21" s="326"/>
      <c r="FT21" s="326"/>
      <c r="FU21" s="326"/>
      <c r="FV21" s="326"/>
      <c r="FW21" s="326"/>
      <c r="FX21" s="326"/>
      <c r="FY21" s="326"/>
      <c r="FZ21" s="326"/>
      <c r="GA21" s="326"/>
      <c r="GB21" s="326"/>
      <c r="GC21" s="326"/>
      <c r="GD21" s="326"/>
      <c r="GE21" s="326"/>
      <c r="GF21" s="326"/>
      <c r="GG21" s="326"/>
      <c r="GH21" s="326"/>
      <c r="GI21" s="326"/>
      <c r="GJ21" s="326"/>
      <c r="GK21" s="326"/>
      <c r="GL21" s="326"/>
      <c r="GM21" s="326"/>
      <c r="GN21" s="326"/>
      <c r="GO21" s="326"/>
      <c r="GP21" s="326"/>
      <c r="GQ21" s="326"/>
      <c r="GR21" s="326"/>
      <c r="GS21" s="326"/>
      <c r="GT21" s="326"/>
      <c r="GU21" s="326"/>
      <c r="GV21" s="326"/>
      <c r="GW21" s="326"/>
      <c r="GX21" s="326"/>
      <c r="GY21" s="326"/>
      <c r="GZ21" s="326"/>
      <c r="HA21" s="326"/>
      <c r="HB21" s="326"/>
      <c r="HC21" s="326"/>
      <c r="HD21" s="326"/>
      <c r="HE21" s="326"/>
      <c r="HF21" s="326"/>
      <c r="HG21" s="326"/>
      <c r="HH21" s="326"/>
      <c r="HI21" s="326"/>
      <c r="HJ21" s="326"/>
      <c r="HK21" s="326"/>
      <c r="HL21" s="326"/>
      <c r="HM21" s="326"/>
      <c r="HN21" s="326"/>
      <c r="HO21" s="326"/>
      <c r="HP21" s="326"/>
      <c r="HQ21" s="326"/>
      <c r="HR21" s="326"/>
      <c r="HS21" s="326"/>
      <c r="HT21" s="326"/>
      <c r="HU21" s="326"/>
      <c r="HV21" s="326"/>
      <c r="HW21" s="326"/>
      <c r="HX21" s="326"/>
      <c r="HY21" s="326"/>
      <c r="HZ21" s="326"/>
      <c r="IA21" s="326"/>
      <c r="IB21" s="326"/>
      <c r="IC21" s="326"/>
      <c r="ID21" s="326"/>
      <c r="IE21" s="326"/>
      <c r="IF21" s="326"/>
      <c r="IG21" s="326"/>
      <c r="IH21" s="326"/>
      <c r="II21" s="326"/>
      <c r="IJ21" s="326"/>
      <c r="IK21" s="326"/>
      <c r="IL21" s="326"/>
      <c r="IM21" s="326"/>
      <c r="IN21" s="326"/>
      <c r="IO21" s="326"/>
      <c r="IP21" s="326"/>
      <c r="IQ21" s="326"/>
      <c r="IR21" s="326"/>
      <c r="IS21" s="326"/>
      <c r="IT21" s="326"/>
      <c r="IU21" s="326"/>
      <c r="IV21" s="326"/>
    </row>
    <row r="22" spans="1:16" ht="18" customHeight="1">
      <c r="A22" s="574">
        <v>13</v>
      </c>
      <c r="B22" s="466"/>
      <c r="C22" s="366"/>
      <c r="D22" s="1324" t="s">
        <v>283</v>
      </c>
      <c r="E22" s="335">
        <f>F22+G22+O25+P22+3250</f>
        <v>163747</v>
      </c>
      <c r="F22" s="335">
        <v>6541</v>
      </c>
      <c r="G22" s="336">
        <v>40</v>
      </c>
      <c r="H22" s="773"/>
      <c r="I22" s="1053"/>
      <c r="J22" s="762"/>
      <c r="K22" s="762">
        <v>342</v>
      </c>
      <c r="L22" s="762"/>
      <c r="M22" s="762">
        <v>153574</v>
      </c>
      <c r="N22" s="783"/>
      <c r="O22" s="758">
        <f>SUM(I22:N22)</f>
        <v>153916</v>
      </c>
      <c r="P22" s="565"/>
    </row>
    <row r="23" spans="1:16" ht="18" customHeight="1">
      <c r="A23" s="574">
        <v>14</v>
      </c>
      <c r="B23" s="466"/>
      <c r="C23" s="366"/>
      <c r="D23" s="483" t="s">
        <v>938</v>
      </c>
      <c r="E23" s="335"/>
      <c r="F23" s="335"/>
      <c r="G23" s="336"/>
      <c r="H23" s="773"/>
      <c r="I23" s="1053"/>
      <c r="J23" s="762"/>
      <c r="K23" s="1018">
        <v>342</v>
      </c>
      <c r="L23" s="1018"/>
      <c r="M23" s="1018">
        <v>153574</v>
      </c>
      <c r="N23" s="335"/>
      <c r="O23" s="569">
        <f>SUM(I23:N23)</f>
        <v>153916</v>
      </c>
      <c r="P23" s="565"/>
    </row>
    <row r="24" spans="1:16" ht="18" customHeight="1">
      <c r="A24" s="574">
        <v>15</v>
      </c>
      <c r="B24" s="466"/>
      <c r="C24" s="366"/>
      <c r="D24" s="1146" t="s">
        <v>674</v>
      </c>
      <c r="E24" s="335"/>
      <c r="F24" s="335"/>
      <c r="G24" s="336"/>
      <c r="H24" s="773"/>
      <c r="I24" s="1053"/>
      <c r="J24" s="762"/>
      <c r="K24" s="762"/>
      <c r="L24" s="762"/>
      <c r="M24" s="762"/>
      <c r="N24" s="783"/>
      <c r="O24" s="1307">
        <f>SUM(I24:N24)</f>
        <v>0</v>
      </c>
      <c r="P24" s="565"/>
    </row>
    <row r="25" spans="1:16" ht="18" customHeight="1">
      <c r="A25" s="574">
        <v>16</v>
      </c>
      <c r="B25" s="466"/>
      <c r="C25" s="366"/>
      <c r="D25" s="483" t="s">
        <v>1091</v>
      </c>
      <c r="E25" s="335"/>
      <c r="F25" s="335"/>
      <c r="G25" s="336"/>
      <c r="H25" s="773"/>
      <c r="I25" s="1053"/>
      <c r="J25" s="762"/>
      <c r="K25" s="1018">
        <f>SUM(K23:K24)</f>
        <v>342</v>
      </c>
      <c r="L25" s="1018"/>
      <c r="M25" s="1018">
        <f>SUM(M23:M24)</f>
        <v>153574</v>
      </c>
      <c r="N25" s="783"/>
      <c r="O25" s="569">
        <f>SUM(I25:N25)</f>
        <v>153916</v>
      </c>
      <c r="P25" s="565"/>
    </row>
    <row r="26" spans="1:16" ht="33">
      <c r="A26" s="574">
        <v>17</v>
      </c>
      <c r="B26" s="466"/>
      <c r="C26" s="327">
        <v>4</v>
      </c>
      <c r="D26" s="756" t="s">
        <v>438</v>
      </c>
      <c r="E26" s="335"/>
      <c r="F26" s="335"/>
      <c r="G26" s="336"/>
      <c r="H26" s="773" t="s">
        <v>23</v>
      </c>
      <c r="I26" s="1053"/>
      <c r="J26" s="762"/>
      <c r="K26" s="762"/>
      <c r="L26" s="762"/>
      <c r="M26" s="762"/>
      <c r="N26" s="783"/>
      <c r="O26" s="758"/>
      <c r="P26" s="565"/>
    </row>
    <row r="27" spans="1:16" ht="18" customHeight="1">
      <c r="A27" s="574">
        <v>18</v>
      </c>
      <c r="B27" s="466"/>
      <c r="C27" s="366"/>
      <c r="D27" s="1324" t="s">
        <v>283</v>
      </c>
      <c r="E27" s="335">
        <f>F27+G27+O30+P27</f>
        <v>49792</v>
      </c>
      <c r="F27" s="335">
        <v>1956</v>
      </c>
      <c r="G27" s="336"/>
      <c r="H27" s="773"/>
      <c r="I27" s="1053"/>
      <c r="J27" s="762"/>
      <c r="K27" s="762">
        <v>270</v>
      </c>
      <c r="L27" s="762"/>
      <c r="M27" s="762">
        <v>62566</v>
      </c>
      <c r="N27" s="783"/>
      <c r="O27" s="758">
        <f>SUM(I27:N27)</f>
        <v>62836</v>
      </c>
      <c r="P27" s="565"/>
    </row>
    <row r="28" spans="1:16" ht="18" customHeight="1">
      <c r="A28" s="574">
        <v>19</v>
      </c>
      <c r="B28" s="466"/>
      <c r="C28" s="366"/>
      <c r="D28" s="483" t="s">
        <v>938</v>
      </c>
      <c r="E28" s="335"/>
      <c r="F28" s="335"/>
      <c r="G28" s="336"/>
      <c r="H28" s="773"/>
      <c r="I28" s="1053"/>
      <c r="J28" s="762"/>
      <c r="K28" s="1018">
        <v>270</v>
      </c>
      <c r="L28" s="1018"/>
      <c r="M28" s="1018">
        <v>62566</v>
      </c>
      <c r="N28" s="335"/>
      <c r="O28" s="569">
        <f>SUM(I28:N28)</f>
        <v>62836</v>
      </c>
      <c r="P28" s="565"/>
    </row>
    <row r="29" spans="1:16" ht="18" customHeight="1">
      <c r="A29" s="574">
        <v>20</v>
      </c>
      <c r="B29" s="466"/>
      <c r="C29" s="366"/>
      <c r="D29" s="1146" t="s">
        <v>689</v>
      </c>
      <c r="E29" s="335"/>
      <c r="F29" s="335"/>
      <c r="G29" s="336"/>
      <c r="H29" s="773"/>
      <c r="I29" s="1053"/>
      <c r="J29" s="762"/>
      <c r="K29" s="762"/>
      <c r="L29" s="762"/>
      <c r="M29" s="1380">
        <f>-10000-5000</f>
        <v>-15000</v>
      </c>
      <c r="N29" s="783"/>
      <c r="O29" s="1307">
        <f>SUM(I29:N29)</f>
        <v>-15000</v>
      </c>
      <c r="P29" s="565"/>
    </row>
    <row r="30" spans="1:16" ht="18" customHeight="1">
      <c r="A30" s="574">
        <v>21</v>
      </c>
      <c r="B30" s="466"/>
      <c r="C30" s="366"/>
      <c r="D30" s="483" t="s">
        <v>1091</v>
      </c>
      <c r="E30" s="335"/>
      <c r="F30" s="335"/>
      <c r="G30" s="336"/>
      <c r="H30" s="773"/>
      <c r="I30" s="1053"/>
      <c r="J30" s="762"/>
      <c r="K30" s="1018">
        <f>SUM(K28:K29)</f>
        <v>270</v>
      </c>
      <c r="L30" s="1018"/>
      <c r="M30" s="1018">
        <f>SUM(M28:M29)</f>
        <v>47566</v>
      </c>
      <c r="N30" s="783"/>
      <c r="O30" s="569">
        <f>SUM(I30:N30)</f>
        <v>47836</v>
      </c>
      <c r="P30" s="565"/>
    </row>
    <row r="31" spans="1:16" ht="33">
      <c r="A31" s="574">
        <v>22</v>
      </c>
      <c r="B31" s="466"/>
      <c r="C31" s="327">
        <v>5</v>
      </c>
      <c r="D31" s="755" t="s">
        <v>439</v>
      </c>
      <c r="E31" s="335"/>
      <c r="F31" s="335"/>
      <c r="G31" s="336"/>
      <c r="H31" s="773" t="s">
        <v>23</v>
      </c>
      <c r="I31" s="1053"/>
      <c r="J31" s="762"/>
      <c r="K31" s="762"/>
      <c r="L31" s="762"/>
      <c r="M31" s="762"/>
      <c r="N31" s="783"/>
      <c r="O31" s="758"/>
      <c r="P31" s="565"/>
    </row>
    <row r="32" spans="1:16" ht="18" customHeight="1">
      <c r="A32" s="574">
        <v>23</v>
      </c>
      <c r="B32" s="466"/>
      <c r="C32" s="366"/>
      <c r="D32" s="1324" t="s">
        <v>283</v>
      </c>
      <c r="E32" s="335">
        <f>F32+G32+O35+P32</f>
        <v>79678</v>
      </c>
      <c r="F32" s="335">
        <v>2459</v>
      </c>
      <c r="G32" s="336">
        <v>140</v>
      </c>
      <c r="H32" s="773"/>
      <c r="I32" s="1053"/>
      <c r="J32" s="762"/>
      <c r="K32" s="762">
        <v>170</v>
      </c>
      <c r="L32" s="762"/>
      <c r="M32" s="762">
        <v>76280</v>
      </c>
      <c r="N32" s="783"/>
      <c r="O32" s="758">
        <f>SUM(I32:N32)</f>
        <v>76450</v>
      </c>
      <c r="P32" s="565"/>
    </row>
    <row r="33" spans="1:16" ht="18" customHeight="1">
      <c r="A33" s="574">
        <v>24</v>
      </c>
      <c r="B33" s="466"/>
      <c r="C33" s="366"/>
      <c r="D33" s="483" t="s">
        <v>938</v>
      </c>
      <c r="E33" s="335"/>
      <c r="F33" s="335"/>
      <c r="G33" s="336"/>
      <c r="H33" s="773"/>
      <c r="I33" s="1053"/>
      <c r="J33" s="762"/>
      <c r="K33" s="1018">
        <v>170</v>
      </c>
      <c r="L33" s="1018"/>
      <c r="M33" s="1018">
        <v>76909</v>
      </c>
      <c r="N33" s="335"/>
      <c r="O33" s="569">
        <f>SUM(I33:N33)</f>
        <v>77079</v>
      </c>
      <c r="P33" s="565"/>
    </row>
    <row r="34" spans="1:16" ht="18" customHeight="1">
      <c r="A34" s="574">
        <v>25</v>
      </c>
      <c r="B34" s="466"/>
      <c r="C34" s="366"/>
      <c r="D34" s="1146" t="s">
        <v>725</v>
      </c>
      <c r="E34" s="335"/>
      <c r="F34" s="335"/>
      <c r="G34" s="336"/>
      <c r="H34" s="773"/>
      <c r="I34" s="1053"/>
      <c r="J34" s="762"/>
      <c r="K34" s="762"/>
      <c r="L34" s="762"/>
      <c r="M34" s="1380"/>
      <c r="N34" s="783"/>
      <c r="O34" s="1307">
        <f>SUM(I34:N34)</f>
        <v>0</v>
      </c>
      <c r="P34" s="565"/>
    </row>
    <row r="35" spans="1:16" ht="18" customHeight="1">
      <c r="A35" s="574">
        <v>26</v>
      </c>
      <c r="B35" s="466"/>
      <c r="C35" s="366"/>
      <c r="D35" s="483" t="s">
        <v>1091</v>
      </c>
      <c r="E35" s="335"/>
      <c r="F35" s="335"/>
      <c r="G35" s="336"/>
      <c r="H35" s="773"/>
      <c r="I35" s="1053"/>
      <c r="J35" s="762"/>
      <c r="K35" s="1018">
        <f>SUM(K33:K34)</f>
        <v>170</v>
      </c>
      <c r="L35" s="1018"/>
      <c r="M35" s="1018">
        <f>SUM(M33:M34)</f>
        <v>76909</v>
      </c>
      <c r="N35" s="783"/>
      <c r="O35" s="569">
        <f>SUM(I35:N35)</f>
        <v>77079</v>
      </c>
      <c r="P35" s="565"/>
    </row>
    <row r="36" spans="1:256" s="560" customFormat="1" ht="54.75" customHeight="1">
      <c r="A36" s="574">
        <v>27</v>
      </c>
      <c r="B36" s="568"/>
      <c r="C36" s="327">
        <v>6</v>
      </c>
      <c r="D36" s="754" t="s">
        <v>739</v>
      </c>
      <c r="E36" s="335"/>
      <c r="F36" s="564"/>
      <c r="G36" s="336"/>
      <c r="H36" s="795" t="s">
        <v>23</v>
      </c>
      <c r="I36" s="771"/>
      <c r="J36" s="764"/>
      <c r="K36" s="764"/>
      <c r="L36" s="764"/>
      <c r="M36" s="764"/>
      <c r="N36" s="784"/>
      <c r="O36" s="758"/>
      <c r="P36" s="565"/>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326"/>
      <c r="DI36" s="326"/>
      <c r="DJ36" s="326"/>
      <c r="DK36" s="326"/>
      <c r="DL36" s="326"/>
      <c r="DM36" s="326"/>
      <c r="DN36" s="326"/>
      <c r="DO36" s="326"/>
      <c r="DP36" s="326"/>
      <c r="DQ36" s="326"/>
      <c r="DR36" s="326"/>
      <c r="DS36" s="326"/>
      <c r="DT36" s="326"/>
      <c r="DU36" s="326"/>
      <c r="DV36" s="326"/>
      <c r="DW36" s="326"/>
      <c r="DX36" s="326"/>
      <c r="DY36" s="326"/>
      <c r="DZ36" s="326"/>
      <c r="EA36" s="326"/>
      <c r="EB36" s="326"/>
      <c r="EC36" s="326"/>
      <c r="ED36" s="326"/>
      <c r="EE36" s="326"/>
      <c r="EF36" s="326"/>
      <c r="EG36" s="326"/>
      <c r="EH36" s="326"/>
      <c r="EI36" s="326"/>
      <c r="EJ36" s="326"/>
      <c r="EK36" s="326"/>
      <c r="EL36" s="326"/>
      <c r="EM36" s="326"/>
      <c r="EN36" s="326"/>
      <c r="EO36" s="326"/>
      <c r="EP36" s="326"/>
      <c r="EQ36" s="326"/>
      <c r="ER36" s="326"/>
      <c r="ES36" s="326"/>
      <c r="ET36" s="326"/>
      <c r="EU36" s="326"/>
      <c r="EV36" s="326"/>
      <c r="EW36" s="326"/>
      <c r="EX36" s="326"/>
      <c r="EY36" s="326"/>
      <c r="EZ36" s="326"/>
      <c r="FA36" s="326"/>
      <c r="FB36" s="326"/>
      <c r="FC36" s="326"/>
      <c r="FD36" s="326"/>
      <c r="FE36" s="326"/>
      <c r="FF36" s="326"/>
      <c r="FG36" s="326"/>
      <c r="FH36" s="326"/>
      <c r="FI36" s="326"/>
      <c r="FJ36" s="326"/>
      <c r="FK36" s="326"/>
      <c r="FL36" s="326"/>
      <c r="FM36" s="326"/>
      <c r="FN36" s="326"/>
      <c r="FO36" s="326"/>
      <c r="FP36" s="326"/>
      <c r="FQ36" s="326"/>
      <c r="FR36" s="326"/>
      <c r="FS36" s="326"/>
      <c r="FT36" s="326"/>
      <c r="FU36" s="326"/>
      <c r="FV36" s="326"/>
      <c r="FW36" s="326"/>
      <c r="FX36" s="326"/>
      <c r="FY36" s="326"/>
      <c r="FZ36" s="326"/>
      <c r="GA36" s="326"/>
      <c r="GB36" s="326"/>
      <c r="GC36" s="326"/>
      <c r="GD36" s="326"/>
      <c r="GE36" s="326"/>
      <c r="GF36" s="326"/>
      <c r="GG36" s="326"/>
      <c r="GH36" s="326"/>
      <c r="GI36" s="326"/>
      <c r="GJ36" s="326"/>
      <c r="GK36" s="326"/>
      <c r="GL36" s="326"/>
      <c r="GM36" s="326"/>
      <c r="GN36" s="326"/>
      <c r="GO36" s="326"/>
      <c r="GP36" s="326"/>
      <c r="GQ36" s="326"/>
      <c r="GR36" s="326"/>
      <c r="GS36" s="326"/>
      <c r="GT36" s="326"/>
      <c r="GU36" s="326"/>
      <c r="GV36" s="326"/>
      <c r="GW36" s="326"/>
      <c r="GX36" s="326"/>
      <c r="GY36" s="326"/>
      <c r="GZ36" s="326"/>
      <c r="HA36" s="326"/>
      <c r="HB36" s="326"/>
      <c r="HC36" s="326"/>
      <c r="HD36" s="326"/>
      <c r="HE36" s="326"/>
      <c r="HF36" s="326"/>
      <c r="HG36" s="326"/>
      <c r="HH36" s="326"/>
      <c r="HI36" s="326"/>
      <c r="HJ36" s="326"/>
      <c r="HK36" s="326"/>
      <c r="HL36" s="326"/>
      <c r="HM36" s="326"/>
      <c r="HN36" s="326"/>
      <c r="HO36" s="326"/>
      <c r="HP36" s="326"/>
      <c r="HQ36" s="326"/>
      <c r="HR36" s="326"/>
      <c r="HS36" s="326"/>
      <c r="HT36" s="326"/>
      <c r="HU36" s="326"/>
      <c r="HV36" s="326"/>
      <c r="HW36" s="326"/>
      <c r="HX36" s="326"/>
      <c r="HY36" s="326"/>
      <c r="HZ36" s="326"/>
      <c r="IA36" s="326"/>
      <c r="IB36" s="326"/>
      <c r="IC36" s="326"/>
      <c r="ID36" s="326"/>
      <c r="IE36" s="326"/>
      <c r="IF36" s="326"/>
      <c r="IG36" s="326"/>
      <c r="IH36" s="326"/>
      <c r="II36" s="326"/>
      <c r="IJ36" s="326"/>
      <c r="IK36" s="326"/>
      <c r="IL36" s="326"/>
      <c r="IM36" s="326"/>
      <c r="IN36" s="326"/>
      <c r="IO36" s="326"/>
      <c r="IP36" s="326"/>
      <c r="IQ36" s="326"/>
      <c r="IR36" s="326"/>
      <c r="IS36" s="326"/>
      <c r="IT36" s="326"/>
      <c r="IU36" s="326"/>
      <c r="IV36" s="326"/>
    </row>
    <row r="37" spans="1:16" ht="18" customHeight="1">
      <c r="A37" s="574">
        <v>28</v>
      </c>
      <c r="B37" s="466"/>
      <c r="C37" s="366"/>
      <c r="D37" s="1324" t="s">
        <v>283</v>
      </c>
      <c r="E37" s="335">
        <f>F37+G37+O40+P37</f>
        <v>307836</v>
      </c>
      <c r="F37" s="564">
        <f>1024+40</f>
        <v>1064</v>
      </c>
      <c r="G37" s="336">
        <v>908</v>
      </c>
      <c r="H37" s="773"/>
      <c r="I37" s="771"/>
      <c r="J37" s="764"/>
      <c r="K37" s="764">
        <v>474</v>
      </c>
      <c r="L37" s="764"/>
      <c r="M37" s="764">
        <v>305390</v>
      </c>
      <c r="N37" s="784"/>
      <c r="O37" s="758">
        <f>SUM(I37:N37)</f>
        <v>305864</v>
      </c>
      <c r="P37" s="565"/>
    </row>
    <row r="38" spans="1:16" ht="18" customHeight="1">
      <c r="A38" s="574">
        <v>29</v>
      </c>
      <c r="B38" s="466"/>
      <c r="C38" s="366"/>
      <c r="D38" s="483" t="s">
        <v>938</v>
      </c>
      <c r="E38" s="335"/>
      <c r="F38" s="564"/>
      <c r="G38" s="336"/>
      <c r="H38" s="773"/>
      <c r="I38" s="771"/>
      <c r="J38" s="764"/>
      <c r="K38" s="1309">
        <v>1681</v>
      </c>
      <c r="L38" s="1309"/>
      <c r="M38" s="1309">
        <v>304183</v>
      </c>
      <c r="N38" s="561"/>
      <c r="O38" s="569">
        <f>SUM(I38:N38)</f>
        <v>305864</v>
      </c>
      <c r="P38" s="565"/>
    </row>
    <row r="39" spans="1:16" ht="18" customHeight="1">
      <c r="A39" s="574">
        <v>30</v>
      </c>
      <c r="B39" s="466"/>
      <c r="C39" s="366"/>
      <c r="D39" s="1146" t="s">
        <v>725</v>
      </c>
      <c r="E39" s="335"/>
      <c r="F39" s="564"/>
      <c r="G39" s="336"/>
      <c r="H39" s="773"/>
      <c r="I39" s="771"/>
      <c r="J39" s="764"/>
      <c r="K39" s="1306"/>
      <c r="L39" s="1306"/>
      <c r="M39" s="1306"/>
      <c r="N39" s="784"/>
      <c r="O39" s="1307">
        <f>SUM(I39:N39)</f>
        <v>0</v>
      </c>
      <c r="P39" s="565"/>
    </row>
    <row r="40" spans="1:16" ht="18" customHeight="1">
      <c r="A40" s="574">
        <v>31</v>
      </c>
      <c r="B40" s="466"/>
      <c r="C40" s="366"/>
      <c r="D40" s="483" t="s">
        <v>1091</v>
      </c>
      <c r="E40" s="335"/>
      <c r="F40" s="564"/>
      <c r="G40" s="336"/>
      <c r="H40" s="773"/>
      <c r="I40" s="771"/>
      <c r="J40" s="764"/>
      <c r="K40" s="1309">
        <f>SUM(K38:K39)</f>
        <v>1681</v>
      </c>
      <c r="L40" s="1309"/>
      <c r="M40" s="1309">
        <f>SUM(M38:M39)</f>
        <v>304183</v>
      </c>
      <c r="N40" s="784"/>
      <c r="O40" s="569">
        <f>SUM(I40:N40)</f>
        <v>305864</v>
      </c>
      <c r="P40" s="565"/>
    </row>
    <row r="41" spans="1:256" s="560" customFormat="1" ht="33">
      <c r="A41" s="574">
        <v>32</v>
      </c>
      <c r="B41" s="568"/>
      <c r="C41" s="327">
        <v>7</v>
      </c>
      <c r="D41" s="329" t="s">
        <v>437</v>
      </c>
      <c r="E41" s="335"/>
      <c r="F41" s="564"/>
      <c r="G41" s="336"/>
      <c r="H41" s="795" t="s">
        <v>23</v>
      </c>
      <c r="I41" s="771"/>
      <c r="J41" s="764"/>
      <c r="K41" s="764"/>
      <c r="L41" s="764"/>
      <c r="M41" s="764"/>
      <c r="N41" s="784"/>
      <c r="O41" s="758"/>
      <c r="P41" s="565"/>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6"/>
      <c r="DE41" s="326"/>
      <c r="DF41" s="326"/>
      <c r="DG41" s="326"/>
      <c r="DH41" s="326"/>
      <c r="DI41" s="326"/>
      <c r="DJ41" s="326"/>
      <c r="DK41" s="326"/>
      <c r="DL41" s="326"/>
      <c r="DM41" s="326"/>
      <c r="DN41" s="326"/>
      <c r="DO41" s="326"/>
      <c r="DP41" s="326"/>
      <c r="DQ41" s="326"/>
      <c r="DR41" s="326"/>
      <c r="DS41" s="326"/>
      <c r="DT41" s="326"/>
      <c r="DU41" s="326"/>
      <c r="DV41" s="326"/>
      <c r="DW41" s="326"/>
      <c r="DX41" s="326"/>
      <c r="DY41" s="326"/>
      <c r="DZ41" s="326"/>
      <c r="EA41" s="326"/>
      <c r="EB41" s="326"/>
      <c r="EC41" s="326"/>
      <c r="ED41" s="326"/>
      <c r="EE41" s="326"/>
      <c r="EF41" s="326"/>
      <c r="EG41" s="326"/>
      <c r="EH41" s="326"/>
      <c r="EI41" s="326"/>
      <c r="EJ41" s="326"/>
      <c r="EK41" s="326"/>
      <c r="EL41" s="326"/>
      <c r="EM41" s="326"/>
      <c r="EN41" s="326"/>
      <c r="EO41" s="326"/>
      <c r="EP41" s="326"/>
      <c r="EQ41" s="326"/>
      <c r="ER41" s="326"/>
      <c r="ES41" s="326"/>
      <c r="ET41" s="326"/>
      <c r="EU41" s="326"/>
      <c r="EV41" s="326"/>
      <c r="EW41" s="326"/>
      <c r="EX41" s="326"/>
      <c r="EY41" s="326"/>
      <c r="EZ41" s="326"/>
      <c r="FA41" s="326"/>
      <c r="FB41" s="326"/>
      <c r="FC41" s="326"/>
      <c r="FD41" s="326"/>
      <c r="FE41" s="326"/>
      <c r="FF41" s="326"/>
      <c r="FG41" s="326"/>
      <c r="FH41" s="326"/>
      <c r="FI41" s="326"/>
      <c r="FJ41" s="326"/>
      <c r="FK41" s="326"/>
      <c r="FL41" s="326"/>
      <c r="FM41" s="326"/>
      <c r="FN41" s="326"/>
      <c r="FO41" s="326"/>
      <c r="FP41" s="326"/>
      <c r="FQ41" s="326"/>
      <c r="FR41" s="326"/>
      <c r="FS41" s="326"/>
      <c r="FT41" s="326"/>
      <c r="FU41" s="326"/>
      <c r="FV41" s="326"/>
      <c r="FW41" s="326"/>
      <c r="FX41" s="326"/>
      <c r="FY41" s="326"/>
      <c r="FZ41" s="326"/>
      <c r="GA41" s="326"/>
      <c r="GB41" s="326"/>
      <c r="GC41" s="326"/>
      <c r="GD41" s="326"/>
      <c r="GE41" s="326"/>
      <c r="GF41" s="326"/>
      <c r="GG41" s="326"/>
      <c r="GH41" s="326"/>
      <c r="GI41" s="326"/>
      <c r="GJ41" s="326"/>
      <c r="GK41" s="326"/>
      <c r="GL41" s="326"/>
      <c r="GM41" s="326"/>
      <c r="GN41" s="326"/>
      <c r="GO41" s="326"/>
      <c r="GP41" s="326"/>
      <c r="GQ41" s="326"/>
      <c r="GR41" s="326"/>
      <c r="GS41" s="326"/>
      <c r="GT41" s="326"/>
      <c r="GU41" s="326"/>
      <c r="GV41" s="326"/>
      <c r="GW41" s="326"/>
      <c r="GX41" s="326"/>
      <c r="GY41" s="326"/>
      <c r="GZ41" s="326"/>
      <c r="HA41" s="326"/>
      <c r="HB41" s="326"/>
      <c r="HC41" s="326"/>
      <c r="HD41" s="326"/>
      <c r="HE41" s="326"/>
      <c r="HF41" s="326"/>
      <c r="HG41" s="326"/>
      <c r="HH41" s="326"/>
      <c r="HI41" s="326"/>
      <c r="HJ41" s="326"/>
      <c r="HK41" s="326"/>
      <c r="HL41" s="326"/>
      <c r="HM41" s="326"/>
      <c r="HN41" s="326"/>
      <c r="HO41" s="326"/>
      <c r="HP41" s="326"/>
      <c r="HQ41" s="326"/>
      <c r="HR41" s="326"/>
      <c r="HS41" s="326"/>
      <c r="HT41" s="326"/>
      <c r="HU41" s="326"/>
      <c r="HV41" s="326"/>
      <c r="HW41" s="326"/>
      <c r="HX41" s="326"/>
      <c r="HY41" s="326"/>
      <c r="HZ41" s="326"/>
      <c r="IA41" s="326"/>
      <c r="IB41" s="326"/>
      <c r="IC41" s="326"/>
      <c r="ID41" s="326"/>
      <c r="IE41" s="326"/>
      <c r="IF41" s="326"/>
      <c r="IG41" s="326"/>
      <c r="IH41" s="326"/>
      <c r="II41" s="326"/>
      <c r="IJ41" s="326"/>
      <c r="IK41" s="326"/>
      <c r="IL41" s="326"/>
      <c r="IM41" s="326"/>
      <c r="IN41" s="326"/>
      <c r="IO41" s="326"/>
      <c r="IP41" s="326"/>
      <c r="IQ41" s="326"/>
      <c r="IR41" s="326"/>
      <c r="IS41" s="326"/>
      <c r="IT41" s="326"/>
      <c r="IU41" s="326"/>
      <c r="IV41" s="326"/>
    </row>
    <row r="42" spans="1:16" ht="18" customHeight="1">
      <c r="A42" s="574">
        <v>33</v>
      </c>
      <c r="B42" s="466"/>
      <c r="C42" s="366"/>
      <c r="D42" s="1324" t="s">
        <v>283</v>
      </c>
      <c r="E42" s="335">
        <f>F42+G42+O45+P42</f>
        <v>303451</v>
      </c>
      <c r="F42" s="564">
        <f>6401+100</f>
        <v>6501</v>
      </c>
      <c r="G42" s="336">
        <v>128</v>
      </c>
      <c r="H42" s="773"/>
      <c r="I42" s="771"/>
      <c r="J42" s="764"/>
      <c r="K42" s="764">
        <v>150</v>
      </c>
      <c r="L42" s="764"/>
      <c r="M42" s="764">
        <v>296202</v>
      </c>
      <c r="N42" s="784"/>
      <c r="O42" s="758">
        <f>SUM(I42:N42)</f>
        <v>296352</v>
      </c>
      <c r="P42" s="565"/>
    </row>
    <row r="43" spans="1:16" ht="18" customHeight="1">
      <c r="A43" s="574">
        <v>34</v>
      </c>
      <c r="B43" s="466"/>
      <c r="C43" s="366"/>
      <c r="D43" s="483" t="s">
        <v>938</v>
      </c>
      <c r="E43" s="335"/>
      <c r="F43" s="564"/>
      <c r="G43" s="336"/>
      <c r="H43" s="773"/>
      <c r="I43" s="771"/>
      <c r="J43" s="764"/>
      <c r="K43" s="1309">
        <v>253</v>
      </c>
      <c r="L43" s="1309"/>
      <c r="M43" s="1309">
        <v>296569</v>
      </c>
      <c r="N43" s="561"/>
      <c r="O43" s="569">
        <f>SUM(I43:N43)</f>
        <v>296822</v>
      </c>
      <c r="P43" s="565"/>
    </row>
    <row r="44" spans="1:16" ht="18" customHeight="1">
      <c r="A44" s="574">
        <v>35</v>
      </c>
      <c r="B44" s="466"/>
      <c r="C44" s="366"/>
      <c r="D44" s="1146" t="s">
        <v>674</v>
      </c>
      <c r="E44" s="335"/>
      <c r="F44" s="564"/>
      <c r="G44" s="336"/>
      <c r="H44" s="773"/>
      <c r="I44" s="771"/>
      <c r="J44" s="764"/>
      <c r="K44" s="1306"/>
      <c r="L44" s="1306"/>
      <c r="M44" s="1306"/>
      <c r="N44" s="1306"/>
      <c r="O44" s="1307">
        <f>SUM(I44:N44)</f>
        <v>0</v>
      </c>
      <c r="P44" s="565"/>
    </row>
    <row r="45" spans="1:16" ht="18" customHeight="1">
      <c r="A45" s="574">
        <v>36</v>
      </c>
      <c r="B45" s="466"/>
      <c r="C45" s="366"/>
      <c r="D45" s="483" t="s">
        <v>1091</v>
      </c>
      <c r="E45" s="335"/>
      <c r="F45" s="564"/>
      <c r="G45" s="336"/>
      <c r="H45" s="773"/>
      <c r="I45" s="771"/>
      <c r="J45" s="764"/>
      <c r="K45" s="1309">
        <f>SUM(K43:K44)</f>
        <v>253</v>
      </c>
      <c r="L45" s="1309"/>
      <c r="M45" s="1309">
        <f>SUM(M43:M44)</f>
        <v>296569</v>
      </c>
      <c r="N45" s="784"/>
      <c r="O45" s="569">
        <f>SUM(I45:N45)</f>
        <v>296822</v>
      </c>
      <c r="P45" s="565"/>
    </row>
    <row r="46" spans="1:16" ht="33">
      <c r="A46" s="574">
        <v>37</v>
      </c>
      <c r="B46" s="466"/>
      <c r="C46" s="327">
        <v>8</v>
      </c>
      <c r="D46" s="329" t="s">
        <v>440</v>
      </c>
      <c r="E46" s="335"/>
      <c r="F46" s="564"/>
      <c r="G46" s="336"/>
      <c r="H46" s="773" t="s">
        <v>23</v>
      </c>
      <c r="I46" s="771"/>
      <c r="J46" s="764"/>
      <c r="K46" s="764"/>
      <c r="L46" s="764"/>
      <c r="M46" s="764"/>
      <c r="N46" s="784"/>
      <c r="O46" s="758"/>
      <c r="P46" s="565"/>
    </row>
    <row r="47" spans="1:256" s="560" customFormat="1" ht="18" customHeight="1">
      <c r="A47" s="574">
        <v>38</v>
      </c>
      <c r="B47" s="568"/>
      <c r="C47" s="327"/>
      <c r="D47" s="1324" t="s">
        <v>283</v>
      </c>
      <c r="E47" s="335">
        <f>F47+G47+O50+P47</f>
        <v>3583000</v>
      </c>
      <c r="F47" s="564">
        <f>450951+1231269</f>
        <v>1682220</v>
      </c>
      <c r="G47" s="336">
        <v>1173643</v>
      </c>
      <c r="H47" s="773"/>
      <c r="I47" s="771"/>
      <c r="J47" s="764"/>
      <c r="K47" s="764">
        <v>712</v>
      </c>
      <c r="L47" s="764"/>
      <c r="M47" s="764">
        <v>740425</v>
      </c>
      <c r="N47" s="784"/>
      <c r="O47" s="758">
        <f>SUM(I47:N47)</f>
        <v>741137</v>
      </c>
      <c r="P47" s="565"/>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6"/>
      <c r="EA47" s="326"/>
      <c r="EB47" s="326"/>
      <c r="EC47" s="326"/>
      <c r="ED47" s="326"/>
      <c r="EE47" s="326"/>
      <c r="EF47" s="326"/>
      <c r="EG47" s="326"/>
      <c r="EH47" s="326"/>
      <c r="EI47" s="326"/>
      <c r="EJ47" s="326"/>
      <c r="EK47" s="326"/>
      <c r="EL47" s="326"/>
      <c r="EM47" s="326"/>
      <c r="EN47" s="326"/>
      <c r="EO47" s="326"/>
      <c r="EP47" s="326"/>
      <c r="EQ47" s="326"/>
      <c r="ER47" s="326"/>
      <c r="ES47" s="326"/>
      <c r="ET47" s="326"/>
      <c r="EU47" s="326"/>
      <c r="EV47" s="326"/>
      <c r="EW47" s="326"/>
      <c r="EX47" s="326"/>
      <c r="EY47" s="326"/>
      <c r="EZ47" s="326"/>
      <c r="FA47" s="326"/>
      <c r="FB47" s="326"/>
      <c r="FC47" s="326"/>
      <c r="FD47" s="326"/>
      <c r="FE47" s="326"/>
      <c r="FF47" s="326"/>
      <c r="FG47" s="326"/>
      <c r="FH47" s="326"/>
      <c r="FI47" s="326"/>
      <c r="FJ47" s="326"/>
      <c r="FK47" s="326"/>
      <c r="FL47" s="326"/>
      <c r="FM47" s="326"/>
      <c r="FN47" s="326"/>
      <c r="FO47" s="326"/>
      <c r="FP47" s="326"/>
      <c r="FQ47" s="326"/>
      <c r="FR47" s="326"/>
      <c r="FS47" s="326"/>
      <c r="FT47" s="326"/>
      <c r="FU47" s="326"/>
      <c r="FV47" s="326"/>
      <c r="FW47" s="326"/>
      <c r="FX47" s="326"/>
      <c r="FY47" s="326"/>
      <c r="FZ47" s="326"/>
      <c r="GA47" s="326"/>
      <c r="GB47" s="326"/>
      <c r="GC47" s="326"/>
      <c r="GD47" s="326"/>
      <c r="GE47" s="326"/>
      <c r="GF47" s="326"/>
      <c r="GG47" s="326"/>
      <c r="GH47" s="326"/>
      <c r="GI47" s="326"/>
      <c r="GJ47" s="326"/>
      <c r="GK47" s="326"/>
      <c r="GL47" s="326"/>
      <c r="GM47" s="326"/>
      <c r="GN47" s="326"/>
      <c r="GO47" s="326"/>
      <c r="GP47" s="326"/>
      <c r="GQ47" s="326"/>
      <c r="GR47" s="326"/>
      <c r="GS47" s="326"/>
      <c r="GT47" s="326"/>
      <c r="GU47" s="326"/>
      <c r="GV47" s="326"/>
      <c r="GW47" s="326"/>
      <c r="GX47" s="326"/>
      <c r="GY47" s="326"/>
      <c r="GZ47" s="326"/>
      <c r="HA47" s="326"/>
      <c r="HB47" s="326"/>
      <c r="HC47" s="326"/>
      <c r="HD47" s="326"/>
      <c r="HE47" s="326"/>
      <c r="HF47" s="326"/>
      <c r="HG47" s="326"/>
      <c r="HH47" s="326"/>
      <c r="HI47" s="326"/>
      <c r="HJ47" s="326"/>
      <c r="HK47" s="326"/>
      <c r="HL47" s="326"/>
      <c r="HM47" s="326"/>
      <c r="HN47" s="326"/>
      <c r="HO47" s="326"/>
      <c r="HP47" s="326"/>
      <c r="HQ47" s="326"/>
      <c r="HR47" s="326"/>
      <c r="HS47" s="326"/>
      <c r="HT47" s="326"/>
      <c r="HU47" s="326"/>
      <c r="HV47" s="326"/>
      <c r="HW47" s="326"/>
      <c r="HX47" s="326"/>
      <c r="HY47" s="326"/>
      <c r="HZ47" s="326"/>
      <c r="IA47" s="326"/>
      <c r="IB47" s="326"/>
      <c r="IC47" s="326"/>
      <c r="ID47" s="326"/>
      <c r="IE47" s="326"/>
      <c r="IF47" s="326"/>
      <c r="IG47" s="326"/>
      <c r="IH47" s="326"/>
      <c r="II47" s="326"/>
      <c r="IJ47" s="326"/>
      <c r="IK47" s="326"/>
      <c r="IL47" s="326"/>
      <c r="IM47" s="326"/>
      <c r="IN47" s="326"/>
      <c r="IO47" s="326"/>
      <c r="IP47" s="326"/>
      <c r="IQ47" s="326"/>
      <c r="IR47" s="326"/>
      <c r="IS47" s="326"/>
      <c r="IT47" s="326"/>
      <c r="IU47" s="326"/>
      <c r="IV47" s="326"/>
    </row>
    <row r="48" spans="1:256" s="560" customFormat="1" ht="18" customHeight="1">
      <c r="A48" s="574">
        <v>39</v>
      </c>
      <c r="B48" s="568"/>
      <c r="C48" s="327"/>
      <c r="D48" s="483" t="s">
        <v>938</v>
      </c>
      <c r="E48" s="335"/>
      <c r="F48" s="564"/>
      <c r="G48" s="336"/>
      <c r="H48" s="773"/>
      <c r="I48" s="771"/>
      <c r="J48" s="764"/>
      <c r="K48" s="1309">
        <v>815</v>
      </c>
      <c r="L48" s="1309"/>
      <c r="M48" s="1309">
        <f>740322-14000</f>
        <v>726322</v>
      </c>
      <c r="N48" s="561"/>
      <c r="O48" s="569">
        <f>SUM(I48:N48)</f>
        <v>727137</v>
      </c>
      <c r="P48" s="565"/>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c r="DE48" s="326"/>
      <c r="DF48" s="326"/>
      <c r="DG48" s="326"/>
      <c r="DH48" s="326"/>
      <c r="DI48" s="326"/>
      <c r="DJ48" s="326"/>
      <c r="DK48" s="326"/>
      <c r="DL48" s="326"/>
      <c r="DM48" s="326"/>
      <c r="DN48" s="326"/>
      <c r="DO48" s="326"/>
      <c r="DP48" s="326"/>
      <c r="DQ48" s="326"/>
      <c r="DR48" s="326"/>
      <c r="DS48" s="326"/>
      <c r="DT48" s="326"/>
      <c r="DU48" s="326"/>
      <c r="DV48" s="326"/>
      <c r="DW48" s="326"/>
      <c r="DX48" s="326"/>
      <c r="DY48" s="326"/>
      <c r="DZ48" s="326"/>
      <c r="EA48" s="326"/>
      <c r="EB48" s="326"/>
      <c r="EC48" s="326"/>
      <c r="ED48" s="326"/>
      <c r="EE48" s="326"/>
      <c r="EF48" s="326"/>
      <c r="EG48" s="326"/>
      <c r="EH48" s="326"/>
      <c r="EI48" s="326"/>
      <c r="EJ48" s="326"/>
      <c r="EK48" s="326"/>
      <c r="EL48" s="326"/>
      <c r="EM48" s="326"/>
      <c r="EN48" s="326"/>
      <c r="EO48" s="326"/>
      <c r="EP48" s="326"/>
      <c r="EQ48" s="326"/>
      <c r="ER48" s="326"/>
      <c r="ES48" s="326"/>
      <c r="ET48" s="326"/>
      <c r="EU48" s="326"/>
      <c r="EV48" s="326"/>
      <c r="EW48" s="326"/>
      <c r="EX48" s="326"/>
      <c r="EY48" s="326"/>
      <c r="EZ48" s="326"/>
      <c r="FA48" s="326"/>
      <c r="FB48" s="326"/>
      <c r="FC48" s="326"/>
      <c r="FD48" s="326"/>
      <c r="FE48" s="326"/>
      <c r="FF48" s="326"/>
      <c r="FG48" s="326"/>
      <c r="FH48" s="326"/>
      <c r="FI48" s="326"/>
      <c r="FJ48" s="326"/>
      <c r="FK48" s="326"/>
      <c r="FL48" s="326"/>
      <c r="FM48" s="326"/>
      <c r="FN48" s="326"/>
      <c r="FO48" s="326"/>
      <c r="FP48" s="326"/>
      <c r="FQ48" s="326"/>
      <c r="FR48" s="326"/>
      <c r="FS48" s="326"/>
      <c r="FT48" s="326"/>
      <c r="FU48" s="326"/>
      <c r="FV48" s="326"/>
      <c r="FW48" s="326"/>
      <c r="FX48" s="326"/>
      <c r="FY48" s="326"/>
      <c r="FZ48" s="326"/>
      <c r="GA48" s="326"/>
      <c r="GB48" s="326"/>
      <c r="GC48" s="326"/>
      <c r="GD48" s="326"/>
      <c r="GE48" s="326"/>
      <c r="GF48" s="326"/>
      <c r="GG48" s="326"/>
      <c r="GH48" s="326"/>
      <c r="GI48" s="326"/>
      <c r="GJ48" s="326"/>
      <c r="GK48" s="326"/>
      <c r="GL48" s="326"/>
      <c r="GM48" s="326"/>
      <c r="GN48" s="326"/>
      <c r="GO48" s="326"/>
      <c r="GP48" s="326"/>
      <c r="GQ48" s="326"/>
      <c r="GR48" s="326"/>
      <c r="GS48" s="326"/>
      <c r="GT48" s="326"/>
      <c r="GU48" s="326"/>
      <c r="GV48" s="326"/>
      <c r="GW48" s="326"/>
      <c r="GX48" s="326"/>
      <c r="GY48" s="326"/>
      <c r="GZ48" s="326"/>
      <c r="HA48" s="326"/>
      <c r="HB48" s="326"/>
      <c r="HC48" s="326"/>
      <c r="HD48" s="326"/>
      <c r="HE48" s="326"/>
      <c r="HF48" s="326"/>
      <c r="HG48" s="326"/>
      <c r="HH48" s="326"/>
      <c r="HI48" s="326"/>
      <c r="HJ48" s="326"/>
      <c r="HK48" s="326"/>
      <c r="HL48" s="326"/>
      <c r="HM48" s="326"/>
      <c r="HN48" s="326"/>
      <c r="HO48" s="326"/>
      <c r="HP48" s="326"/>
      <c r="HQ48" s="326"/>
      <c r="HR48" s="326"/>
      <c r="HS48" s="326"/>
      <c r="HT48" s="326"/>
      <c r="HU48" s="326"/>
      <c r="HV48" s="326"/>
      <c r="HW48" s="326"/>
      <c r="HX48" s="326"/>
      <c r="HY48" s="326"/>
      <c r="HZ48" s="326"/>
      <c r="IA48" s="326"/>
      <c r="IB48" s="326"/>
      <c r="IC48" s="326"/>
      <c r="ID48" s="326"/>
      <c r="IE48" s="326"/>
      <c r="IF48" s="326"/>
      <c r="IG48" s="326"/>
      <c r="IH48" s="326"/>
      <c r="II48" s="326"/>
      <c r="IJ48" s="326"/>
      <c r="IK48" s="326"/>
      <c r="IL48" s="326"/>
      <c r="IM48" s="326"/>
      <c r="IN48" s="326"/>
      <c r="IO48" s="326"/>
      <c r="IP48" s="326"/>
      <c r="IQ48" s="326"/>
      <c r="IR48" s="326"/>
      <c r="IS48" s="326"/>
      <c r="IT48" s="326"/>
      <c r="IU48" s="326"/>
      <c r="IV48" s="326"/>
    </row>
    <row r="49" spans="1:256" s="560" customFormat="1" ht="18" customHeight="1">
      <c r="A49" s="574">
        <v>40</v>
      </c>
      <c r="B49" s="568"/>
      <c r="C49" s="327"/>
      <c r="D49" s="1146" t="s">
        <v>689</v>
      </c>
      <c r="E49" s="335"/>
      <c r="F49" s="564"/>
      <c r="G49" s="336"/>
      <c r="H49" s="773"/>
      <c r="I49" s="771"/>
      <c r="J49" s="764"/>
      <c r="K49" s="1306">
        <v>260</v>
      </c>
      <c r="L49" s="1306"/>
      <c r="M49" s="1306">
        <v>-260</v>
      </c>
      <c r="N49" s="784"/>
      <c r="O49" s="1307">
        <f>SUM(I49:N49)</f>
        <v>0</v>
      </c>
      <c r="P49" s="565"/>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6"/>
      <c r="DE49" s="326"/>
      <c r="DF49" s="326"/>
      <c r="DG49" s="326"/>
      <c r="DH49" s="326"/>
      <c r="DI49" s="326"/>
      <c r="DJ49" s="326"/>
      <c r="DK49" s="326"/>
      <c r="DL49" s="326"/>
      <c r="DM49" s="326"/>
      <c r="DN49" s="326"/>
      <c r="DO49" s="326"/>
      <c r="DP49" s="326"/>
      <c r="DQ49" s="326"/>
      <c r="DR49" s="326"/>
      <c r="DS49" s="326"/>
      <c r="DT49" s="326"/>
      <c r="DU49" s="326"/>
      <c r="DV49" s="326"/>
      <c r="DW49" s="326"/>
      <c r="DX49" s="326"/>
      <c r="DY49" s="326"/>
      <c r="DZ49" s="326"/>
      <c r="EA49" s="326"/>
      <c r="EB49" s="326"/>
      <c r="EC49" s="326"/>
      <c r="ED49" s="326"/>
      <c r="EE49" s="326"/>
      <c r="EF49" s="326"/>
      <c r="EG49" s="326"/>
      <c r="EH49" s="326"/>
      <c r="EI49" s="326"/>
      <c r="EJ49" s="326"/>
      <c r="EK49" s="326"/>
      <c r="EL49" s="326"/>
      <c r="EM49" s="326"/>
      <c r="EN49" s="326"/>
      <c r="EO49" s="326"/>
      <c r="EP49" s="326"/>
      <c r="EQ49" s="326"/>
      <c r="ER49" s="326"/>
      <c r="ES49" s="326"/>
      <c r="ET49" s="326"/>
      <c r="EU49" s="326"/>
      <c r="EV49" s="326"/>
      <c r="EW49" s="326"/>
      <c r="EX49" s="326"/>
      <c r="EY49" s="326"/>
      <c r="EZ49" s="326"/>
      <c r="FA49" s="326"/>
      <c r="FB49" s="326"/>
      <c r="FC49" s="326"/>
      <c r="FD49" s="326"/>
      <c r="FE49" s="326"/>
      <c r="FF49" s="326"/>
      <c r="FG49" s="326"/>
      <c r="FH49" s="326"/>
      <c r="FI49" s="326"/>
      <c r="FJ49" s="326"/>
      <c r="FK49" s="326"/>
      <c r="FL49" s="326"/>
      <c r="FM49" s="326"/>
      <c r="FN49" s="326"/>
      <c r="FO49" s="326"/>
      <c r="FP49" s="326"/>
      <c r="FQ49" s="326"/>
      <c r="FR49" s="326"/>
      <c r="FS49" s="326"/>
      <c r="FT49" s="326"/>
      <c r="FU49" s="326"/>
      <c r="FV49" s="326"/>
      <c r="FW49" s="326"/>
      <c r="FX49" s="326"/>
      <c r="FY49" s="326"/>
      <c r="FZ49" s="326"/>
      <c r="GA49" s="326"/>
      <c r="GB49" s="326"/>
      <c r="GC49" s="326"/>
      <c r="GD49" s="326"/>
      <c r="GE49" s="326"/>
      <c r="GF49" s="326"/>
      <c r="GG49" s="326"/>
      <c r="GH49" s="326"/>
      <c r="GI49" s="326"/>
      <c r="GJ49" s="326"/>
      <c r="GK49" s="326"/>
      <c r="GL49" s="326"/>
      <c r="GM49" s="326"/>
      <c r="GN49" s="326"/>
      <c r="GO49" s="326"/>
      <c r="GP49" s="326"/>
      <c r="GQ49" s="326"/>
      <c r="GR49" s="326"/>
      <c r="GS49" s="326"/>
      <c r="GT49" s="326"/>
      <c r="GU49" s="326"/>
      <c r="GV49" s="326"/>
      <c r="GW49" s="326"/>
      <c r="GX49" s="326"/>
      <c r="GY49" s="326"/>
      <c r="GZ49" s="326"/>
      <c r="HA49" s="326"/>
      <c r="HB49" s="326"/>
      <c r="HC49" s="326"/>
      <c r="HD49" s="326"/>
      <c r="HE49" s="326"/>
      <c r="HF49" s="326"/>
      <c r="HG49" s="326"/>
      <c r="HH49" s="326"/>
      <c r="HI49" s="326"/>
      <c r="HJ49" s="326"/>
      <c r="HK49" s="326"/>
      <c r="HL49" s="326"/>
      <c r="HM49" s="326"/>
      <c r="HN49" s="326"/>
      <c r="HO49" s="326"/>
      <c r="HP49" s="326"/>
      <c r="HQ49" s="326"/>
      <c r="HR49" s="326"/>
      <c r="HS49" s="326"/>
      <c r="HT49" s="326"/>
      <c r="HU49" s="326"/>
      <c r="HV49" s="326"/>
      <c r="HW49" s="326"/>
      <c r="HX49" s="326"/>
      <c r="HY49" s="326"/>
      <c r="HZ49" s="326"/>
      <c r="IA49" s="326"/>
      <c r="IB49" s="326"/>
      <c r="IC49" s="326"/>
      <c r="ID49" s="326"/>
      <c r="IE49" s="326"/>
      <c r="IF49" s="326"/>
      <c r="IG49" s="326"/>
      <c r="IH49" s="326"/>
      <c r="II49" s="326"/>
      <c r="IJ49" s="326"/>
      <c r="IK49" s="326"/>
      <c r="IL49" s="326"/>
      <c r="IM49" s="326"/>
      <c r="IN49" s="326"/>
      <c r="IO49" s="326"/>
      <c r="IP49" s="326"/>
      <c r="IQ49" s="326"/>
      <c r="IR49" s="326"/>
      <c r="IS49" s="326"/>
      <c r="IT49" s="326"/>
      <c r="IU49" s="326"/>
      <c r="IV49" s="326"/>
    </row>
    <row r="50" spans="1:256" s="560" customFormat="1" ht="18" customHeight="1">
      <c r="A50" s="574">
        <v>41</v>
      </c>
      <c r="B50" s="568"/>
      <c r="C50" s="327"/>
      <c r="D50" s="483" t="s">
        <v>1091</v>
      </c>
      <c r="E50" s="335"/>
      <c r="F50" s="564"/>
      <c r="G50" s="336"/>
      <c r="H50" s="773"/>
      <c r="I50" s="771"/>
      <c r="J50" s="764"/>
      <c r="K50" s="1309">
        <f>SUM(K48:K49)</f>
        <v>1075</v>
      </c>
      <c r="L50" s="1309"/>
      <c r="M50" s="1309">
        <f>SUM(M48:M49)</f>
        <v>726062</v>
      </c>
      <c r="N50" s="784"/>
      <c r="O50" s="569">
        <f>SUM(I50:N50)</f>
        <v>727137</v>
      </c>
      <c r="P50" s="565"/>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c r="CO50" s="326"/>
      <c r="CP50" s="326"/>
      <c r="CQ50" s="326"/>
      <c r="CR50" s="326"/>
      <c r="CS50" s="326"/>
      <c r="CT50" s="326"/>
      <c r="CU50" s="326"/>
      <c r="CV50" s="326"/>
      <c r="CW50" s="326"/>
      <c r="CX50" s="326"/>
      <c r="CY50" s="326"/>
      <c r="CZ50" s="326"/>
      <c r="DA50" s="326"/>
      <c r="DB50" s="326"/>
      <c r="DC50" s="326"/>
      <c r="DD50" s="326"/>
      <c r="DE50" s="326"/>
      <c r="DF50" s="326"/>
      <c r="DG50" s="326"/>
      <c r="DH50" s="326"/>
      <c r="DI50" s="326"/>
      <c r="DJ50" s="326"/>
      <c r="DK50" s="326"/>
      <c r="DL50" s="326"/>
      <c r="DM50" s="326"/>
      <c r="DN50" s="326"/>
      <c r="DO50" s="326"/>
      <c r="DP50" s="326"/>
      <c r="DQ50" s="326"/>
      <c r="DR50" s="326"/>
      <c r="DS50" s="326"/>
      <c r="DT50" s="326"/>
      <c r="DU50" s="326"/>
      <c r="DV50" s="326"/>
      <c r="DW50" s="326"/>
      <c r="DX50" s="326"/>
      <c r="DY50" s="326"/>
      <c r="DZ50" s="326"/>
      <c r="EA50" s="326"/>
      <c r="EB50" s="326"/>
      <c r="EC50" s="326"/>
      <c r="ED50" s="326"/>
      <c r="EE50" s="326"/>
      <c r="EF50" s="326"/>
      <c r="EG50" s="326"/>
      <c r="EH50" s="326"/>
      <c r="EI50" s="326"/>
      <c r="EJ50" s="326"/>
      <c r="EK50" s="326"/>
      <c r="EL50" s="326"/>
      <c r="EM50" s="326"/>
      <c r="EN50" s="326"/>
      <c r="EO50" s="326"/>
      <c r="EP50" s="326"/>
      <c r="EQ50" s="326"/>
      <c r="ER50" s="326"/>
      <c r="ES50" s="326"/>
      <c r="ET50" s="326"/>
      <c r="EU50" s="326"/>
      <c r="EV50" s="326"/>
      <c r="EW50" s="326"/>
      <c r="EX50" s="326"/>
      <c r="EY50" s="326"/>
      <c r="EZ50" s="326"/>
      <c r="FA50" s="326"/>
      <c r="FB50" s="326"/>
      <c r="FC50" s="326"/>
      <c r="FD50" s="326"/>
      <c r="FE50" s="326"/>
      <c r="FF50" s="326"/>
      <c r="FG50" s="326"/>
      <c r="FH50" s="326"/>
      <c r="FI50" s="326"/>
      <c r="FJ50" s="326"/>
      <c r="FK50" s="326"/>
      <c r="FL50" s="326"/>
      <c r="FM50" s="326"/>
      <c r="FN50" s="326"/>
      <c r="FO50" s="326"/>
      <c r="FP50" s="326"/>
      <c r="FQ50" s="326"/>
      <c r="FR50" s="326"/>
      <c r="FS50" s="326"/>
      <c r="FT50" s="326"/>
      <c r="FU50" s="326"/>
      <c r="FV50" s="326"/>
      <c r="FW50" s="326"/>
      <c r="FX50" s="326"/>
      <c r="FY50" s="326"/>
      <c r="FZ50" s="326"/>
      <c r="GA50" s="326"/>
      <c r="GB50" s="326"/>
      <c r="GC50" s="326"/>
      <c r="GD50" s="326"/>
      <c r="GE50" s="326"/>
      <c r="GF50" s="326"/>
      <c r="GG50" s="326"/>
      <c r="GH50" s="326"/>
      <c r="GI50" s="326"/>
      <c r="GJ50" s="326"/>
      <c r="GK50" s="326"/>
      <c r="GL50" s="326"/>
      <c r="GM50" s="326"/>
      <c r="GN50" s="326"/>
      <c r="GO50" s="326"/>
      <c r="GP50" s="326"/>
      <c r="GQ50" s="326"/>
      <c r="GR50" s="326"/>
      <c r="GS50" s="326"/>
      <c r="GT50" s="326"/>
      <c r="GU50" s="326"/>
      <c r="GV50" s="326"/>
      <c r="GW50" s="326"/>
      <c r="GX50" s="326"/>
      <c r="GY50" s="326"/>
      <c r="GZ50" s="326"/>
      <c r="HA50" s="326"/>
      <c r="HB50" s="326"/>
      <c r="HC50" s="326"/>
      <c r="HD50" s="326"/>
      <c r="HE50" s="326"/>
      <c r="HF50" s="326"/>
      <c r="HG50" s="326"/>
      <c r="HH50" s="326"/>
      <c r="HI50" s="326"/>
      <c r="HJ50" s="326"/>
      <c r="HK50" s="326"/>
      <c r="HL50" s="326"/>
      <c r="HM50" s="326"/>
      <c r="HN50" s="326"/>
      <c r="HO50" s="326"/>
      <c r="HP50" s="326"/>
      <c r="HQ50" s="326"/>
      <c r="HR50" s="326"/>
      <c r="HS50" s="326"/>
      <c r="HT50" s="326"/>
      <c r="HU50" s="326"/>
      <c r="HV50" s="326"/>
      <c r="HW50" s="326"/>
      <c r="HX50" s="326"/>
      <c r="HY50" s="326"/>
      <c r="HZ50" s="326"/>
      <c r="IA50" s="326"/>
      <c r="IB50" s="326"/>
      <c r="IC50" s="326"/>
      <c r="ID50" s="326"/>
      <c r="IE50" s="326"/>
      <c r="IF50" s="326"/>
      <c r="IG50" s="326"/>
      <c r="IH50" s="326"/>
      <c r="II50" s="326"/>
      <c r="IJ50" s="326"/>
      <c r="IK50" s="326"/>
      <c r="IL50" s="326"/>
      <c r="IM50" s="326"/>
      <c r="IN50" s="326"/>
      <c r="IO50" s="326"/>
      <c r="IP50" s="326"/>
      <c r="IQ50" s="326"/>
      <c r="IR50" s="326"/>
      <c r="IS50" s="326"/>
      <c r="IT50" s="326"/>
      <c r="IU50" s="326"/>
      <c r="IV50" s="326"/>
    </row>
    <row r="51" spans="1:16" ht="33">
      <c r="A51" s="574">
        <v>42</v>
      </c>
      <c r="B51" s="466"/>
      <c r="C51" s="327">
        <v>9</v>
      </c>
      <c r="D51" s="329" t="s">
        <v>591</v>
      </c>
      <c r="E51" s="335"/>
      <c r="F51" s="564"/>
      <c r="G51" s="336"/>
      <c r="H51" s="773" t="s">
        <v>23</v>
      </c>
      <c r="I51" s="771"/>
      <c r="J51" s="764"/>
      <c r="K51" s="764"/>
      <c r="L51" s="764"/>
      <c r="M51" s="764"/>
      <c r="N51" s="784"/>
      <c r="O51" s="758"/>
      <c r="P51" s="565"/>
    </row>
    <row r="52" spans="1:256" s="560" customFormat="1" ht="18" customHeight="1">
      <c r="A52" s="574">
        <v>43</v>
      </c>
      <c r="B52" s="568"/>
      <c r="C52" s="366"/>
      <c r="D52" s="1324" t="s">
        <v>283</v>
      </c>
      <c r="E52" s="335">
        <f>F52+G52+O55+P52+6000</f>
        <v>240183</v>
      </c>
      <c r="F52" s="564">
        <f>9749+3835</f>
        <v>13584</v>
      </c>
      <c r="G52" s="336">
        <f>1005+6692</f>
        <v>7697</v>
      </c>
      <c r="H52" s="773"/>
      <c r="I52" s="771"/>
      <c r="J52" s="764"/>
      <c r="K52" s="764">
        <v>2010</v>
      </c>
      <c r="L52" s="764"/>
      <c r="M52" s="764">
        <v>217584</v>
      </c>
      <c r="N52" s="784"/>
      <c r="O52" s="758">
        <f>SUM(I52:N52)</f>
        <v>219594</v>
      </c>
      <c r="P52" s="565"/>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326"/>
      <c r="DD52" s="326"/>
      <c r="DE52" s="326"/>
      <c r="DF52" s="326"/>
      <c r="DG52" s="326"/>
      <c r="DH52" s="326"/>
      <c r="DI52" s="326"/>
      <c r="DJ52" s="326"/>
      <c r="DK52" s="326"/>
      <c r="DL52" s="326"/>
      <c r="DM52" s="326"/>
      <c r="DN52" s="326"/>
      <c r="DO52" s="326"/>
      <c r="DP52" s="326"/>
      <c r="DQ52" s="326"/>
      <c r="DR52" s="326"/>
      <c r="DS52" s="326"/>
      <c r="DT52" s="326"/>
      <c r="DU52" s="326"/>
      <c r="DV52" s="326"/>
      <c r="DW52" s="326"/>
      <c r="DX52" s="326"/>
      <c r="DY52" s="326"/>
      <c r="DZ52" s="326"/>
      <c r="EA52" s="326"/>
      <c r="EB52" s="326"/>
      <c r="EC52" s="326"/>
      <c r="ED52" s="326"/>
      <c r="EE52" s="326"/>
      <c r="EF52" s="326"/>
      <c r="EG52" s="326"/>
      <c r="EH52" s="326"/>
      <c r="EI52" s="326"/>
      <c r="EJ52" s="326"/>
      <c r="EK52" s="326"/>
      <c r="EL52" s="326"/>
      <c r="EM52" s="326"/>
      <c r="EN52" s="326"/>
      <c r="EO52" s="326"/>
      <c r="EP52" s="326"/>
      <c r="EQ52" s="326"/>
      <c r="ER52" s="326"/>
      <c r="ES52" s="326"/>
      <c r="ET52" s="326"/>
      <c r="EU52" s="326"/>
      <c r="EV52" s="326"/>
      <c r="EW52" s="326"/>
      <c r="EX52" s="326"/>
      <c r="EY52" s="326"/>
      <c r="EZ52" s="326"/>
      <c r="FA52" s="326"/>
      <c r="FB52" s="326"/>
      <c r="FC52" s="326"/>
      <c r="FD52" s="326"/>
      <c r="FE52" s="326"/>
      <c r="FF52" s="326"/>
      <c r="FG52" s="326"/>
      <c r="FH52" s="326"/>
      <c r="FI52" s="326"/>
      <c r="FJ52" s="326"/>
      <c r="FK52" s="326"/>
      <c r="FL52" s="326"/>
      <c r="FM52" s="326"/>
      <c r="FN52" s="326"/>
      <c r="FO52" s="326"/>
      <c r="FP52" s="326"/>
      <c r="FQ52" s="326"/>
      <c r="FR52" s="326"/>
      <c r="FS52" s="326"/>
      <c r="FT52" s="326"/>
      <c r="FU52" s="326"/>
      <c r="FV52" s="326"/>
      <c r="FW52" s="326"/>
      <c r="FX52" s="326"/>
      <c r="FY52" s="326"/>
      <c r="FZ52" s="326"/>
      <c r="GA52" s="326"/>
      <c r="GB52" s="326"/>
      <c r="GC52" s="326"/>
      <c r="GD52" s="326"/>
      <c r="GE52" s="326"/>
      <c r="GF52" s="326"/>
      <c r="GG52" s="326"/>
      <c r="GH52" s="326"/>
      <c r="GI52" s="326"/>
      <c r="GJ52" s="326"/>
      <c r="GK52" s="326"/>
      <c r="GL52" s="326"/>
      <c r="GM52" s="326"/>
      <c r="GN52" s="326"/>
      <c r="GO52" s="326"/>
      <c r="GP52" s="326"/>
      <c r="GQ52" s="326"/>
      <c r="GR52" s="326"/>
      <c r="GS52" s="326"/>
      <c r="GT52" s="326"/>
      <c r="GU52" s="326"/>
      <c r="GV52" s="326"/>
      <c r="GW52" s="326"/>
      <c r="GX52" s="326"/>
      <c r="GY52" s="326"/>
      <c r="GZ52" s="326"/>
      <c r="HA52" s="326"/>
      <c r="HB52" s="326"/>
      <c r="HC52" s="326"/>
      <c r="HD52" s="326"/>
      <c r="HE52" s="326"/>
      <c r="HF52" s="326"/>
      <c r="HG52" s="326"/>
      <c r="HH52" s="326"/>
      <c r="HI52" s="326"/>
      <c r="HJ52" s="326"/>
      <c r="HK52" s="326"/>
      <c r="HL52" s="326"/>
      <c r="HM52" s="326"/>
      <c r="HN52" s="326"/>
      <c r="HO52" s="326"/>
      <c r="HP52" s="326"/>
      <c r="HQ52" s="326"/>
      <c r="HR52" s="326"/>
      <c r="HS52" s="326"/>
      <c r="HT52" s="326"/>
      <c r="HU52" s="326"/>
      <c r="HV52" s="326"/>
      <c r="HW52" s="326"/>
      <c r="HX52" s="326"/>
      <c r="HY52" s="326"/>
      <c r="HZ52" s="326"/>
      <c r="IA52" s="326"/>
      <c r="IB52" s="326"/>
      <c r="IC52" s="326"/>
      <c r="ID52" s="326"/>
      <c r="IE52" s="326"/>
      <c r="IF52" s="326"/>
      <c r="IG52" s="326"/>
      <c r="IH52" s="326"/>
      <c r="II52" s="326"/>
      <c r="IJ52" s="326"/>
      <c r="IK52" s="326"/>
      <c r="IL52" s="326"/>
      <c r="IM52" s="326"/>
      <c r="IN52" s="326"/>
      <c r="IO52" s="326"/>
      <c r="IP52" s="326"/>
      <c r="IQ52" s="326"/>
      <c r="IR52" s="326"/>
      <c r="IS52" s="326"/>
      <c r="IT52" s="326"/>
      <c r="IU52" s="326"/>
      <c r="IV52" s="326"/>
    </row>
    <row r="53" spans="1:256" s="560" customFormat="1" ht="18" customHeight="1">
      <c r="A53" s="574">
        <v>44</v>
      </c>
      <c r="B53" s="568"/>
      <c r="C53" s="366"/>
      <c r="D53" s="483" t="s">
        <v>938</v>
      </c>
      <c r="E53" s="335"/>
      <c r="F53" s="564"/>
      <c r="G53" s="336"/>
      <c r="H53" s="773"/>
      <c r="I53" s="771"/>
      <c r="J53" s="764"/>
      <c r="K53" s="1309">
        <v>2520</v>
      </c>
      <c r="L53" s="1309"/>
      <c r="M53" s="1309">
        <v>210382</v>
      </c>
      <c r="N53" s="561"/>
      <c r="O53" s="569">
        <f>SUM(I53:N53)</f>
        <v>212902</v>
      </c>
      <c r="P53" s="565"/>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c r="BO53" s="326"/>
      <c r="BP53" s="326"/>
      <c r="BQ53" s="326"/>
      <c r="BR53" s="326"/>
      <c r="BS53" s="326"/>
      <c r="BT53" s="326"/>
      <c r="BU53" s="326"/>
      <c r="BV53" s="326"/>
      <c r="BW53" s="326"/>
      <c r="BX53" s="326"/>
      <c r="BY53" s="326"/>
      <c r="BZ53" s="326"/>
      <c r="CA53" s="326"/>
      <c r="CB53" s="326"/>
      <c r="CC53" s="326"/>
      <c r="CD53" s="326"/>
      <c r="CE53" s="326"/>
      <c r="CF53" s="326"/>
      <c r="CG53" s="326"/>
      <c r="CH53" s="326"/>
      <c r="CI53" s="326"/>
      <c r="CJ53" s="326"/>
      <c r="CK53" s="326"/>
      <c r="CL53" s="326"/>
      <c r="CM53" s="326"/>
      <c r="CN53" s="326"/>
      <c r="CO53" s="326"/>
      <c r="CP53" s="326"/>
      <c r="CQ53" s="326"/>
      <c r="CR53" s="326"/>
      <c r="CS53" s="326"/>
      <c r="CT53" s="326"/>
      <c r="CU53" s="326"/>
      <c r="CV53" s="326"/>
      <c r="CW53" s="326"/>
      <c r="CX53" s="326"/>
      <c r="CY53" s="326"/>
      <c r="CZ53" s="326"/>
      <c r="DA53" s="326"/>
      <c r="DB53" s="326"/>
      <c r="DC53" s="326"/>
      <c r="DD53" s="326"/>
      <c r="DE53" s="326"/>
      <c r="DF53" s="326"/>
      <c r="DG53" s="326"/>
      <c r="DH53" s="326"/>
      <c r="DI53" s="326"/>
      <c r="DJ53" s="326"/>
      <c r="DK53" s="326"/>
      <c r="DL53" s="326"/>
      <c r="DM53" s="326"/>
      <c r="DN53" s="326"/>
      <c r="DO53" s="326"/>
      <c r="DP53" s="326"/>
      <c r="DQ53" s="326"/>
      <c r="DR53" s="326"/>
      <c r="DS53" s="326"/>
      <c r="DT53" s="326"/>
      <c r="DU53" s="326"/>
      <c r="DV53" s="326"/>
      <c r="DW53" s="326"/>
      <c r="DX53" s="326"/>
      <c r="DY53" s="326"/>
      <c r="DZ53" s="326"/>
      <c r="EA53" s="326"/>
      <c r="EB53" s="326"/>
      <c r="EC53" s="326"/>
      <c r="ED53" s="326"/>
      <c r="EE53" s="326"/>
      <c r="EF53" s="326"/>
      <c r="EG53" s="326"/>
      <c r="EH53" s="326"/>
      <c r="EI53" s="326"/>
      <c r="EJ53" s="326"/>
      <c r="EK53" s="326"/>
      <c r="EL53" s="326"/>
      <c r="EM53" s="326"/>
      <c r="EN53" s="326"/>
      <c r="EO53" s="326"/>
      <c r="EP53" s="326"/>
      <c r="EQ53" s="326"/>
      <c r="ER53" s="326"/>
      <c r="ES53" s="326"/>
      <c r="ET53" s="326"/>
      <c r="EU53" s="326"/>
      <c r="EV53" s="326"/>
      <c r="EW53" s="326"/>
      <c r="EX53" s="326"/>
      <c r="EY53" s="326"/>
      <c r="EZ53" s="326"/>
      <c r="FA53" s="326"/>
      <c r="FB53" s="326"/>
      <c r="FC53" s="326"/>
      <c r="FD53" s="326"/>
      <c r="FE53" s="326"/>
      <c r="FF53" s="326"/>
      <c r="FG53" s="326"/>
      <c r="FH53" s="326"/>
      <c r="FI53" s="326"/>
      <c r="FJ53" s="326"/>
      <c r="FK53" s="326"/>
      <c r="FL53" s="326"/>
      <c r="FM53" s="326"/>
      <c r="FN53" s="326"/>
      <c r="FO53" s="326"/>
      <c r="FP53" s="326"/>
      <c r="FQ53" s="326"/>
      <c r="FR53" s="326"/>
      <c r="FS53" s="326"/>
      <c r="FT53" s="326"/>
      <c r="FU53" s="326"/>
      <c r="FV53" s="326"/>
      <c r="FW53" s="326"/>
      <c r="FX53" s="326"/>
      <c r="FY53" s="326"/>
      <c r="FZ53" s="326"/>
      <c r="GA53" s="326"/>
      <c r="GB53" s="326"/>
      <c r="GC53" s="326"/>
      <c r="GD53" s="326"/>
      <c r="GE53" s="326"/>
      <c r="GF53" s="326"/>
      <c r="GG53" s="326"/>
      <c r="GH53" s="326"/>
      <c r="GI53" s="326"/>
      <c r="GJ53" s="326"/>
      <c r="GK53" s="326"/>
      <c r="GL53" s="326"/>
      <c r="GM53" s="326"/>
      <c r="GN53" s="326"/>
      <c r="GO53" s="326"/>
      <c r="GP53" s="326"/>
      <c r="GQ53" s="326"/>
      <c r="GR53" s="326"/>
      <c r="GS53" s="326"/>
      <c r="GT53" s="326"/>
      <c r="GU53" s="326"/>
      <c r="GV53" s="326"/>
      <c r="GW53" s="326"/>
      <c r="GX53" s="326"/>
      <c r="GY53" s="326"/>
      <c r="GZ53" s="326"/>
      <c r="HA53" s="326"/>
      <c r="HB53" s="326"/>
      <c r="HC53" s="326"/>
      <c r="HD53" s="326"/>
      <c r="HE53" s="326"/>
      <c r="HF53" s="326"/>
      <c r="HG53" s="326"/>
      <c r="HH53" s="326"/>
      <c r="HI53" s="326"/>
      <c r="HJ53" s="326"/>
      <c r="HK53" s="326"/>
      <c r="HL53" s="326"/>
      <c r="HM53" s="326"/>
      <c r="HN53" s="326"/>
      <c r="HO53" s="326"/>
      <c r="HP53" s="326"/>
      <c r="HQ53" s="326"/>
      <c r="HR53" s="326"/>
      <c r="HS53" s="326"/>
      <c r="HT53" s="326"/>
      <c r="HU53" s="326"/>
      <c r="HV53" s="326"/>
      <c r="HW53" s="326"/>
      <c r="HX53" s="326"/>
      <c r="HY53" s="326"/>
      <c r="HZ53" s="326"/>
      <c r="IA53" s="326"/>
      <c r="IB53" s="326"/>
      <c r="IC53" s="326"/>
      <c r="ID53" s="326"/>
      <c r="IE53" s="326"/>
      <c r="IF53" s="326"/>
      <c r="IG53" s="326"/>
      <c r="IH53" s="326"/>
      <c r="II53" s="326"/>
      <c r="IJ53" s="326"/>
      <c r="IK53" s="326"/>
      <c r="IL53" s="326"/>
      <c r="IM53" s="326"/>
      <c r="IN53" s="326"/>
      <c r="IO53" s="326"/>
      <c r="IP53" s="326"/>
      <c r="IQ53" s="326"/>
      <c r="IR53" s="326"/>
      <c r="IS53" s="326"/>
      <c r="IT53" s="326"/>
      <c r="IU53" s="326"/>
      <c r="IV53" s="326"/>
    </row>
    <row r="54" spans="1:256" s="560" customFormat="1" ht="18" customHeight="1">
      <c r="A54" s="574">
        <v>45</v>
      </c>
      <c r="B54" s="568"/>
      <c r="C54" s="366"/>
      <c r="D54" s="1146" t="s">
        <v>725</v>
      </c>
      <c r="E54" s="335"/>
      <c r="F54" s="564"/>
      <c r="G54" s="336"/>
      <c r="H54" s="773"/>
      <c r="I54" s="771"/>
      <c r="J54" s="764"/>
      <c r="K54" s="1306"/>
      <c r="L54" s="1306"/>
      <c r="M54" s="1306"/>
      <c r="N54" s="784"/>
      <c r="O54" s="1307">
        <f>SUM(I54:N54)</f>
        <v>0</v>
      </c>
      <c r="P54" s="565"/>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6"/>
      <c r="CC54" s="326"/>
      <c r="CD54" s="326"/>
      <c r="CE54" s="326"/>
      <c r="CF54" s="326"/>
      <c r="CG54" s="326"/>
      <c r="CH54" s="326"/>
      <c r="CI54" s="326"/>
      <c r="CJ54" s="326"/>
      <c r="CK54" s="326"/>
      <c r="CL54" s="326"/>
      <c r="CM54" s="326"/>
      <c r="CN54" s="326"/>
      <c r="CO54" s="326"/>
      <c r="CP54" s="326"/>
      <c r="CQ54" s="326"/>
      <c r="CR54" s="326"/>
      <c r="CS54" s="326"/>
      <c r="CT54" s="326"/>
      <c r="CU54" s="326"/>
      <c r="CV54" s="326"/>
      <c r="CW54" s="326"/>
      <c r="CX54" s="326"/>
      <c r="CY54" s="326"/>
      <c r="CZ54" s="326"/>
      <c r="DA54" s="326"/>
      <c r="DB54" s="326"/>
      <c r="DC54" s="326"/>
      <c r="DD54" s="326"/>
      <c r="DE54" s="326"/>
      <c r="DF54" s="326"/>
      <c r="DG54" s="326"/>
      <c r="DH54" s="326"/>
      <c r="DI54" s="326"/>
      <c r="DJ54" s="326"/>
      <c r="DK54" s="326"/>
      <c r="DL54" s="326"/>
      <c r="DM54" s="326"/>
      <c r="DN54" s="326"/>
      <c r="DO54" s="326"/>
      <c r="DP54" s="326"/>
      <c r="DQ54" s="326"/>
      <c r="DR54" s="326"/>
      <c r="DS54" s="326"/>
      <c r="DT54" s="326"/>
      <c r="DU54" s="326"/>
      <c r="DV54" s="326"/>
      <c r="DW54" s="326"/>
      <c r="DX54" s="326"/>
      <c r="DY54" s="326"/>
      <c r="DZ54" s="326"/>
      <c r="EA54" s="326"/>
      <c r="EB54" s="326"/>
      <c r="EC54" s="326"/>
      <c r="ED54" s="326"/>
      <c r="EE54" s="326"/>
      <c r="EF54" s="326"/>
      <c r="EG54" s="326"/>
      <c r="EH54" s="326"/>
      <c r="EI54" s="326"/>
      <c r="EJ54" s="326"/>
      <c r="EK54" s="326"/>
      <c r="EL54" s="326"/>
      <c r="EM54" s="326"/>
      <c r="EN54" s="326"/>
      <c r="EO54" s="326"/>
      <c r="EP54" s="326"/>
      <c r="EQ54" s="326"/>
      <c r="ER54" s="326"/>
      <c r="ES54" s="326"/>
      <c r="ET54" s="326"/>
      <c r="EU54" s="326"/>
      <c r="EV54" s="326"/>
      <c r="EW54" s="326"/>
      <c r="EX54" s="326"/>
      <c r="EY54" s="326"/>
      <c r="EZ54" s="326"/>
      <c r="FA54" s="326"/>
      <c r="FB54" s="326"/>
      <c r="FC54" s="326"/>
      <c r="FD54" s="326"/>
      <c r="FE54" s="326"/>
      <c r="FF54" s="326"/>
      <c r="FG54" s="326"/>
      <c r="FH54" s="326"/>
      <c r="FI54" s="326"/>
      <c r="FJ54" s="326"/>
      <c r="FK54" s="326"/>
      <c r="FL54" s="326"/>
      <c r="FM54" s="326"/>
      <c r="FN54" s="326"/>
      <c r="FO54" s="326"/>
      <c r="FP54" s="326"/>
      <c r="FQ54" s="326"/>
      <c r="FR54" s="326"/>
      <c r="FS54" s="326"/>
      <c r="FT54" s="326"/>
      <c r="FU54" s="326"/>
      <c r="FV54" s="326"/>
      <c r="FW54" s="326"/>
      <c r="FX54" s="326"/>
      <c r="FY54" s="326"/>
      <c r="FZ54" s="326"/>
      <c r="GA54" s="326"/>
      <c r="GB54" s="326"/>
      <c r="GC54" s="326"/>
      <c r="GD54" s="326"/>
      <c r="GE54" s="326"/>
      <c r="GF54" s="326"/>
      <c r="GG54" s="326"/>
      <c r="GH54" s="326"/>
      <c r="GI54" s="326"/>
      <c r="GJ54" s="326"/>
      <c r="GK54" s="326"/>
      <c r="GL54" s="326"/>
      <c r="GM54" s="326"/>
      <c r="GN54" s="326"/>
      <c r="GO54" s="326"/>
      <c r="GP54" s="326"/>
      <c r="GQ54" s="326"/>
      <c r="GR54" s="326"/>
      <c r="GS54" s="326"/>
      <c r="GT54" s="326"/>
      <c r="GU54" s="326"/>
      <c r="GV54" s="326"/>
      <c r="GW54" s="326"/>
      <c r="GX54" s="326"/>
      <c r="GY54" s="326"/>
      <c r="GZ54" s="326"/>
      <c r="HA54" s="326"/>
      <c r="HB54" s="326"/>
      <c r="HC54" s="326"/>
      <c r="HD54" s="326"/>
      <c r="HE54" s="326"/>
      <c r="HF54" s="326"/>
      <c r="HG54" s="326"/>
      <c r="HH54" s="326"/>
      <c r="HI54" s="326"/>
      <c r="HJ54" s="326"/>
      <c r="HK54" s="326"/>
      <c r="HL54" s="326"/>
      <c r="HM54" s="326"/>
      <c r="HN54" s="326"/>
      <c r="HO54" s="326"/>
      <c r="HP54" s="326"/>
      <c r="HQ54" s="326"/>
      <c r="HR54" s="326"/>
      <c r="HS54" s="326"/>
      <c r="HT54" s="326"/>
      <c r="HU54" s="326"/>
      <c r="HV54" s="326"/>
      <c r="HW54" s="326"/>
      <c r="HX54" s="326"/>
      <c r="HY54" s="326"/>
      <c r="HZ54" s="326"/>
      <c r="IA54" s="326"/>
      <c r="IB54" s="326"/>
      <c r="IC54" s="326"/>
      <c r="ID54" s="326"/>
      <c r="IE54" s="326"/>
      <c r="IF54" s="326"/>
      <c r="IG54" s="326"/>
      <c r="IH54" s="326"/>
      <c r="II54" s="326"/>
      <c r="IJ54" s="326"/>
      <c r="IK54" s="326"/>
      <c r="IL54" s="326"/>
      <c r="IM54" s="326"/>
      <c r="IN54" s="326"/>
      <c r="IO54" s="326"/>
      <c r="IP54" s="326"/>
      <c r="IQ54" s="326"/>
      <c r="IR54" s="326"/>
      <c r="IS54" s="326"/>
      <c r="IT54" s="326"/>
      <c r="IU54" s="326"/>
      <c r="IV54" s="326"/>
    </row>
    <row r="55" spans="1:256" s="560" customFormat="1" ht="18" customHeight="1">
      <c r="A55" s="574">
        <v>46</v>
      </c>
      <c r="B55" s="568"/>
      <c r="C55" s="366"/>
      <c r="D55" s="483" t="s">
        <v>1091</v>
      </c>
      <c r="E55" s="335"/>
      <c r="F55" s="564"/>
      <c r="G55" s="336"/>
      <c r="H55" s="773"/>
      <c r="I55" s="771"/>
      <c r="J55" s="764"/>
      <c r="K55" s="1309">
        <f>SUM(K53:K54)</f>
        <v>2520</v>
      </c>
      <c r="L55" s="1309"/>
      <c r="M55" s="1309">
        <f>SUM(M53:M54)</f>
        <v>210382</v>
      </c>
      <c r="N55" s="784"/>
      <c r="O55" s="569">
        <f>SUM(I55:N55)</f>
        <v>212902</v>
      </c>
      <c r="P55" s="565"/>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c r="BN55" s="326"/>
      <c r="BO55" s="326"/>
      <c r="BP55" s="326"/>
      <c r="BQ55" s="326"/>
      <c r="BR55" s="326"/>
      <c r="BS55" s="326"/>
      <c r="BT55" s="326"/>
      <c r="BU55" s="326"/>
      <c r="BV55" s="326"/>
      <c r="BW55" s="326"/>
      <c r="BX55" s="326"/>
      <c r="BY55" s="326"/>
      <c r="BZ55" s="326"/>
      <c r="CA55" s="326"/>
      <c r="CB55" s="326"/>
      <c r="CC55" s="326"/>
      <c r="CD55" s="326"/>
      <c r="CE55" s="326"/>
      <c r="CF55" s="326"/>
      <c r="CG55" s="326"/>
      <c r="CH55" s="326"/>
      <c r="CI55" s="326"/>
      <c r="CJ55" s="326"/>
      <c r="CK55" s="326"/>
      <c r="CL55" s="326"/>
      <c r="CM55" s="326"/>
      <c r="CN55" s="326"/>
      <c r="CO55" s="326"/>
      <c r="CP55" s="326"/>
      <c r="CQ55" s="326"/>
      <c r="CR55" s="326"/>
      <c r="CS55" s="326"/>
      <c r="CT55" s="326"/>
      <c r="CU55" s="326"/>
      <c r="CV55" s="326"/>
      <c r="CW55" s="326"/>
      <c r="CX55" s="326"/>
      <c r="CY55" s="326"/>
      <c r="CZ55" s="326"/>
      <c r="DA55" s="326"/>
      <c r="DB55" s="326"/>
      <c r="DC55" s="326"/>
      <c r="DD55" s="326"/>
      <c r="DE55" s="326"/>
      <c r="DF55" s="326"/>
      <c r="DG55" s="326"/>
      <c r="DH55" s="326"/>
      <c r="DI55" s="326"/>
      <c r="DJ55" s="326"/>
      <c r="DK55" s="326"/>
      <c r="DL55" s="326"/>
      <c r="DM55" s="326"/>
      <c r="DN55" s="326"/>
      <c r="DO55" s="326"/>
      <c r="DP55" s="326"/>
      <c r="DQ55" s="326"/>
      <c r="DR55" s="326"/>
      <c r="DS55" s="326"/>
      <c r="DT55" s="326"/>
      <c r="DU55" s="326"/>
      <c r="DV55" s="326"/>
      <c r="DW55" s="326"/>
      <c r="DX55" s="326"/>
      <c r="DY55" s="326"/>
      <c r="DZ55" s="326"/>
      <c r="EA55" s="326"/>
      <c r="EB55" s="326"/>
      <c r="EC55" s="326"/>
      <c r="ED55" s="326"/>
      <c r="EE55" s="326"/>
      <c r="EF55" s="326"/>
      <c r="EG55" s="326"/>
      <c r="EH55" s="326"/>
      <c r="EI55" s="326"/>
      <c r="EJ55" s="326"/>
      <c r="EK55" s="326"/>
      <c r="EL55" s="326"/>
      <c r="EM55" s="326"/>
      <c r="EN55" s="326"/>
      <c r="EO55" s="326"/>
      <c r="EP55" s="326"/>
      <c r="EQ55" s="326"/>
      <c r="ER55" s="326"/>
      <c r="ES55" s="326"/>
      <c r="ET55" s="326"/>
      <c r="EU55" s="326"/>
      <c r="EV55" s="326"/>
      <c r="EW55" s="326"/>
      <c r="EX55" s="326"/>
      <c r="EY55" s="326"/>
      <c r="EZ55" s="326"/>
      <c r="FA55" s="326"/>
      <c r="FB55" s="326"/>
      <c r="FC55" s="326"/>
      <c r="FD55" s="326"/>
      <c r="FE55" s="326"/>
      <c r="FF55" s="326"/>
      <c r="FG55" s="326"/>
      <c r="FH55" s="326"/>
      <c r="FI55" s="326"/>
      <c r="FJ55" s="326"/>
      <c r="FK55" s="326"/>
      <c r="FL55" s="326"/>
      <c r="FM55" s="326"/>
      <c r="FN55" s="326"/>
      <c r="FO55" s="326"/>
      <c r="FP55" s="326"/>
      <c r="FQ55" s="326"/>
      <c r="FR55" s="326"/>
      <c r="FS55" s="326"/>
      <c r="FT55" s="326"/>
      <c r="FU55" s="326"/>
      <c r="FV55" s="326"/>
      <c r="FW55" s="326"/>
      <c r="FX55" s="326"/>
      <c r="FY55" s="326"/>
      <c r="FZ55" s="326"/>
      <c r="GA55" s="326"/>
      <c r="GB55" s="326"/>
      <c r="GC55" s="326"/>
      <c r="GD55" s="326"/>
      <c r="GE55" s="326"/>
      <c r="GF55" s="326"/>
      <c r="GG55" s="326"/>
      <c r="GH55" s="326"/>
      <c r="GI55" s="326"/>
      <c r="GJ55" s="326"/>
      <c r="GK55" s="326"/>
      <c r="GL55" s="326"/>
      <c r="GM55" s="326"/>
      <c r="GN55" s="326"/>
      <c r="GO55" s="326"/>
      <c r="GP55" s="326"/>
      <c r="GQ55" s="326"/>
      <c r="GR55" s="326"/>
      <c r="GS55" s="326"/>
      <c r="GT55" s="326"/>
      <c r="GU55" s="326"/>
      <c r="GV55" s="326"/>
      <c r="GW55" s="326"/>
      <c r="GX55" s="326"/>
      <c r="GY55" s="326"/>
      <c r="GZ55" s="326"/>
      <c r="HA55" s="326"/>
      <c r="HB55" s="326"/>
      <c r="HC55" s="326"/>
      <c r="HD55" s="326"/>
      <c r="HE55" s="326"/>
      <c r="HF55" s="326"/>
      <c r="HG55" s="326"/>
      <c r="HH55" s="326"/>
      <c r="HI55" s="326"/>
      <c r="HJ55" s="326"/>
      <c r="HK55" s="326"/>
      <c r="HL55" s="326"/>
      <c r="HM55" s="326"/>
      <c r="HN55" s="326"/>
      <c r="HO55" s="326"/>
      <c r="HP55" s="326"/>
      <c r="HQ55" s="326"/>
      <c r="HR55" s="326"/>
      <c r="HS55" s="326"/>
      <c r="HT55" s="326"/>
      <c r="HU55" s="326"/>
      <c r="HV55" s="326"/>
      <c r="HW55" s="326"/>
      <c r="HX55" s="326"/>
      <c r="HY55" s="326"/>
      <c r="HZ55" s="326"/>
      <c r="IA55" s="326"/>
      <c r="IB55" s="326"/>
      <c r="IC55" s="326"/>
      <c r="ID55" s="326"/>
      <c r="IE55" s="326"/>
      <c r="IF55" s="326"/>
      <c r="IG55" s="326"/>
      <c r="IH55" s="326"/>
      <c r="II55" s="326"/>
      <c r="IJ55" s="326"/>
      <c r="IK55" s="326"/>
      <c r="IL55" s="326"/>
      <c r="IM55" s="326"/>
      <c r="IN55" s="326"/>
      <c r="IO55" s="326"/>
      <c r="IP55" s="326"/>
      <c r="IQ55" s="326"/>
      <c r="IR55" s="326"/>
      <c r="IS55" s="326"/>
      <c r="IT55" s="326"/>
      <c r="IU55" s="326"/>
      <c r="IV55" s="326"/>
    </row>
    <row r="56" spans="1:16" ht="33">
      <c r="A56" s="574">
        <v>47</v>
      </c>
      <c r="B56" s="466"/>
      <c r="C56" s="327">
        <v>10</v>
      </c>
      <c r="D56" s="329" t="s">
        <v>441</v>
      </c>
      <c r="E56" s="335"/>
      <c r="F56" s="564"/>
      <c r="G56" s="336"/>
      <c r="H56" s="773" t="s">
        <v>23</v>
      </c>
      <c r="I56" s="771"/>
      <c r="J56" s="764"/>
      <c r="K56" s="764"/>
      <c r="L56" s="764"/>
      <c r="M56" s="764"/>
      <c r="N56" s="784"/>
      <c r="O56" s="758"/>
      <c r="P56" s="565"/>
    </row>
    <row r="57" spans="1:256" s="560" customFormat="1" ht="18" customHeight="1">
      <c r="A57" s="574">
        <v>48</v>
      </c>
      <c r="B57" s="568"/>
      <c r="C57" s="327"/>
      <c r="D57" s="1324" t="s">
        <v>283</v>
      </c>
      <c r="E57" s="335">
        <f>F57+G57+O60+P57+12000</f>
        <v>501600</v>
      </c>
      <c r="F57" s="564">
        <f>326+17127</f>
        <v>17453</v>
      </c>
      <c r="G57" s="336">
        <v>3982</v>
      </c>
      <c r="H57" s="773"/>
      <c r="I57" s="771"/>
      <c r="J57" s="764"/>
      <c r="K57" s="764">
        <v>8311</v>
      </c>
      <c r="L57" s="764"/>
      <c r="M57" s="764">
        <v>459854</v>
      </c>
      <c r="N57" s="784"/>
      <c r="O57" s="758">
        <f>SUM(I57:N57)</f>
        <v>468165</v>
      </c>
      <c r="P57" s="565"/>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c r="BY57" s="326"/>
      <c r="BZ57" s="326"/>
      <c r="CA57" s="326"/>
      <c r="CB57" s="326"/>
      <c r="CC57" s="326"/>
      <c r="CD57" s="326"/>
      <c r="CE57" s="326"/>
      <c r="CF57" s="326"/>
      <c r="CG57" s="326"/>
      <c r="CH57" s="326"/>
      <c r="CI57" s="326"/>
      <c r="CJ57" s="326"/>
      <c r="CK57" s="326"/>
      <c r="CL57" s="326"/>
      <c r="CM57" s="326"/>
      <c r="CN57" s="326"/>
      <c r="CO57" s="326"/>
      <c r="CP57" s="326"/>
      <c r="CQ57" s="326"/>
      <c r="CR57" s="326"/>
      <c r="CS57" s="326"/>
      <c r="CT57" s="326"/>
      <c r="CU57" s="326"/>
      <c r="CV57" s="326"/>
      <c r="CW57" s="326"/>
      <c r="CX57" s="326"/>
      <c r="CY57" s="326"/>
      <c r="CZ57" s="326"/>
      <c r="DA57" s="326"/>
      <c r="DB57" s="326"/>
      <c r="DC57" s="326"/>
      <c r="DD57" s="326"/>
      <c r="DE57" s="326"/>
      <c r="DF57" s="326"/>
      <c r="DG57" s="326"/>
      <c r="DH57" s="326"/>
      <c r="DI57" s="326"/>
      <c r="DJ57" s="326"/>
      <c r="DK57" s="326"/>
      <c r="DL57" s="326"/>
      <c r="DM57" s="326"/>
      <c r="DN57" s="326"/>
      <c r="DO57" s="326"/>
      <c r="DP57" s="326"/>
      <c r="DQ57" s="326"/>
      <c r="DR57" s="326"/>
      <c r="DS57" s="326"/>
      <c r="DT57" s="326"/>
      <c r="DU57" s="326"/>
      <c r="DV57" s="326"/>
      <c r="DW57" s="326"/>
      <c r="DX57" s="326"/>
      <c r="DY57" s="326"/>
      <c r="DZ57" s="326"/>
      <c r="EA57" s="326"/>
      <c r="EB57" s="326"/>
      <c r="EC57" s="326"/>
      <c r="ED57" s="326"/>
      <c r="EE57" s="326"/>
      <c r="EF57" s="326"/>
      <c r="EG57" s="326"/>
      <c r="EH57" s="326"/>
      <c r="EI57" s="326"/>
      <c r="EJ57" s="326"/>
      <c r="EK57" s="326"/>
      <c r="EL57" s="326"/>
      <c r="EM57" s="326"/>
      <c r="EN57" s="326"/>
      <c r="EO57" s="326"/>
      <c r="EP57" s="326"/>
      <c r="EQ57" s="326"/>
      <c r="ER57" s="326"/>
      <c r="ES57" s="326"/>
      <c r="ET57" s="326"/>
      <c r="EU57" s="326"/>
      <c r="EV57" s="326"/>
      <c r="EW57" s="326"/>
      <c r="EX57" s="326"/>
      <c r="EY57" s="326"/>
      <c r="EZ57" s="326"/>
      <c r="FA57" s="326"/>
      <c r="FB57" s="326"/>
      <c r="FC57" s="326"/>
      <c r="FD57" s="326"/>
      <c r="FE57" s="326"/>
      <c r="FF57" s="326"/>
      <c r="FG57" s="326"/>
      <c r="FH57" s="326"/>
      <c r="FI57" s="326"/>
      <c r="FJ57" s="326"/>
      <c r="FK57" s="326"/>
      <c r="FL57" s="326"/>
      <c r="FM57" s="326"/>
      <c r="FN57" s="326"/>
      <c r="FO57" s="326"/>
      <c r="FP57" s="326"/>
      <c r="FQ57" s="326"/>
      <c r="FR57" s="326"/>
      <c r="FS57" s="326"/>
      <c r="FT57" s="326"/>
      <c r="FU57" s="326"/>
      <c r="FV57" s="326"/>
      <c r="FW57" s="326"/>
      <c r="FX57" s="326"/>
      <c r="FY57" s="326"/>
      <c r="FZ57" s="326"/>
      <c r="GA57" s="326"/>
      <c r="GB57" s="326"/>
      <c r="GC57" s="326"/>
      <c r="GD57" s="326"/>
      <c r="GE57" s="326"/>
      <c r="GF57" s="326"/>
      <c r="GG57" s="326"/>
      <c r="GH57" s="326"/>
      <c r="GI57" s="326"/>
      <c r="GJ57" s="326"/>
      <c r="GK57" s="326"/>
      <c r="GL57" s="326"/>
      <c r="GM57" s="326"/>
      <c r="GN57" s="326"/>
      <c r="GO57" s="326"/>
      <c r="GP57" s="326"/>
      <c r="GQ57" s="326"/>
      <c r="GR57" s="326"/>
      <c r="GS57" s="326"/>
      <c r="GT57" s="326"/>
      <c r="GU57" s="326"/>
      <c r="GV57" s="326"/>
      <c r="GW57" s="326"/>
      <c r="GX57" s="326"/>
      <c r="GY57" s="326"/>
      <c r="GZ57" s="326"/>
      <c r="HA57" s="326"/>
      <c r="HB57" s="326"/>
      <c r="HC57" s="326"/>
      <c r="HD57" s="326"/>
      <c r="HE57" s="326"/>
      <c r="HF57" s="326"/>
      <c r="HG57" s="326"/>
      <c r="HH57" s="326"/>
      <c r="HI57" s="326"/>
      <c r="HJ57" s="326"/>
      <c r="HK57" s="326"/>
      <c r="HL57" s="326"/>
      <c r="HM57" s="326"/>
      <c r="HN57" s="326"/>
      <c r="HO57" s="326"/>
      <c r="HP57" s="326"/>
      <c r="HQ57" s="326"/>
      <c r="HR57" s="326"/>
      <c r="HS57" s="326"/>
      <c r="HT57" s="326"/>
      <c r="HU57" s="326"/>
      <c r="HV57" s="326"/>
      <c r="HW57" s="326"/>
      <c r="HX57" s="326"/>
      <c r="HY57" s="326"/>
      <c r="HZ57" s="326"/>
      <c r="IA57" s="326"/>
      <c r="IB57" s="326"/>
      <c r="IC57" s="326"/>
      <c r="ID57" s="326"/>
      <c r="IE57" s="326"/>
      <c r="IF57" s="326"/>
      <c r="IG57" s="326"/>
      <c r="IH57" s="326"/>
      <c r="II57" s="326"/>
      <c r="IJ57" s="326"/>
      <c r="IK57" s="326"/>
      <c r="IL57" s="326"/>
      <c r="IM57" s="326"/>
      <c r="IN57" s="326"/>
      <c r="IO57" s="326"/>
      <c r="IP57" s="326"/>
      <c r="IQ57" s="326"/>
      <c r="IR57" s="326"/>
      <c r="IS57" s="326"/>
      <c r="IT57" s="326"/>
      <c r="IU57" s="326"/>
      <c r="IV57" s="326"/>
    </row>
    <row r="58" spans="1:256" s="560" customFormat="1" ht="18" customHeight="1">
      <c r="A58" s="574">
        <v>49</v>
      </c>
      <c r="B58" s="568"/>
      <c r="C58" s="327"/>
      <c r="D58" s="483" t="s">
        <v>938</v>
      </c>
      <c r="E58" s="335"/>
      <c r="F58" s="564"/>
      <c r="G58" s="336"/>
      <c r="H58" s="773"/>
      <c r="I58" s="771"/>
      <c r="J58" s="764"/>
      <c r="K58" s="1309">
        <v>8311</v>
      </c>
      <c r="L58" s="1309"/>
      <c r="M58" s="1309">
        <v>459854</v>
      </c>
      <c r="N58" s="561"/>
      <c r="O58" s="569">
        <f>SUM(I58:N58)</f>
        <v>468165</v>
      </c>
      <c r="P58" s="565"/>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c r="BY58" s="326"/>
      <c r="BZ58" s="326"/>
      <c r="CA58" s="326"/>
      <c r="CB58" s="326"/>
      <c r="CC58" s="326"/>
      <c r="CD58" s="326"/>
      <c r="CE58" s="326"/>
      <c r="CF58" s="326"/>
      <c r="CG58" s="326"/>
      <c r="CH58" s="326"/>
      <c r="CI58" s="326"/>
      <c r="CJ58" s="326"/>
      <c r="CK58" s="326"/>
      <c r="CL58" s="326"/>
      <c r="CM58" s="326"/>
      <c r="CN58" s="326"/>
      <c r="CO58" s="326"/>
      <c r="CP58" s="326"/>
      <c r="CQ58" s="326"/>
      <c r="CR58" s="326"/>
      <c r="CS58" s="326"/>
      <c r="CT58" s="326"/>
      <c r="CU58" s="326"/>
      <c r="CV58" s="326"/>
      <c r="CW58" s="326"/>
      <c r="CX58" s="326"/>
      <c r="CY58" s="326"/>
      <c r="CZ58" s="326"/>
      <c r="DA58" s="326"/>
      <c r="DB58" s="326"/>
      <c r="DC58" s="326"/>
      <c r="DD58" s="326"/>
      <c r="DE58" s="326"/>
      <c r="DF58" s="326"/>
      <c r="DG58" s="326"/>
      <c r="DH58" s="326"/>
      <c r="DI58" s="326"/>
      <c r="DJ58" s="326"/>
      <c r="DK58" s="326"/>
      <c r="DL58" s="326"/>
      <c r="DM58" s="326"/>
      <c r="DN58" s="326"/>
      <c r="DO58" s="326"/>
      <c r="DP58" s="326"/>
      <c r="DQ58" s="326"/>
      <c r="DR58" s="326"/>
      <c r="DS58" s="326"/>
      <c r="DT58" s="326"/>
      <c r="DU58" s="326"/>
      <c r="DV58" s="326"/>
      <c r="DW58" s="326"/>
      <c r="DX58" s="326"/>
      <c r="DY58" s="326"/>
      <c r="DZ58" s="326"/>
      <c r="EA58" s="326"/>
      <c r="EB58" s="326"/>
      <c r="EC58" s="326"/>
      <c r="ED58" s="326"/>
      <c r="EE58" s="326"/>
      <c r="EF58" s="326"/>
      <c r="EG58" s="326"/>
      <c r="EH58" s="326"/>
      <c r="EI58" s="326"/>
      <c r="EJ58" s="326"/>
      <c r="EK58" s="326"/>
      <c r="EL58" s="326"/>
      <c r="EM58" s="326"/>
      <c r="EN58" s="326"/>
      <c r="EO58" s="326"/>
      <c r="EP58" s="326"/>
      <c r="EQ58" s="326"/>
      <c r="ER58" s="326"/>
      <c r="ES58" s="326"/>
      <c r="ET58" s="326"/>
      <c r="EU58" s="326"/>
      <c r="EV58" s="326"/>
      <c r="EW58" s="326"/>
      <c r="EX58" s="326"/>
      <c r="EY58" s="326"/>
      <c r="EZ58" s="326"/>
      <c r="FA58" s="326"/>
      <c r="FB58" s="326"/>
      <c r="FC58" s="326"/>
      <c r="FD58" s="326"/>
      <c r="FE58" s="326"/>
      <c r="FF58" s="326"/>
      <c r="FG58" s="326"/>
      <c r="FH58" s="326"/>
      <c r="FI58" s="326"/>
      <c r="FJ58" s="326"/>
      <c r="FK58" s="326"/>
      <c r="FL58" s="326"/>
      <c r="FM58" s="326"/>
      <c r="FN58" s="326"/>
      <c r="FO58" s="326"/>
      <c r="FP58" s="326"/>
      <c r="FQ58" s="326"/>
      <c r="FR58" s="326"/>
      <c r="FS58" s="326"/>
      <c r="FT58" s="326"/>
      <c r="FU58" s="326"/>
      <c r="FV58" s="326"/>
      <c r="FW58" s="326"/>
      <c r="FX58" s="326"/>
      <c r="FY58" s="326"/>
      <c r="FZ58" s="326"/>
      <c r="GA58" s="326"/>
      <c r="GB58" s="326"/>
      <c r="GC58" s="326"/>
      <c r="GD58" s="326"/>
      <c r="GE58" s="326"/>
      <c r="GF58" s="326"/>
      <c r="GG58" s="326"/>
      <c r="GH58" s="326"/>
      <c r="GI58" s="326"/>
      <c r="GJ58" s="326"/>
      <c r="GK58" s="326"/>
      <c r="GL58" s="326"/>
      <c r="GM58" s="326"/>
      <c r="GN58" s="326"/>
      <c r="GO58" s="326"/>
      <c r="GP58" s="326"/>
      <c r="GQ58" s="326"/>
      <c r="GR58" s="326"/>
      <c r="GS58" s="326"/>
      <c r="GT58" s="326"/>
      <c r="GU58" s="326"/>
      <c r="GV58" s="326"/>
      <c r="GW58" s="326"/>
      <c r="GX58" s="326"/>
      <c r="GY58" s="326"/>
      <c r="GZ58" s="326"/>
      <c r="HA58" s="326"/>
      <c r="HB58" s="326"/>
      <c r="HC58" s="326"/>
      <c r="HD58" s="326"/>
      <c r="HE58" s="326"/>
      <c r="HF58" s="326"/>
      <c r="HG58" s="326"/>
      <c r="HH58" s="326"/>
      <c r="HI58" s="326"/>
      <c r="HJ58" s="326"/>
      <c r="HK58" s="326"/>
      <c r="HL58" s="326"/>
      <c r="HM58" s="326"/>
      <c r="HN58" s="326"/>
      <c r="HO58" s="326"/>
      <c r="HP58" s="326"/>
      <c r="HQ58" s="326"/>
      <c r="HR58" s="326"/>
      <c r="HS58" s="326"/>
      <c r="HT58" s="326"/>
      <c r="HU58" s="326"/>
      <c r="HV58" s="326"/>
      <c r="HW58" s="326"/>
      <c r="HX58" s="326"/>
      <c r="HY58" s="326"/>
      <c r="HZ58" s="326"/>
      <c r="IA58" s="326"/>
      <c r="IB58" s="326"/>
      <c r="IC58" s="326"/>
      <c r="ID58" s="326"/>
      <c r="IE58" s="326"/>
      <c r="IF58" s="326"/>
      <c r="IG58" s="326"/>
      <c r="IH58" s="326"/>
      <c r="II58" s="326"/>
      <c r="IJ58" s="326"/>
      <c r="IK58" s="326"/>
      <c r="IL58" s="326"/>
      <c r="IM58" s="326"/>
      <c r="IN58" s="326"/>
      <c r="IO58" s="326"/>
      <c r="IP58" s="326"/>
      <c r="IQ58" s="326"/>
      <c r="IR58" s="326"/>
      <c r="IS58" s="326"/>
      <c r="IT58" s="326"/>
      <c r="IU58" s="326"/>
      <c r="IV58" s="326"/>
    </row>
    <row r="59" spans="1:256" s="560" customFormat="1" ht="18" customHeight="1">
      <c r="A59" s="574">
        <v>50</v>
      </c>
      <c r="B59" s="568"/>
      <c r="C59" s="327"/>
      <c r="D59" s="1146" t="s">
        <v>674</v>
      </c>
      <c r="E59" s="335"/>
      <c r="F59" s="564"/>
      <c r="G59" s="336"/>
      <c r="H59" s="773"/>
      <c r="I59" s="771"/>
      <c r="J59" s="764"/>
      <c r="K59" s="764"/>
      <c r="L59" s="764"/>
      <c r="M59" s="764"/>
      <c r="N59" s="784"/>
      <c r="O59" s="1307">
        <f>SUM(I59:N59)</f>
        <v>0</v>
      </c>
      <c r="P59" s="565"/>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6"/>
      <c r="BR59" s="326"/>
      <c r="BS59" s="326"/>
      <c r="BT59" s="326"/>
      <c r="BU59" s="326"/>
      <c r="BV59" s="326"/>
      <c r="BW59" s="326"/>
      <c r="BX59" s="326"/>
      <c r="BY59" s="326"/>
      <c r="BZ59" s="326"/>
      <c r="CA59" s="326"/>
      <c r="CB59" s="326"/>
      <c r="CC59" s="326"/>
      <c r="CD59" s="326"/>
      <c r="CE59" s="326"/>
      <c r="CF59" s="326"/>
      <c r="CG59" s="326"/>
      <c r="CH59" s="326"/>
      <c r="CI59" s="326"/>
      <c r="CJ59" s="326"/>
      <c r="CK59" s="326"/>
      <c r="CL59" s="326"/>
      <c r="CM59" s="326"/>
      <c r="CN59" s="326"/>
      <c r="CO59" s="326"/>
      <c r="CP59" s="326"/>
      <c r="CQ59" s="326"/>
      <c r="CR59" s="326"/>
      <c r="CS59" s="326"/>
      <c r="CT59" s="326"/>
      <c r="CU59" s="326"/>
      <c r="CV59" s="326"/>
      <c r="CW59" s="326"/>
      <c r="CX59" s="326"/>
      <c r="CY59" s="326"/>
      <c r="CZ59" s="326"/>
      <c r="DA59" s="326"/>
      <c r="DB59" s="326"/>
      <c r="DC59" s="326"/>
      <c r="DD59" s="326"/>
      <c r="DE59" s="326"/>
      <c r="DF59" s="326"/>
      <c r="DG59" s="326"/>
      <c r="DH59" s="326"/>
      <c r="DI59" s="326"/>
      <c r="DJ59" s="326"/>
      <c r="DK59" s="326"/>
      <c r="DL59" s="326"/>
      <c r="DM59" s="326"/>
      <c r="DN59" s="326"/>
      <c r="DO59" s="326"/>
      <c r="DP59" s="326"/>
      <c r="DQ59" s="326"/>
      <c r="DR59" s="326"/>
      <c r="DS59" s="326"/>
      <c r="DT59" s="326"/>
      <c r="DU59" s="326"/>
      <c r="DV59" s="326"/>
      <c r="DW59" s="326"/>
      <c r="DX59" s="326"/>
      <c r="DY59" s="326"/>
      <c r="DZ59" s="326"/>
      <c r="EA59" s="326"/>
      <c r="EB59" s="326"/>
      <c r="EC59" s="326"/>
      <c r="ED59" s="326"/>
      <c r="EE59" s="326"/>
      <c r="EF59" s="326"/>
      <c r="EG59" s="326"/>
      <c r="EH59" s="326"/>
      <c r="EI59" s="326"/>
      <c r="EJ59" s="326"/>
      <c r="EK59" s="326"/>
      <c r="EL59" s="326"/>
      <c r="EM59" s="326"/>
      <c r="EN59" s="326"/>
      <c r="EO59" s="326"/>
      <c r="EP59" s="326"/>
      <c r="EQ59" s="326"/>
      <c r="ER59" s="326"/>
      <c r="ES59" s="326"/>
      <c r="ET59" s="326"/>
      <c r="EU59" s="326"/>
      <c r="EV59" s="326"/>
      <c r="EW59" s="326"/>
      <c r="EX59" s="326"/>
      <c r="EY59" s="326"/>
      <c r="EZ59" s="326"/>
      <c r="FA59" s="326"/>
      <c r="FB59" s="326"/>
      <c r="FC59" s="326"/>
      <c r="FD59" s="326"/>
      <c r="FE59" s="326"/>
      <c r="FF59" s="326"/>
      <c r="FG59" s="326"/>
      <c r="FH59" s="326"/>
      <c r="FI59" s="326"/>
      <c r="FJ59" s="326"/>
      <c r="FK59" s="326"/>
      <c r="FL59" s="326"/>
      <c r="FM59" s="326"/>
      <c r="FN59" s="326"/>
      <c r="FO59" s="326"/>
      <c r="FP59" s="326"/>
      <c r="FQ59" s="326"/>
      <c r="FR59" s="326"/>
      <c r="FS59" s="326"/>
      <c r="FT59" s="326"/>
      <c r="FU59" s="326"/>
      <c r="FV59" s="326"/>
      <c r="FW59" s="326"/>
      <c r="FX59" s="326"/>
      <c r="FY59" s="326"/>
      <c r="FZ59" s="326"/>
      <c r="GA59" s="326"/>
      <c r="GB59" s="326"/>
      <c r="GC59" s="326"/>
      <c r="GD59" s="326"/>
      <c r="GE59" s="326"/>
      <c r="GF59" s="326"/>
      <c r="GG59" s="326"/>
      <c r="GH59" s="326"/>
      <c r="GI59" s="326"/>
      <c r="GJ59" s="326"/>
      <c r="GK59" s="326"/>
      <c r="GL59" s="326"/>
      <c r="GM59" s="326"/>
      <c r="GN59" s="326"/>
      <c r="GO59" s="326"/>
      <c r="GP59" s="326"/>
      <c r="GQ59" s="326"/>
      <c r="GR59" s="326"/>
      <c r="GS59" s="326"/>
      <c r="GT59" s="326"/>
      <c r="GU59" s="326"/>
      <c r="GV59" s="326"/>
      <c r="GW59" s="326"/>
      <c r="GX59" s="326"/>
      <c r="GY59" s="326"/>
      <c r="GZ59" s="326"/>
      <c r="HA59" s="326"/>
      <c r="HB59" s="326"/>
      <c r="HC59" s="326"/>
      <c r="HD59" s="326"/>
      <c r="HE59" s="326"/>
      <c r="HF59" s="326"/>
      <c r="HG59" s="326"/>
      <c r="HH59" s="326"/>
      <c r="HI59" s="326"/>
      <c r="HJ59" s="326"/>
      <c r="HK59" s="326"/>
      <c r="HL59" s="326"/>
      <c r="HM59" s="326"/>
      <c r="HN59" s="326"/>
      <c r="HO59" s="326"/>
      <c r="HP59" s="326"/>
      <c r="HQ59" s="326"/>
      <c r="HR59" s="326"/>
      <c r="HS59" s="326"/>
      <c r="HT59" s="326"/>
      <c r="HU59" s="326"/>
      <c r="HV59" s="326"/>
      <c r="HW59" s="326"/>
      <c r="HX59" s="326"/>
      <c r="HY59" s="326"/>
      <c r="HZ59" s="326"/>
      <c r="IA59" s="326"/>
      <c r="IB59" s="326"/>
      <c r="IC59" s="326"/>
      <c r="ID59" s="326"/>
      <c r="IE59" s="326"/>
      <c r="IF59" s="326"/>
      <c r="IG59" s="326"/>
      <c r="IH59" s="326"/>
      <c r="II59" s="326"/>
      <c r="IJ59" s="326"/>
      <c r="IK59" s="326"/>
      <c r="IL59" s="326"/>
      <c r="IM59" s="326"/>
      <c r="IN59" s="326"/>
      <c r="IO59" s="326"/>
      <c r="IP59" s="326"/>
      <c r="IQ59" s="326"/>
      <c r="IR59" s="326"/>
      <c r="IS59" s="326"/>
      <c r="IT59" s="326"/>
      <c r="IU59" s="326"/>
      <c r="IV59" s="326"/>
    </row>
    <row r="60" spans="1:256" s="560" customFormat="1" ht="18" customHeight="1">
      <c r="A60" s="574">
        <v>51</v>
      </c>
      <c r="B60" s="568"/>
      <c r="C60" s="327"/>
      <c r="D60" s="483" t="s">
        <v>1091</v>
      </c>
      <c r="E60" s="335"/>
      <c r="F60" s="564"/>
      <c r="G60" s="336"/>
      <c r="H60" s="773"/>
      <c r="I60" s="771"/>
      <c r="J60" s="764"/>
      <c r="K60" s="1309">
        <f>SUM(K58:K59)</f>
        <v>8311</v>
      </c>
      <c r="L60" s="1309"/>
      <c r="M60" s="1309">
        <f>SUM(M58:M59)</f>
        <v>459854</v>
      </c>
      <c r="N60" s="784"/>
      <c r="O60" s="569">
        <f>SUM(I60:N60)</f>
        <v>468165</v>
      </c>
      <c r="P60" s="565"/>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c r="CE60" s="326"/>
      <c r="CF60" s="326"/>
      <c r="CG60" s="326"/>
      <c r="CH60" s="326"/>
      <c r="CI60" s="326"/>
      <c r="CJ60" s="326"/>
      <c r="CK60" s="326"/>
      <c r="CL60" s="326"/>
      <c r="CM60" s="326"/>
      <c r="CN60" s="326"/>
      <c r="CO60" s="326"/>
      <c r="CP60" s="326"/>
      <c r="CQ60" s="326"/>
      <c r="CR60" s="326"/>
      <c r="CS60" s="326"/>
      <c r="CT60" s="326"/>
      <c r="CU60" s="326"/>
      <c r="CV60" s="326"/>
      <c r="CW60" s="326"/>
      <c r="CX60" s="326"/>
      <c r="CY60" s="326"/>
      <c r="CZ60" s="326"/>
      <c r="DA60" s="326"/>
      <c r="DB60" s="326"/>
      <c r="DC60" s="326"/>
      <c r="DD60" s="326"/>
      <c r="DE60" s="326"/>
      <c r="DF60" s="326"/>
      <c r="DG60" s="326"/>
      <c r="DH60" s="326"/>
      <c r="DI60" s="326"/>
      <c r="DJ60" s="326"/>
      <c r="DK60" s="326"/>
      <c r="DL60" s="326"/>
      <c r="DM60" s="326"/>
      <c r="DN60" s="326"/>
      <c r="DO60" s="326"/>
      <c r="DP60" s="326"/>
      <c r="DQ60" s="326"/>
      <c r="DR60" s="326"/>
      <c r="DS60" s="326"/>
      <c r="DT60" s="326"/>
      <c r="DU60" s="326"/>
      <c r="DV60" s="326"/>
      <c r="DW60" s="326"/>
      <c r="DX60" s="326"/>
      <c r="DY60" s="326"/>
      <c r="DZ60" s="326"/>
      <c r="EA60" s="326"/>
      <c r="EB60" s="326"/>
      <c r="EC60" s="326"/>
      <c r="ED60" s="326"/>
      <c r="EE60" s="326"/>
      <c r="EF60" s="326"/>
      <c r="EG60" s="326"/>
      <c r="EH60" s="326"/>
      <c r="EI60" s="326"/>
      <c r="EJ60" s="326"/>
      <c r="EK60" s="326"/>
      <c r="EL60" s="326"/>
      <c r="EM60" s="326"/>
      <c r="EN60" s="326"/>
      <c r="EO60" s="326"/>
      <c r="EP60" s="326"/>
      <c r="EQ60" s="326"/>
      <c r="ER60" s="326"/>
      <c r="ES60" s="326"/>
      <c r="ET60" s="326"/>
      <c r="EU60" s="326"/>
      <c r="EV60" s="326"/>
      <c r="EW60" s="326"/>
      <c r="EX60" s="326"/>
      <c r="EY60" s="326"/>
      <c r="EZ60" s="326"/>
      <c r="FA60" s="326"/>
      <c r="FB60" s="326"/>
      <c r="FC60" s="326"/>
      <c r="FD60" s="326"/>
      <c r="FE60" s="326"/>
      <c r="FF60" s="326"/>
      <c r="FG60" s="326"/>
      <c r="FH60" s="326"/>
      <c r="FI60" s="326"/>
      <c r="FJ60" s="326"/>
      <c r="FK60" s="326"/>
      <c r="FL60" s="326"/>
      <c r="FM60" s="326"/>
      <c r="FN60" s="326"/>
      <c r="FO60" s="326"/>
      <c r="FP60" s="326"/>
      <c r="FQ60" s="326"/>
      <c r="FR60" s="326"/>
      <c r="FS60" s="326"/>
      <c r="FT60" s="326"/>
      <c r="FU60" s="326"/>
      <c r="FV60" s="326"/>
      <c r="FW60" s="326"/>
      <c r="FX60" s="326"/>
      <c r="FY60" s="326"/>
      <c r="FZ60" s="326"/>
      <c r="GA60" s="326"/>
      <c r="GB60" s="326"/>
      <c r="GC60" s="326"/>
      <c r="GD60" s="326"/>
      <c r="GE60" s="326"/>
      <c r="GF60" s="326"/>
      <c r="GG60" s="326"/>
      <c r="GH60" s="326"/>
      <c r="GI60" s="326"/>
      <c r="GJ60" s="326"/>
      <c r="GK60" s="326"/>
      <c r="GL60" s="326"/>
      <c r="GM60" s="326"/>
      <c r="GN60" s="326"/>
      <c r="GO60" s="326"/>
      <c r="GP60" s="326"/>
      <c r="GQ60" s="326"/>
      <c r="GR60" s="326"/>
      <c r="GS60" s="326"/>
      <c r="GT60" s="326"/>
      <c r="GU60" s="326"/>
      <c r="GV60" s="326"/>
      <c r="GW60" s="326"/>
      <c r="GX60" s="326"/>
      <c r="GY60" s="326"/>
      <c r="GZ60" s="326"/>
      <c r="HA60" s="326"/>
      <c r="HB60" s="326"/>
      <c r="HC60" s="326"/>
      <c r="HD60" s="326"/>
      <c r="HE60" s="326"/>
      <c r="HF60" s="326"/>
      <c r="HG60" s="326"/>
      <c r="HH60" s="326"/>
      <c r="HI60" s="326"/>
      <c r="HJ60" s="326"/>
      <c r="HK60" s="326"/>
      <c r="HL60" s="326"/>
      <c r="HM60" s="326"/>
      <c r="HN60" s="326"/>
      <c r="HO60" s="326"/>
      <c r="HP60" s="326"/>
      <c r="HQ60" s="326"/>
      <c r="HR60" s="326"/>
      <c r="HS60" s="326"/>
      <c r="HT60" s="326"/>
      <c r="HU60" s="326"/>
      <c r="HV60" s="326"/>
      <c r="HW60" s="326"/>
      <c r="HX60" s="326"/>
      <c r="HY60" s="326"/>
      <c r="HZ60" s="326"/>
      <c r="IA60" s="326"/>
      <c r="IB60" s="326"/>
      <c r="IC60" s="326"/>
      <c r="ID60" s="326"/>
      <c r="IE60" s="326"/>
      <c r="IF60" s="326"/>
      <c r="IG60" s="326"/>
      <c r="IH60" s="326"/>
      <c r="II60" s="326"/>
      <c r="IJ60" s="326"/>
      <c r="IK60" s="326"/>
      <c r="IL60" s="326"/>
      <c r="IM60" s="326"/>
      <c r="IN60" s="326"/>
      <c r="IO60" s="326"/>
      <c r="IP60" s="326"/>
      <c r="IQ60" s="326"/>
      <c r="IR60" s="326"/>
      <c r="IS60" s="326"/>
      <c r="IT60" s="326"/>
      <c r="IU60" s="326"/>
      <c r="IV60" s="326"/>
    </row>
    <row r="61" spans="1:256" s="560" customFormat="1" ht="34.5" customHeight="1">
      <c r="A61" s="574">
        <v>52</v>
      </c>
      <c r="B61" s="568"/>
      <c r="C61" s="327">
        <v>11</v>
      </c>
      <c r="D61" s="329" t="s">
        <v>592</v>
      </c>
      <c r="E61" s="335"/>
      <c r="F61" s="564"/>
      <c r="G61" s="336"/>
      <c r="H61" s="773"/>
      <c r="I61" s="771"/>
      <c r="J61" s="764"/>
      <c r="K61" s="764"/>
      <c r="L61" s="764"/>
      <c r="M61" s="764"/>
      <c r="N61" s="784"/>
      <c r="O61" s="758"/>
      <c r="P61" s="565"/>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c r="CE61" s="326"/>
      <c r="CF61" s="326"/>
      <c r="CG61" s="326"/>
      <c r="CH61" s="326"/>
      <c r="CI61" s="326"/>
      <c r="CJ61" s="326"/>
      <c r="CK61" s="326"/>
      <c r="CL61" s="326"/>
      <c r="CM61" s="326"/>
      <c r="CN61" s="326"/>
      <c r="CO61" s="326"/>
      <c r="CP61" s="326"/>
      <c r="CQ61" s="326"/>
      <c r="CR61" s="326"/>
      <c r="CS61" s="326"/>
      <c r="CT61" s="326"/>
      <c r="CU61" s="326"/>
      <c r="CV61" s="326"/>
      <c r="CW61" s="326"/>
      <c r="CX61" s="326"/>
      <c r="CY61" s="326"/>
      <c r="CZ61" s="326"/>
      <c r="DA61" s="326"/>
      <c r="DB61" s="326"/>
      <c r="DC61" s="326"/>
      <c r="DD61" s="326"/>
      <c r="DE61" s="326"/>
      <c r="DF61" s="326"/>
      <c r="DG61" s="326"/>
      <c r="DH61" s="326"/>
      <c r="DI61" s="326"/>
      <c r="DJ61" s="326"/>
      <c r="DK61" s="326"/>
      <c r="DL61" s="326"/>
      <c r="DM61" s="326"/>
      <c r="DN61" s="326"/>
      <c r="DO61" s="326"/>
      <c r="DP61" s="326"/>
      <c r="DQ61" s="326"/>
      <c r="DR61" s="326"/>
      <c r="DS61" s="326"/>
      <c r="DT61" s="326"/>
      <c r="DU61" s="326"/>
      <c r="DV61" s="326"/>
      <c r="DW61" s="326"/>
      <c r="DX61" s="326"/>
      <c r="DY61" s="326"/>
      <c r="DZ61" s="326"/>
      <c r="EA61" s="326"/>
      <c r="EB61" s="326"/>
      <c r="EC61" s="326"/>
      <c r="ED61" s="326"/>
      <c r="EE61" s="326"/>
      <c r="EF61" s="326"/>
      <c r="EG61" s="326"/>
      <c r="EH61" s="326"/>
      <c r="EI61" s="326"/>
      <c r="EJ61" s="326"/>
      <c r="EK61" s="326"/>
      <c r="EL61" s="326"/>
      <c r="EM61" s="326"/>
      <c r="EN61" s="326"/>
      <c r="EO61" s="326"/>
      <c r="EP61" s="326"/>
      <c r="EQ61" s="326"/>
      <c r="ER61" s="326"/>
      <c r="ES61" s="326"/>
      <c r="ET61" s="326"/>
      <c r="EU61" s="326"/>
      <c r="EV61" s="326"/>
      <c r="EW61" s="326"/>
      <c r="EX61" s="326"/>
      <c r="EY61" s="326"/>
      <c r="EZ61" s="326"/>
      <c r="FA61" s="326"/>
      <c r="FB61" s="326"/>
      <c r="FC61" s="326"/>
      <c r="FD61" s="326"/>
      <c r="FE61" s="326"/>
      <c r="FF61" s="326"/>
      <c r="FG61" s="326"/>
      <c r="FH61" s="326"/>
      <c r="FI61" s="326"/>
      <c r="FJ61" s="326"/>
      <c r="FK61" s="326"/>
      <c r="FL61" s="326"/>
      <c r="FM61" s="326"/>
      <c r="FN61" s="326"/>
      <c r="FO61" s="326"/>
      <c r="FP61" s="326"/>
      <c r="FQ61" s="326"/>
      <c r="FR61" s="326"/>
      <c r="FS61" s="326"/>
      <c r="FT61" s="326"/>
      <c r="FU61" s="326"/>
      <c r="FV61" s="326"/>
      <c r="FW61" s="326"/>
      <c r="FX61" s="326"/>
      <c r="FY61" s="326"/>
      <c r="FZ61" s="326"/>
      <c r="GA61" s="326"/>
      <c r="GB61" s="326"/>
      <c r="GC61" s="326"/>
      <c r="GD61" s="326"/>
      <c r="GE61" s="326"/>
      <c r="GF61" s="326"/>
      <c r="GG61" s="326"/>
      <c r="GH61" s="326"/>
      <c r="GI61" s="326"/>
      <c r="GJ61" s="326"/>
      <c r="GK61" s="326"/>
      <c r="GL61" s="326"/>
      <c r="GM61" s="326"/>
      <c r="GN61" s="326"/>
      <c r="GO61" s="326"/>
      <c r="GP61" s="326"/>
      <c r="GQ61" s="326"/>
      <c r="GR61" s="326"/>
      <c r="GS61" s="326"/>
      <c r="GT61" s="326"/>
      <c r="GU61" s="326"/>
      <c r="GV61" s="326"/>
      <c r="GW61" s="326"/>
      <c r="GX61" s="326"/>
      <c r="GY61" s="326"/>
      <c r="GZ61" s="326"/>
      <c r="HA61" s="326"/>
      <c r="HB61" s="326"/>
      <c r="HC61" s="326"/>
      <c r="HD61" s="326"/>
      <c r="HE61" s="326"/>
      <c r="HF61" s="326"/>
      <c r="HG61" s="326"/>
      <c r="HH61" s="326"/>
      <c r="HI61" s="326"/>
      <c r="HJ61" s="326"/>
      <c r="HK61" s="326"/>
      <c r="HL61" s="326"/>
      <c r="HM61" s="326"/>
      <c r="HN61" s="326"/>
      <c r="HO61" s="326"/>
      <c r="HP61" s="326"/>
      <c r="HQ61" s="326"/>
      <c r="HR61" s="326"/>
      <c r="HS61" s="326"/>
      <c r="HT61" s="326"/>
      <c r="HU61" s="326"/>
      <c r="HV61" s="326"/>
      <c r="HW61" s="326"/>
      <c r="HX61" s="326"/>
      <c r="HY61" s="326"/>
      <c r="HZ61" s="326"/>
      <c r="IA61" s="326"/>
      <c r="IB61" s="326"/>
      <c r="IC61" s="326"/>
      <c r="ID61" s="326"/>
      <c r="IE61" s="326"/>
      <c r="IF61" s="326"/>
      <c r="IG61" s="326"/>
      <c r="IH61" s="326"/>
      <c r="II61" s="326"/>
      <c r="IJ61" s="326"/>
      <c r="IK61" s="326"/>
      <c r="IL61" s="326"/>
      <c r="IM61" s="326"/>
      <c r="IN61" s="326"/>
      <c r="IO61" s="326"/>
      <c r="IP61" s="326"/>
      <c r="IQ61" s="326"/>
      <c r="IR61" s="326"/>
      <c r="IS61" s="326"/>
      <c r="IT61" s="326"/>
      <c r="IU61" s="326"/>
      <c r="IV61" s="326"/>
    </row>
    <row r="62" spans="1:256" s="560" customFormat="1" ht="18" customHeight="1">
      <c r="A62" s="574">
        <v>53</v>
      </c>
      <c r="B62" s="568"/>
      <c r="C62" s="327"/>
      <c r="D62" s="1324" t="s">
        <v>283</v>
      </c>
      <c r="E62" s="335">
        <f>F62+G62+O65+P62+22650</f>
        <v>906000</v>
      </c>
      <c r="F62" s="564"/>
      <c r="G62" s="336">
        <v>5906</v>
      </c>
      <c r="H62" s="773"/>
      <c r="I62" s="771"/>
      <c r="J62" s="764"/>
      <c r="K62" s="764">
        <v>19333</v>
      </c>
      <c r="L62" s="764"/>
      <c r="M62" s="764">
        <v>858111</v>
      </c>
      <c r="N62" s="784"/>
      <c r="O62" s="758">
        <f>SUM(I62:N62)</f>
        <v>877444</v>
      </c>
      <c r="P62" s="565"/>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326"/>
      <c r="DF62" s="326"/>
      <c r="DG62" s="326"/>
      <c r="DH62" s="326"/>
      <c r="DI62" s="326"/>
      <c r="DJ62" s="326"/>
      <c r="DK62" s="326"/>
      <c r="DL62" s="326"/>
      <c r="DM62" s="326"/>
      <c r="DN62" s="326"/>
      <c r="DO62" s="326"/>
      <c r="DP62" s="326"/>
      <c r="DQ62" s="326"/>
      <c r="DR62" s="326"/>
      <c r="DS62" s="326"/>
      <c r="DT62" s="326"/>
      <c r="DU62" s="326"/>
      <c r="DV62" s="326"/>
      <c r="DW62" s="326"/>
      <c r="DX62" s="326"/>
      <c r="DY62" s="326"/>
      <c r="DZ62" s="326"/>
      <c r="EA62" s="326"/>
      <c r="EB62" s="326"/>
      <c r="EC62" s="326"/>
      <c r="ED62" s="326"/>
      <c r="EE62" s="326"/>
      <c r="EF62" s="326"/>
      <c r="EG62" s="326"/>
      <c r="EH62" s="326"/>
      <c r="EI62" s="326"/>
      <c r="EJ62" s="326"/>
      <c r="EK62" s="326"/>
      <c r="EL62" s="326"/>
      <c r="EM62" s="326"/>
      <c r="EN62" s="326"/>
      <c r="EO62" s="326"/>
      <c r="EP62" s="326"/>
      <c r="EQ62" s="326"/>
      <c r="ER62" s="326"/>
      <c r="ES62" s="326"/>
      <c r="ET62" s="326"/>
      <c r="EU62" s="326"/>
      <c r="EV62" s="326"/>
      <c r="EW62" s="326"/>
      <c r="EX62" s="326"/>
      <c r="EY62" s="326"/>
      <c r="EZ62" s="326"/>
      <c r="FA62" s="326"/>
      <c r="FB62" s="326"/>
      <c r="FC62" s="326"/>
      <c r="FD62" s="326"/>
      <c r="FE62" s="326"/>
      <c r="FF62" s="326"/>
      <c r="FG62" s="326"/>
      <c r="FH62" s="326"/>
      <c r="FI62" s="326"/>
      <c r="FJ62" s="326"/>
      <c r="FK62" s="326"/>
      <c r="FL62" s="326"/>
      <c r="FM62" s="326"/>
      <c r="FN62" s="326"/>
      <c r="FO62" s="326"/>
      <c r="FP62" s="326"/>
      <c r="FQ62" s="326"/>
      <c r="FR62" s="326"/>
      <c r="FS62" s="326"/>
      <c r="FT62" s="326"/>
      <c r="FU62" s="326"/>
      <c r="FV62" s="326"/>
      <c r="FW62" s="326"/>
      <c r="FX62" s="326"/>
      <c r="FY62" s="326"/>
      <c r="FZ62" s="326"/>
      <c r="GA62" s="326"/>
      <c r="GB62" s="326"/>
      <c r="GC62" s="326"/>
      <c r="GD62" s="326"/>
      <c r="GE62" s="326"/>
      <c r="GF62" s="326"/>
      <c r="GG62" s="326"/>
      <c r="GH62" s="326"/>
      <c r="GI62" s="326"/>
      <c r="GJ62" s="326"/>
      <c r="GK62" s="326"/>
      <c r="GL62" s="326"/>
      <c r="GM62" s="326"/>
      <c r="GN62" s="326"/>
      <c r="GO62" s="326"/>
      <c r="GP62" s="326"/>
      <c r="GQ62" s="326"/>
      <c r="GR62" s="326"/>
      <c r="GS62" s="326"/>
      <c r="GT62" s="326"/>
      <c r="GU62" s="326"/>
      <c r="GV62" s="326"/>
      <c r="GW62" s="326"/>
      <c r="GX62" s="326"/>
      <c r="GY62" s="326"/>
      <c r="GZ62" s="326"/>
      <c r="HA62" s="326"/>
      <c r="HB62" s="326"/>
      <c r="HC62" s="326"/>
      <c r="HD62" s="326"/>
      <c r="HE62" s="326"/>
      <c r="HF62" s="326"/>
      <c r="HG62" s="326"/>
      <c r="HH62" s="326"/>
      <c r="HI62" s="326"/>
      <c r="HJ62" s="326"/>
      <c r="HK62" s="326"/>
      <c r="HL62" s="326"/>
      <c r="HM62" s="326"/>
      <c r="HN62" s="326"/>
      <c r="HO62" s="326"/>
      <c r="HP62" s="326"/>
      <c r="HQ62" s="326"/>
      <c r="HR62" s="326"/>
      <c r="HS62" s="326"/>
      <c r="HT62" s="326"/>
      <c r="HU62" s="326"/>
      <c r="HV62" s="326"/>
      <c r="HW62" s="326"/>
      <c r="HX62" s="326"/>
      <c r="HY62" s="326"/>
      <c r="HZ62" s="326"/>
      <c r="IA62" s="326"/>
      <c r="IB62" s="326"/>
      <c r="IC62" s="326"/>
      <c r="ID62" s="326"/>
      <c r="IE62" s="326"/>
      <c r="IF62" s="326"/>
      <c r="IG62" s="326"/>
      <c r="IH62" s="326"/>
      <c r="II62" s="326"/>
      <c r="IJ62" s="326"/>
      <c r="IK62" s="326"/>
      <c r="IL62" s="326"/>
      <c r="IM62" s="326"/>
      <c r="IN62" s="326"/>
      <c r="IO62" s="326"/>
      <c r="IP62" s="326"/>
      <c r="IQ62" s="326"/>
      <c r="IR62" s="326"/>
      <c r="IS62" s="326"/>
      <c r="IT62" s="326"/>
      <c r="IU62" s="326"/>
      <c r="IV62" s="326"/>
    </row>
    <row r="63" spans="1:256" s="560" customFormat="1" ht="18" customHeight="1">
      <c r="A63" s="574">
        <v>54</v>
      </c>
      <c r="B63" s="568"/>
      <c r="C63" s="327"/>
      <c r="D63" s="483" t="s">
        <v>938</v>
      </c>
      <c r="E63" s="335"/>
      <c r="F63" s="564"/>
      <c r="G63" s="336"/>
      <c r="H63" s="773"/>
      <c r="I63" s="771"/>
      <c r="J63" s="764"/>
      <c r="K63" s="1309">
        <v>19333</v>
      </c>
      <c r="L63" s="1309"/>
      <c r="M63" s="1309">
        <v>858111</v>
      </c>
      <c r="N63" s="561"/>
      <c r="O63" s="569">
        <f>SUM(I63:N63)</f>
        <v>877444</v>
      </c>
      <c r="P63" s="565"/>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6"/>
      <c r="CK63" s="326"/>
      <c r="CL63" s="326"/>
      <c r="CM63" s="326"/>
      <c r="CN63" s="326"/>
      <c r="CO63" s="326"/>
      <c r="CP63" s="326"/>
      <c r="CQ63" s="326"/>
      <c r="CR63" s="326"/>
      <c r="CS63" s="326"/>
      <c r="CT63" s="326"/>
      <c r="CU63" s="326"/>
      <c r="CV63" s="326"/>
      <c r="CW63" s="326"/>
      <c r="CX63" s="326"/>
      <c r="CY63" s="326"/>
      <c r="CZ63" s="326"/>
      <c r="DA63" s="326"/>
      <c r="DB63" s="326"/>
      <c r="DC63" s="326"/>
      <c r="DD63" s="326"/>
      <c r="DE63" s="326"/>
      <c r="DF63" s="326"/>
      <c r="DG63" s="326"/>
      <c r="DH63" s="326"/>
      <c r="DI63" s="326"/>
      <c r="DJ63" s="326"/>
      <c r="DK63" s="326"/>
      <c r="DL63" s="326"/>
      <c r="DM63" s="326"/>
      <c r="DN63" s="326"/>
      <c r="DO63" s="326"/>
      <c r="DP63" s="326"/>
      <c r="DQ63" s="326"/>
      <c r="DR63" s="326"/>
      <c r="DS63" s="326"/>
      <c r="DT63" s="326"/>
      <c r="DU63" s="326"/>
      <c r="DV63" s="326"/>
      <c r="DW63" s="326"/>
      <c r="DX63" s="326"/>
      <c r="DY63" s="326"/>
      <c r="DZ63" s="326"/>
      <c r="EA63" s="326"/>
      <c r="EB63" s="326"/>
      <c r="EC63" s="326"/>
      <c r="ED63" s="326"/>
      <c r="EE63" s="326"/>
      <c r="EF63" s="326"/>
      <c r="EG63" s="326"/>
      <c r="EH63" s="326"/>
      <c r="EI63" s="326"/>
      <c r="EJ63" s="326"/>
      <c r="EK63" s="326"/>
      <c r="EL63" s="326"/>
      <c r="EM63" s="326"/>
      <c r="EN63" s="326"/>
      <c r="EO63" s="326"/>
      <c r="EP63" s="326"/>
      <c r="EQ63" s="326"/>
      <c r="ER63" s="326"/>
      <c r="ES63" s="326"/>
      <c r="ET63" s="326"/>
      <c r="EU63" s="326"/>
      <c r="EV63" s="326"/>
      <c r="EW63" s="326"/>
      <c r="EX63" s="326"/>
      <c r="EY63" s="326"/>
      <c r="EZ63" s="326"/>
      <c r="FA63" s="326"/>
      <c r="FB63" s="326"/>
      <c r="FC63" s="326"/>
      <c r="FD63" s="326"/>
      <c r="FE63" s="326"/>
      <c r="FF63" s="326"/>
      <c r="FG63" s="326"/>
      <c r="FH63" s="326"/>
      <c r="FI63" s="326"/>
      <c r="FJ63" s="326"/>
      <c r="FK63" s="326"/>
      <c r="FL63" s="326"/>
      <c r="FM63" s="326"/>
      <c r="FN63" s="326"/>
      <c r="FO63" s="326"/>
      <c r="FP63" s="326"/>
      <c r="FQ63" s="326"/>
      <c r="FR63" s="326"/>
      <c r="FS63" s="326"/>
      <c r="FT63" s="326"/>
      <c r="FU63" s="326"/>
      <c r="FV63" s="326"/>
      <c r="FW63" s="326"/>
      <c r="FX63" s="326"/>
      <c r="FY63" s="326"/>
      <c r="FZ63" s="326"/>
      <c r="GA63" s="326"/>
      <c r="GB63" s="326"/>
      <c r="GC63" s="326"/>
      <c r="GD63" s="326"/>
      <c r="GE63" s="326"/>
      <c r="GF63" s="326"/>
      <c r="GG63" s="326"/>
      <c r="GH63" s="326"/>
      <c r="GI63" s="326"/>
      <c r="GJ63" s="326"/>
      <c r="GK63" s="326"/>
      <c r="GL63" s="326"/>
      <c r="GM63" s="326"/>
      <c r="GN63" s="326"/>
      <c r="GO63" s="326"/>
      <c r="GP63" s="326"/>
      <c r="GQ63" s="326"/>
      <c r="GR63" s="326"/>
      <c r="GS63" s="326"/>
      <c r="GT63" s="326"/>
      <c r="GU63" s="326"/>
      <c r="GV63" s="326"/>
      <c r="GW63" s="326"/>
      <c r="GX63" s="326"/>
      <c r="GY63" s="326"/>
      <c r="GZ63" s="326"/>
      <c r="HA63" s="326"/>
      <c r="HB63" s="326"/>
      <c r="HC63" s="326"/>
      <c r="HD63" s="326"/>
      <c r="HE63" s="326"/>
      <c r="HF63" s="326"/>
      <c r="HG63" s="326"/>
      <c r="HH63" s="326"/>
      <c r="HI63" s="326"/>
      <c r="HJ63" s="326"/>
      <c r="HK63" s="326"/>
      <c r="HL63" s="326"/>
      <c r="HM63" s="326"/>
      <c r="HN63" s="326"/>
      <c r="HO63" s="326"/>
      <c r="HP63" s="326"/>
      <c r="HQ63" s="326"/>
      <c r="HR63" s="326"/>
      <c r="HS63" s="326"/>
      <c r="HT63" s="326"/>
      <c r="HU63" s="326"/>
      <c r="HV63" s="326"/>
      <c r="HW63" s="326"/>
      <c r="HX63" s="326"/>
      <c r="HY63" s="326"/>
      <c r="HZ63" s="326"/>
      <c r="IA63" s="326"/>
      <c r="IB63" s="326"/>
      <c r="IC63" s="326"/>
      <c r="ID63" s="326"/>
      <c r="IE63" s="326"/>
      <c r="IF63" s="326"/>
      <c r="IG63" s="326"/>
      <c r="IH63" s="326"/>
      <c r="II63" s="326"/>
      <c r="IJ63" s="326"/>
      <c r="IK63" s="326"/>
      <c r="IL63" s="326"/>
      <c r="IM63" s="326"/>
      <c r="IN63" s="326"/>
      <c r="IO63" s="326"/>
      <c r="IP63" s="326"/>
      <c r="IQ63" s="326"/>
      <c r="IR63" s="326"/>
      <c r="IS63" s="326"/>
      <c r="IT63" s="326"/>
      <c r="IU63" s="326"/>
      <c r="IV63" s="326"/>
    </row>
    <row r="64" spans="1:256" s="560" customFormat="1" ht="18" customHeight="1">
      <c r="A64" s="574">
        <v>55</v>
      </c>
      <c r="B64" s="568"/>
      <c r="C64" s="327"/>
      <c r="D64" s="1146" t="s">
        <v>674</v>
      </c>
      <c r="E64" s="335"/>
      <c r="F64" s="564"/>
      <c r="G64" s="336"/>
      <c r="H64" s="773"/>
      <c r="I64" s="771"/>
      <c r="J64" s="764"/>
      <c r="K64" s="764"/>
      <c r="L64" s="764"/>
      <c r="M64" s="764"/>
      <c r="N64" s="784"/>
      <c r="O64" s="1307">
        <f>SUM(I64:N64)</f>
        <v>0</v>
      </c>
      <c r="P64" s="565"/>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26"/>
      <c r="EJ64" s="326"/>
      <c r="EK64" s="326"/>
      <c r="EL64" s="326"/>
      <c r="EM64" s="326"/>
      <c r="EN64" s="326"/>
      <c r="EO64" s="326"/>
      <c r="EP64" s="326"/>
      <c r="EQ64" s="326"/>
      <c r="ER64" s="326"/>
      <c r="ES64" s="326"/>
      <c r="ET64" s="326"/>
      <c r="EU64" s="326"/>
      <c r="EV64" s="326"/>
      <c r="EW64" s="326"/>
      <c r="EX64" s="326"/>
      <c r="EY64" s="326"/>
      <c r="EZ64" s="326"/>
      <c r="FA64" s="326"/>
      <c r="FB64" s="326"/>
      <c r="FC64" s="326"/>
      <c r="FD64" s="326"/>
      <c r="FE64" s="326"/>
      <c r="FF64" s="326"/>
      <c r="FG64" s="326"/>
      <c r="FH64" s="326"/>
      <c r="FI64" s="326"/>
      <c r="FJ64" s="326"/>
      <c r="FK64" s="326"/>
      <c r="FL64" s="326"/>
      <c r="FM64" s="326"/>
      <c r="FN64" s="326"/>
      <c r="FO64" s="326"/>
      <c r="FP64" s="326"/>
      <c r="FQ64" s="326"/>
      <c r="FR64" s="326"/>
      <c r="FS64" s="326"/>
      <c r="FT64" s="326"/>
      <c r="FU64" s="326"/>
      <c r="FV64" s="326"/>
      <c r="FW64" s="326"/>
      <c r="FX64" s="326"/>
      <c r="FY64" s="326"/>
      <c r="FZ64" s="326"/>
      <c r="GA64" s="326"/>
      <c r="GB64" s="326"/>
      <c r="GC64" s="326"/>
      <c r="GD64" s="326"/>
      <c r="GE64" s="326"/>
      <c r="GF64" s="326"/>
      <c r="GG64" s="326"/>
      <c r="GH64" s="326"/>
      <c r="GI64" s="326"/>
      <c r="GJ64" s="326"/>
      <c r="GK64" s="326"/>
      <c r="GL64" s="326"/>
      <c r="GM64" s="326"/>
      <c r="GN64" s="326"/>
      <c r="GO64" s="326"/>
      <c r="GP64" s="326"/>
      <c r="GQ64" s="326"/>
      <c r="GR64" s="326"/>
      <c r="GS64" s="326"/>
      <c r="GT64" s="326"/>
      <c r="GU64" s="326"/>
      <c r="GV64" s="326"/>
      <c r="GW64" s="326"/>
      <c r="GX64" s="326"/>
      <c r="GY64" s="326"/>
      <c r="GZ64" s="326"/>
      <c r="HA64" s="326"/>
      <c r="HB64" s="326"/>
      <c r="HC64" s="326"/>
      <c r="HD64" s="326"/>
      <c r="HE64" s="326"/>
      <c r="HF64" s="326"/>
      <c r="HG64" s="326"/>
      <c r="HH64" s="326"/>
      <c r="HI64" s="326"/>
      <c r="HJ64" s="326"/>
      <c r="HK64" s="326"/>
      <c r="HL64" s="326"/>
      <c r="HM64" s="326"/>
      <c r="HN64" s="326"/>
      <c r="HO64" s="326"/>
      <c r="HP64" s="326"/>
      <c r="HQ64" s="326"/>
      <c r="HR64" s="326"/>
      <c r="HS64" s="326"/>
      <c r="HT64" s="326"/>
      <c r="HU64" s="326"/>
      <c r="HV64" s="326"/>
      <c r="HW64" s="326"/>
      <c r="HX64" s="326"/>
      <c r="HY64" s="326"/>
      <c r="HZ64" s="326"/>
      <c r="IA64" s="326"/>
      <c r="IB64" s="326"/>
      <c r="IC64" s="326"/>
      <c r="ID64" s="326"/>
      <c r="IE64" s="326"/>
      <c r="IF64" s="326"/>
      <c r="IG64" s="326"/>
      <c r="IH64" s="326"/>
      <c r="II64" s="326"/>
      <c r="IJ64" s="326"/>
      <c r="IK64" s="326"/>
      <c r="IL64" s="326"/>
      <c r="IM64" s="326"/>
      <c r="IN64" s="326"/>
      <c r="IO64" s="326"/>
      <c r="IP64" s="326"/>
      <c r="IQ64" s="326"/>
      <c r="IR64" s="326"/>
      <c r="IS64" s="326"/>
      <c r="IT64" s="326"/>
      <c r="IU64" s="326"/>
      <c r="IV64" s="326"/>
    </row>
    <row r="65" spans="1:256" s="560" customFormat="1" ht="18" customHeight="1">
      <c r="A65" s="574">
        <v>56</v>
      </c>
      <c r="B65" s="568"/>
      <c r="C65" s="327"/>
      <c r="D65" s="483" t="s">
        <v>1091</v>
      </c>
      <c r="E65" s="335"/>
      <c r="F65" s="564"/>
      <c r="G65" s="336"/>
      <c r="H65" s="773"/>
      <c r="I65" s="771"/>
      <c r="J65" s="764"/>
      <c r="K65" s="1309">
        <f>SUM(K63:K64)</f>
        <v>19333</v>
      </c>
      <c r="L65" s="1309"/>
      <c r="M65" s="1309">
        <f>SUM(M63:M64)</f>
        <v>858111</v>
      </c>
      <c r="N65" s="784"/>
      <c r="O65" s="569">
        <f>SUM(I65:N65)</f>
        <v>877444</v>
      </c>
      <c r="P65" s="565"/>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6"/>
      <c r="CK65" s="326"/>
      <c r="CL65" s="326"/>
      <c r="CM65" s="326"/>
      <c r="CN65" s="326"/>
      <c r="CO65" s="326"/>
      <c r="CP65" s="326"/>
      <c r="CQ65" s="326"/>
      <c r="CR65" s="326"/>
      <c r="CS65" s="326"/>
      <c r="CT65" s="326"/>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326"/>
      <c r="DW65" s="326"/>
      <c r="DX65" s="326"/>
      <c r="DY65" s="326"/>
      <c r="DZ65" s="326"/>
      <c r="EA65" s="326"/>
      <c r="EB65" s="326"/>
      <c r="EC65" s="326"/>
      <c r="ED65" s="326"/>
      <c r="EE65" s="326"/>
      <c r="EF65" s="326"/>
      <c r="EG65" s="326"/>
      <c r="EH65" s="326"/>
      <c r="EI65" s="326"/>
      <c r="EJ65" s="326"/>
      <c r="EK65" s="326"/>
      <c r="EL65" s="326"/>
      <c r="EM65" s="326"/>
      <c r="EN65" s="326"/>
      <c r="EO65" s="326"/>
      <c r="EP65" s="326"/>
      <c r="EQ65" s="326"/>
      <c r="ER65" s="326"/>
      <c r="ES65" s="326"/>
      <c r="ET65" s="326"/>
      <c r="EU65" s="326"/>
      <c r="EV65" s="326"/>
      <c r="EW65" s="326"/>
      <c r="EX65" s="326"/>
      <c r="EY65" s="326"/>
      <c r="EZ65" s="326"/>
      <c r="FA65" s="326"/>
      <c r="FB65" s="326"/>
      <c r="FC65" s="326"/>
      <c r="FD65" s="326"/>
      <c r="FE65" s="326"/>
      <c r="FF65" s="326"/>
      <c r="FG65" s="326"/>
      <c r="FH65" s="326"/>
      <c r="FI65" s="326"/>
      <c r="FJ65" s="326"/>
      <c r="FK65" s="326"/>
      <c r="FL65" s="326"/>
      <c r="FM65" s="326"/>
      <c r="FN65" s="326"/>
      <c r="FO65" s="326"/>
      <c r="FP65" s="326"/>
      <c r="FQ65" s="326"/>
      <c r="FR65" s="326"/>
      <c r="FS65" s="326"/>
      <c r="FT65" s="326"/>
      <c r="FU65" s="326"/>
      <c r="FV65" s="326"/>
      <c r="FW65" s="326"/>
      <c r="FX65" s="326"/>
      <c r="FY65" s="326"/>
      <c r="FZ65" s="326"/>
      <c r="GA65" s="326"/>
      <c r="GB65" s="326"/>
      <c r="GC65" s="326"/>
      <c r="GD65" s="326"/>
      <c r="GE65" s="326"/>
      <c r="GF65" s="326"/>
      <c r="GG65" s="326"/>
      <c r="GH65" s="326"/>
      <c r="GI65" s="326"/>
      <c r="GJ65" s="326"/>
      <c r="GK65" s="326"/>
      <c r="GL65" s="326"/>
      <c r="GM65" s="326"/>
      <c r="GN65" s="326"/>
      <c r="GO65" s="326"/>
      <c r="GP65" s="326"/>
      <c r="GQ65" s="326"/>
      <c r="GR65" s="326"/>
      <c r="GS65" s="326"/>
      <c r="GT65" s="326"/>
      <c r="GU65" s="326"/>
      <c r="GV65" s="326"/>
      <c r="GW65" s="326"/>
      <c r="GX65" s="326"/>
      <c r="GY65" s="326"/>
      <c r="GZ65" s="326"/>
      <c r="HA65" s="326"/>
      <c r="HB65" s="326"/>
      <c r="HC65" s="326"/>
      <c r="HD65" s="326"/>
      <c r="HE65" s="326"/>
      <c r="HF65" s="326"/>
      <c r="HG65" s="326"/>
      <c r="HH65" s="326"/>
      <c r="HI65" s="326"/>
      <c r="HJ65" s="326"/>
      <c r="HK65" s="326"/>
      <c r="HL65" s="326"/>
      <c r="HM65" s="326"/>
      <c r="HN65" s="326"/>
      <c r="HO65" s="326"/>
      <c r="HP65" s="326"/>
      <c r="HQ65" s="326"/>
      <c r="HR65" s="326"/>
      <c r="HS65" s="326"/>
      <c r="HT65" s="326"/>
      <c r="HU65" s="326"/>
      <c r="HV65" s="326"/>
      <c r="HW65" s="326"/>
      <c r="HX65" s="326"/>
      <c r="HY65" s="326"/>
      <c r="HZ65" s="326"/>
      <c r="IA65" s="326"/>
      <c r="IB65" s="326"/>
      <c r="IC65" s="326"/>
      <c r="ID65" s="326"/>
      <c r="IE65" s="326"/>
      <c r="IF65" s="326"/>
      <c r="IG65" s="326"/>
      <c r="IH65" s="326"/>
      <c r="II65" s="326"/>
      <c r="IJ65" s="326"/>
      <c r="IK65" s="326"/>
      <c r="IL65" s="326"/>
      <c r="IM65" s="326"/>
      <c r="IN65" s="326"/>
      <c r="IO65" s="326"/>
      <c r="IP65" s="326"/>
      <c r="IQ65" s="326"/>
      <c r="IR65" s="326"/>
      <c r="IS65" s="326"/>
      <c r="IT65" s="326"/>
      <c r="IU65" s="326"/>
      <c r="IV65" s="326"/>
    </row>
    <row r="66" spans="1:256" s="560" customFormat="1" ht="49.5">
      <c r="A66" s="574">
        <v>57</v>
      </c>
      <c r="B66" s="568"/>
      <c r="C66" s="327">
        <v>12</v>
      </c>
      <c r="D66" s="329" t="s">
        <v>339</v>
      </c>
      <c r="E66" s="335"/>
      <c r="F66" s="564"/>
      <c r="G66" s="336"/>
      <c r="H66" s="795" t="s">
        <v>23</v>
      </c>
      <c r="I66" s="771"/>
      <c r="J66" s="764"/>
      <c r="K66" s="764"/>
      <c r="L66" s="764"/>
      <c r="M66" s="764"/>
      <c r="N66" s="784"/>
      <c r="O66" s="758"/>
      <c r="P66" s="565"/>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c r="BT66" s="326"/>
      <c r="BU66" s="326"/>
      <c r="BV66" s="326"/>
      <c r="BW66" s="326"/>
      <c r="BX66" s="326"/>
      <c r="BY66" s="326"/>
      <c r="BZ66" s="326"/>
      <c r="CA66" s="326"/>
      <c r="CB66" s="326"/>
      <c r="CC66" s="326"/>
      <c r="CD66" s="326"/>
      <c r="CE66" s="326"/>
      <c r="CF66" s="326"/>
      <c r="CG66" s="326"/>
      <c r="CH66" s="326"/>
      <c r="CI66" s="326"/>
      <c r="CJ66" s="326"/>
      <c r="CK66" s="326"/>
      <c r="CL66" s="326"/>
      <c r="CM66" s="326"/>
      <c r="CN66" s="326"/>
      <c r="CO66" s="326"/>
      <c r="CP66" s="326"/>
      <c r="CQ66" s="326"/>
      <c r="CR66" s="326"/>
      <c r="CS66" s="326"/>
      <c r="CT66" s="326"/>
      <c r="CU66" s="326"/>
      <c r="CV66" s="326"/>
      <c r="CW66" s="326"/>
      <c r="CX66" s="326"/>
      <c r="CY66" s="326"/>
      <c r="CZ66" s="326"/>
      <c r="DA66" s="326"/>
      <c r="DB66" s="326"/>
      <c r="DC66" s="326"/>
      <c r="DD66" s="326"/>
      <c r="DE66" s="326"/>
      <c r="DF66" s="326"/>
      <c r="DG66" s="326"/>
      <c r="DH66" s="326"/>
      <c r="DI66" s="326"/>
      <c r="DJ66" s="326"/>
      <c r="DK66" s="326"/>
      <c r="DL66" s="326"/>
      <c r="DM66" s="326"/>
      <c r="DN66" s="326"/>
      <c r="DO66" s="326"/>
      <c r="DP66" s="326"/>
      <c r="DQ66" s="326"/>
      <c r="DR66" s="326"/>
      <c r="DS66" s="326"/>
      <c r="DT66" s="326"/>
      <c r="DU66" s="326"/>
      <c r="DV66" s="326"/>
      <c r="DW66" s="326"/>
      <c r="DX66" s="326"/>
      <c r="DY66" s="326"/>
      <c r="DZ66" s="326"/>
      <c r="EA66" s="326"/>
      <c r="EB66" s="326"/>
      <c r="EC66" s="326"/>
      <c r="ED66" s="326"/>
      <c r="EE66" s="326"/>
      <c r="EF66" s="326"/>
      <c r="EG66" s="326"/>
      <c r="EH66" s="326"/>
      <c r="EI66" s="326"/>
      <c r="EJ66" s="326"/>
      <c r="EK66" s="326"/>
      <c r="EL66" s="326"/>
      <c r="EM66" s="326"/>
      <c r="EN66" s="326"/>
      <c r="EO66" s="326"/>
      <c r="EP66" s="326"/>
      <c r="EQ66" s="326"/>
      <c r="ER66" s="326"/>
      <c r="ES66" s="326"/>
      <c r="ET66" s="326"/>
      <c r="EU66" s="326"/>
      <c r="EV66" s="326"/>
      <c r="EW66" s="326"/>
      <c r="EX66" s="326"/>
      <c r="EY66" s="326"/>
      <c r="EZ66" s="326"/>
      <c r="FA66" s="326"/>
      <c r="FB66" s="326"/>
      <c r="FC66" s="326"/>
      <c r="FD66" s="326"/>
      <c r="FE66" s="326"/>
      <c r="FF66" s="326"/>
      <c r="FG66" s="326"/>
      <c r="FH66" s="326"/>
      <c r="FI66" s="326"/>
      <c r="FJ66" s="326"/>
      <c r="FK66" s="326"/>
      <c r="FL66" s="326"/>
      <c r="FM66" s="326"/>
      <c r="FN66" s="326"/>
      <c r="FO66" s="326"/>
      <c r="FP66" s="326"/>
      <c r="FQ66" s="326"/>
      <c r="FR66" s="326"/>
      <c r="FS66" s="326"/>
      <c r="FT66" s="326"/>
      <c r="FU66" s="326"/>
      <c r="FV66" s="326"/>
      <c r="FW66" s="326"/>
      <c r="FX66" s="326"/>
      <c r="FY66" s="326"/>
      <c r="FZ66" s="326"/>
      <c r="GA66" s="326"/>
      <c r="GB66" s="326"/>
      <c r="GC66" s="326"/>
      <c r="GD66" s="326"/>
      <c r="GE66" s="326"/>
      <c r="GF66" s="326"/>
      <c r="GG66" s="326"/>
      <c r="GH66" s="326"/>
      <c r="GI66" s="326"/>
      <c r="GJ66" s="326"/>
      <c r="GK66" s="326"/>
      <c r="GL66" s="326"/>
      <c r="GM66" s="326"/>
      <c r="GN66" s="326"/>
      <c r="GO66" s="326"/>
      <c r="GP66" s="326"/>
      <c r="GQ66" s="326"/>
      <c r="GR66" s="326"/>
      <c r="GS66" s="326"/>
      <c r="GT66" s="326"/>
      <c r="GU66" s="326"/>
      <c r="GV66" s="326"/>
      <c r="GW66" s="326"/>
      <c r="GX66" s="326"/>
      <c r="GY66" s="326"/>
      <c r="GZ66" s="326"/>
      <c r="HA66" s="326"/>
      <c r="HB66" s="326"/>
      <c r="HC66" s="326"/>
      <c r="HD66" s="326"/>
      <c r="HE66" s="326"/>
      <c r="HF66" s="326"/>
      <c r="HG66" s="326"/>
      <c r="HH66" s="326"/>
      <c r="HI66" s="326"/>
      <c r="HJ66" s="326"/>
      <c r="HK66" s="326"/>
      <c r="HL66" s="326"/>
      <c r="HM66" s="326"/>
      <c r="HN66" s="326"/>
      <c r="HO66" s="326"/>
      <c r="HP66" s="326"/>
      <c r="HQ66" s="326"/>
      <c r="HR66" s="326"/>
      <c r="HS66" s="326"/>
      <c r="HT66" s="326"/>
      <c r="HU66" s="326"/>
      <c r="HV66" s="326"/>
      <c r="HW66" s="326"/>
      <c r="HX66" s="326"/>
      <c r="HY66" s="326"/>
      <c r="HZ66" s="326"/>
      <c r="IA66" s="326"/>
      <c r="IB66" s="326"/>
      <c r="IC66" s="326"/>
      <c r="ID66" s="326"/>
      <c r="IE66" s="326"/>
      <c r="IF66" s="326"/>
      <c r="IG66" s="326"/>
      <c r="IH66" s="326"/>
      <c r="II66" s="326"/>
      <c r="IJ66" s="326"/>
      <c r="IK66" s="326"/>
      <c r="IL66" s="326"/>
      <c r="IM66" s="326"/>
      <c r="IN66" s="326"/>
      <c r="IO66" s="326"/>
      <c r="IP66" s="326"/>
      <c r="IQ66" s="326"/>
      <c r="IR66" s="326"/>
      <c r="IS66" s="326"/>
      <c r="IT66" s="326"/>
      <c r="IU66" s="326"/>
      <c r="IV66" s="326"/>
    </row>
    <row r="67" spans="1:256" s="560" customFormat="1" ht="18" customHeight="1">
      <c r="A67" s="574">
        <v>58</v>
      </c>
      <c r="B67" s="568"/>
      <c r="C67" s="327"/>
      <c r="D67" s="1324" t="s">
        <v>283</v>
      </c>
      <c r="E67" s="335">
        <f>F67+G67+O70+P67</f>
        <v>1147594</v>
      </c>
      <c r="F67" s="564">
        <f>25062+32060+393153+688437</f>
        <v>1138712</v>
      </c>
      <c r="G67" s="336">
        <v>260</v>
      </c>
      <c r="H67" s="773"/>
      <c r="I67" s="771"/>
      <c r="J67" s="764"/>
      <c r="K67" s="764">
        <v>8622</v>
      </c>
      <c r="L67" s="764"/>
      <c r="M67" s="764"/>
      <c r="N67" s="784"/>
      <c r="O67" s="758">
        <f>SUM(I67:N67)</f>
        <v>8622</v>
      </c>
      <c r="P67" s="565"/>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6"/>
      <c r="BZ67" s="326"/>
      <c r="CA67" s="326"/>
      <c r="CB67" s="326"/>
      <c r="CC67" s="326"/>
      <c r="CD67" s="326"/>
      <c r="CE67" s="326"/>
      <c r="CF67" s="326"/>
      <c r="CG67" s="326"/>
      <c r="CH67" s="326"/>
      <c r="CI67" s="326"/>
      <c r="CJ67" s="326"/>
      <c r="CK67" s="326"/>
      <c r="CL67" s="326"/>
      <c r="CM67" s="326"/>
      <c r="CN67" s="326"/>
      <c r="CO67" s="326"/>
      <c r="CP67" s="326"/>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326"/>
      <c r="DM67" s="326"/>
      <c r="DN67" s="326"/>
      <c r="DO67" s="326"/>
      <c r="DP67" s="326"/>
      <c r="DQ67" s="326"/>
      <c r="DR67" s="326"/>
      <c r="DS67" s="326"/>
      <c r="DT67" s="326"/>
      <c r="DU67" s="326"/>
      <c r="DV67" s="326"/>
      <c r="DW67" s="326"/>
      <c r="DX67" s="326"/>
      <c r="DY67" s="326"/>
      <c r="DZ67" s="326"/>
      <c r="EA67" s="326"/>
      <c r="EB67" s="326"/>
      <c r="EC67" s="326"/>
      <c r="ED67" s="326"/>
      <c r="EE67" s="326"/>
      <c r="EF67" s="326"/>
      <c r="EG67" s="326"/>
      <c r="EH67" s="326"/>
      <c r="EI67" s="326"/>
      <c r="EJ67" s="326"/>
      <c r="EK67" s="326"/>
      <c r="EL67" s="326"/>
      <c r="EM67" s="326"/>
      <c r="EN67" s="326"/>
      <c r="EO67" s="326"/>
      <c r="EP67" s="326"/>
      <c r="EQ67" s="326"/>
      <c r="ER67" s="326"/>
      <c r="ES67" s="326"/>
      <c r="ET67" s="326"/>
      <c r="EU67" s="326"/>
      <c r="EV67" s="326"/>
      <c r="EW67" s="326"/>
      <c r="EX67" s="326"/>
      <c r="EY67" s="326"/>
      <c r="EZ67" s="326"/>
      <c r="FA67" s="326"/>
      <c r="FB67" s="326"/>
      <c r="FC67" s="326"/>
      <c r="FD67" s="326"/>
      <c r="FE67" s="326"/>
      <c r="FF67" s="326"/>
      <c r="FG67" s="326"/>
      <c r="FH67" s="326"/>
      <c r="FI67" s="326"/>
      <c r="FJ67" s="326"/>
      <c r="FK67" s="326"/>
      <c r="FL67" s="326"/>
      <c r="FM67" s="326"/>
      <c r="FN67" s="326"/>
      <c r="FO67" s="326"/>
      <c r="FP67" s="326"/>
      <c r="FQ67" s="326"/>
      <c r="FR67" s="326"/>
      <c r="FS67" s="326"/>
      <c r="FT67" s="326"/>
      <c r="FU67" s="326"/>
      <c r="FV67" s="326"/>
      <c r="FW67" s="326"/>
      <c r="FX67" s="326"/>
      <c r="FY67" s="326"/>
      <c r="FZ67" s="326"/>
      <c r="GA67" s="326"/>
      <c r="GB67" s="326"/>
      <c r="GC67" s="326"/>
      <c r="GD67" s="326"/>
      <c r="GE67" s="326"/>
      <c r="GF67" s="326"/>
      <c r="GG67" s="326"/>
      <c r="GH67" s="326"/>
      <c r="GI67" s="326"/>
      <c r="GJ67" s="326"/>
      <c r="GK67" s="326"/>
      <c r="GL67" s="326"/>
      <c r="GM67" s="326"/>
      <c r="GN67" s="326"/>
      <c r="GO67" s="326"/>
      <c r="GP67" s="326"/>
      <c r="GQ67" s="326"/>
      <c r="GR67" s="326"/>
      <c r="GS67" s="326"/>
      <c r="GT67" s="326"/>
      <c r="GU67" s="326"/>
      <c r="GV67" s="326"/>
      <c r="GW67" s="326"/>
      <c r="GX67" s="326"/>
      <c r="GY67" s="326"/>
      <c r="GZ67" s="326"/>
      <c r="HA67" s="326"/>
      <c r="HB67" s="326"/>
      <c r="HC67" s="326"/>
      <c r="HD67" s="326"/>
      <c r="HE67" s="326"/>
      <c r="HF67" s="326"/>
      <c r="HG67" s="326"/>
      <c r="HH67" s="326"/>
      <c r="HI67" s="326"/>
      <c r="HJ67" s="326"/>
      <c r="HK67" s="326"/>
      <c r="HL67" s="326"/>
      <c r="HM67" s="326"/>
      <c r="HN67" s="326"/>
      <c r="HO67" s="326"/>
      <c r="HP67" s="326"/>
      <c r="HQ67" s="326"/>
      <c r="HR67" s="326"/>
      <c r="HS67" s="326"/>
      <c r="HT67" s="326"/>
      <c r="HU67" s="326"/>
      <c r="HV67" s="326"/>
      <c r="HW67" s="326"/>
      <c r="HX67" s="326"/>
      <c r="HY67" s="326"/>
      <c r="HZ67" s="326"/>
      <c r="IA67" s="326"/>
      <c r="IB67" s="326"/>
      <c r="IC67" s="326"/>
      <c r="ID67" s="326"/>
      <c r="IE67" s="326"/>
      <c r="IF67" s="326"/>
      <c r="IG67" s="326"/>
      <c r="IH67" s="326"/>
      <c r="II67" s="326"/>
      <c r="IJ67" s="326"/>
      <c r="IK67" s="326"/>
      <c r="IL67" s="326"/>
      <c r="IM67" s="326"/>
      <c r="IN67" s="326"/>
      <c r="IO67" s="326"/>
      <c r="IP67" s="326"/>
      <c r="IQ67" s="326"/>
      <c r="IR67" s="326"/>
      <c r="IS67" s="326"/>
      <c r="IT67" s="326"/>
      <c r="IU67" s="326"/>
      <c r="IV67" s="326"/>
    </row>
    <row r="68" spans="1:256" s="560" customFormat="1" ht="18" customHeight="1">
      <c r="A68" s="574">
        <v>59</v>
      </c>
      <c r="B68" s="568"/>
      <c r="C68" s="327"/>
      <c r="D68" s="483" t="s">
        <v>938</v>
      </c>
      <c r="E68" s="335"/>
      <c r="F68" s="564"/>
      <c r="G68" s="336"/>
      <c r="H68" s="773"/>
      <c r="I68" s="771"/>
      <c r="J68" s="764"/>
      <c r="K68" s="1309">
        <v>8622</v>
      </c>
      <c r="L68" s="1309"/>
      <c r="M68" s="1309"/>
      <c r="N68" s="561"/>
      <c r="O68" s="569">
        <f>SUM(I68:N68)</f>
        <v>8622</v>
      </c>
      <c r="P68" s="565"/>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c r="CO68" s="326"/>
      <c r="CP68" s="326"/>
      <c r="CQ68" s="326"/>
      <c r="CR68" s="326"/>
      <c r="CS68" s="326"/>
      <c r="CT68" s="326"/>
      <c r="CU68" s="326"/>
      <c r="CV68" s="326"/>
      <c r="CW68" s="326"/>
      <c r="CX68" s="326"/>
      <c r="CY68" s="326"/>
      <c r="CZ68" s="326"/>
      <c r="DA68" s="326"/>
      <c r="DB68" s="326"/>
      <c r="DC68" s="326"/>
      <c r="DD68" s="326"/>
      <c r="DE68" s="326"/>
      <c r="DF68" s="326"/>
      <c r="DG68" s="326"/>
      <c r="DH68" s="326"/>
      <c r="DI68" s="326"/>
      <c r="DJ68" s="326"/>
      <c r="DK68" s="326"/>
      <c r="DL68" s="326"/>
      <c r="DM68" s="326"/>
      <c r="DN68" s="326"/>
      <c r="DO68" s="326"/>
      <c r="DP68" s="326"/>
      <c r="DQ68" s="326"/>
      <c r="DR68" s="326"/>
      <c r="DS68" s="326"/>
      <c r="DT68" s="326"/>
      <c r="DU68" s="326"/>
      <c r="DV68" s="326"/>
      <c r="DW68" s="326"/>
      <c r="DX68" s="326"/>
      <c r="DY68" s="326"/>
      <c r="DZ68" s="326"/>
      <c r="EA68" s="326"/>
      <c r="EB68" s="326"/>
      <c r="EC68" s="326"/>
      <c r="ED68" s="326"/>
      <c r="EE68" s="326"/>
      <c r="EF68" s="326"/>
      <c r="EG68" s="326"/>
      <c r="EH68" s="326"/>
      <c r="EI68" s="326"/>
      <c r="EJ68" s="326"/>
      <c r="EK68" s="326"/>
      <c r="EL68" s="326"/>
      <c r="EM68" s="326"/>
      <c r="EN68" s="326"/>
      <c r="EO68" s="326"/>
      <c r="EP68" s="326"/>
      <c r="EQ68" s="326"/>
      <c r="ER68" s="326"/>
      <c r="ES68" s="326"/>
      <c r="ET68" s="326"/>
      <c r="EU68" s="326"/>
      <c r="EV68" s="326"/>
      <c r="EW68" s="326"/>
      <c r="EX68" s="326"/>
      <c r="EY68" s="326"/>
      <c r="EZ68" s="326"/>
      <c r="FA68" s="326"/>
      <c r="FB68" s="326"/>
      <c r="FC68" s="326"/>
      <c r="FD68" s="326"/>
      <c r="FE68" s="326"/>
      <c r="FF68" s="326"/>
      <c r="FG68" s="326"/>
      <c r="FH68" s="326"/>
      <c r="FI68" s="326"/>
      <c r="FJ68" s="326"/>
      <c r="FK68" s="326"/>
      <c r="FL68" s="326"/>
      <c r="FM68" s="326"/>
      <c r="FN68" s="326"/>
      <c r="FO68" s="326"/>
      <c r="FP68" s="326"/>
      <c r="FQ68" s="326"/>
      <c r="FR68" s="326"/>
      <c r="FS68" s="326"/>
      <c r="FT68" s="326"/>
      <c r="FU68" s="326"/>
      <c r="FV68" s="326"/>
      <c r="FW68" s="326"/>
      <c r="FX68" s="326"/>
      <c r="FY68" s="326"/>
      <c r="FZ68" s="326"/>
      <c r="GA68" s="326"/>
      <c r="GB68" s="326"/>
      <c r="GC68" s="326"/>
      <c r="GD68" s="326"/>
      <c r="GE68" s="326"/>
      <c r="GF68" s="326"/>
      <c r="GG68" s="326"/>
      <c r="GH68" s="326"/>
      <c r="GI68" s="326"/>
      <c r="GJ68" s="326"/>
      <c r="GK68" s="326"/>
      <c r="GL68" s="326"/>
      <c r="GM68" s="326"/>
      <c r="GN68" s="326"/>
      <c r="GO68" s="326"/>
      <c r="GP68" s="326"/>
      <c r="GQ68" s="326"/>
      <c r="GR68" s="326"/>
      <c r="GS68" s="326"/>
      <c r="GT68" s="326"/>
      <c r="GU68" s="326"/>
      <c r="GV68" s="326"/>
      <c r="GW68" s="326"/>
      <c r="GX68" s="326"/>
      <c r="GY68" s="326"/>
      <c r="GZ68" s="326"/>
      <c r="HA68" s="326"/>
      <c r="HB68" s="326"/>
      <c r="HC68" s="326"/>
      <c r="HD68" s="326"/>
      <c r="HE68" s="326"/>
      <c r="HF68" s="326"/>
      <c r="HG68" s="326"/>
      <c r="HH68" s="326"/>
      <c r="HI68" s="326"/>
      <c r="HJ68" s="326"/>
      <c r="HK68" s="326"/>
      <c r="HL68" s="326"/>
      <c r="HM68" s="326"/>
      <c r="HN68" s="326"/>
      <c r="HO68" s="326"/>
      <c r="HP68" s="326"/>
      <c r="HQ68" s="326"/>
      <c r="HR68" s="326"/>
      <c r="HS68" s="326"/>
      <c r="HT68" s="326"/>
      <c r="HU68" s="326"/>
      <c r="HV68" s="326"/>
      <c r="HW68" s="326"/>
      <c r="HX68" s="326"/>
      <c r="HY68" s="326"/>
      <c r="HZ68" s="326"/>
      <c r="IA68" s="326"/>
      <c r="IB68" s="326"/>
      <c r="IC68" s="326"/>
      <c r="ID68" s="326"/>
      <c r="IE68" s="326"/>
      <c r="IF68" s="326"/>
      <c r="IG68" s="326"/>
      <c r="IH68" s="326"/>
      <c r="II68" s="326"/>
      <c r="IJ68" s="326"/>
      <c r="IK68" s="326"/>
      <c r="IL68" s="326"/>
      <c r="IM68" s="326"/>
      <c r="IN68" s="326"/>
      <c r="IO68" s="326"/>
      <c r="IP68" s="326"/>
      <c r="IQ68" s="326"/>
      <c r="IR68" s="326"/>
      <c r="IS68" s="326"/>
      <c r="IT68" s="326"/>
      <c r="IU68" s="326"/>
      <c r="IV68" s="326"/>
    </row>
    <row r="69" spans="1:256" s="560" customFormat="1" ht="18" customHeight="1">
      <c r="A69" s="574">
        <v>60</v>
      </c>
      <c r="B69" s="568"/>
      <c r="C69" s="327"/>
      <c r="D69" s="1146" t="s">
        <v>674</v>
      </c>
      <c r="E69" s="335"/>
      <c r="F69" s="564"/>
      <c r="G69" s="336"/>
      <c r="H69" s="773"/>
      <c r="I69" s="771"/>
      <c r="J69" s="764"/>
      <c r="K69" s="764"/>
      <c r="L69" s="764"/>
      <c r="M69" s="764"/>
      <c r="N69" s="784"/>
      <c r="O69" s="1307">
        <f>SUM(I69:N69)</f>
        <v>0</v>
      </c>
      <c r="P69" s="565"/>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c r="CH69" s="326"/>
      <c r="CI69" s="326"/>
      <c r="CJ69" s="326"/>
      <c r="CK69" s="326"/>
      <c r="CL69" s="326"/>
      <c r="CM69" s="326"/>
      <c r="CN69" s="326"/>
      <c r="CO69" s="326"/>
      <c r="CP69" s="326"/>
      <c r="CQ69" s="326"/>
      <c r="CR69" s="326"/>
      <c r="CS69" s="326"/>
      <c r="CT69" s="326"/>
      <c r="CU69" s="326"/>
      <c r="CV69" s="326"/>
      <c r="CW69" s="326"/>
      <c r="CX69" s="326"/>
      <c r="CY69" s="326"/>
      <c r="CZ69" s="326"/>
      <c r="DA69" s="326"/>
      <c r="DB69" s="326"/>
      <c r="DC69" s="326"/>
      <c r="DD69" s="326"/>
      <c r="DE69" s="326"/>
      <c r="DF69" s="326"/>
      <c r="DG69" s="326"/>
      <c r="DH69" s="326"/>
      <c r="DI69" s="326"/>
      <c r="DJ69" s="326"/>
      <c r="DK69" s="326"/>
      <c r="DL69" s="326"/>
      <c r="DM69" s="326"/>
      <c r="DN69" s="326"/>
      <c r="DO69" s="326"/>
      <c r="DP69" s="326"/>
      <c r="DQ69" s="326"/>
      <c r="DR69" s="326"/>
      <c r="DS69" s="326"/>
      <c r="DT69" s="326"/>
      <c r="DU69" s="326"/>
      <c r="DV69" s="326"/>
      <c r="DW69" s="326"/>
      <c r="DX69" s="326"/>
      <c r="DY69" s="326"/>
      <c r="DZ69" s="326"/>
      <c r="EA69" s="326"/>
      <c r="EB69" s="326"/>
      <c r="EC69" s="326"/>
      <c r="ED69" s="326"/>
      <c r="EE69" s="326"/>
      <c r="EF69" s="326"/>
      <c r="EG69" s="326"/>
      <c r="EH69" s="326"/>
      <c r="EI69" s="326"/>
      <c r="EJ69" s="326"/>
      <c r="EK69" s="326"/>
      <c r="EL69" s="326"/>
      <c r="EM69" s="326"/>
      <c r="EN69" s="326"/>
      <c r="EO69" s="326"/>
      <c r="EP69" s="326"/>
      <c r="EQ69" s="326"/>
      <c r="ER69" s="326"/>
      <c r="ES69" s="326"/>
      <c r="ET69" s="326"/>
      <c r="EU69" s="326"/>
      <c r="EV69" s="326"/>
      <c r="EW69" s="326"/>
      <c r="EX69" s="326"/>
      <c r="EY69" s="326"/>
      <c r="EZ69" s="326"/>
      <c r="FA69" s="326"/>
      <c r="FB69" s="326"/>
      <c r="FC69" s="326"/>
      <c r="FD69" s="326"/>
      <c r="FE69" s="326"/>
      <c r="FF69" s="326"/>
      <c r="FG69" s="326"/>
      <c r="FH69" s="326"/>
      <c r="FI69" s="326"/>
      <c r="FJ69" s="326"/>
      <c r="FK69" s="326"/>
      <c r="FL69" s="326"/>
      <c r="FM69" s="326"/>
      <c r="FN69" s="326"/>
      <c r="FO69" s="326"/>
      <c r="FP69" s="326"/>
      <c r="FQ69" s="326"/>
      <c r="FR69" s="326"/>
      <c r="FS69" s="326"/>
      <c r="FT69" s="326"/>
      <c r="FU69" s="326"/>
      <c r="FV69" s="326"/>
      <c r="FW69" s="326"/>
      <c r="FX69" s="326"/>
      <c r="FY69" s="326"/>
      <c r="FZ69" s="326"/>
      <c r="GA69" s="326"/>
      <c r="GB69" s="326"/>
      <c r="GC69" s="326"/>
      <c r="GD69" s="326"/>
      <c r="GE69" s="326"/>
      <c r="GF69" s="326"/>
      <c r="GG69" s="326"/>
      <c r="GH69" s="326"/>
      <c r="GI69" s="326"/>
      <c r="GJ69" s="326"/>
      <c r="GK69" s="326"/>
      <c r="GL69" s="326"/>
      <c r="GM69" s="326"/>
      <c r="GN69" s="326"/>
      <c r="GO69" s="326"/>
      <c r="GP69" s="326"/>
      <c r="GQ69" s="326"/>
      <c r="GR69" s="326"/>
      <c r="GS69" s="326"/>
      <c r="GT69" s="326"/>
      <c r="GU69" s="326"/>
      <c r="GV69" s="326"/>
      <c r="GW69" s="326"/>
      <c r="GX69" s="326"/>
      <c r="GY69" s="326"/>
      <c r="GZ69" s="326"/>
      <c r="HA69" s="326"/>
      <c r="HB69" s="326"/>
      <c r="HC69" s="326"/>
      <c r="HD69" s="326"/>
      <c r="HE69" s="326"/>
      <c r="HF69" s="326"/>
      <c r="HG69" s="326"/>
      <c r="HH69" s="326"/>
      <c r="HI69" s="326"/>
      <c r="HJ69" s="326"/>
      <c r="HK69" s="326"/>
      <c r="HL69" s="326"/>
      <c r="HM69" s="326"/>
      <c r="HN69" s="326"/>
      <c r="HO69" s="326"/>
      <c r="HP69" s="326"/>
      <c r="HQ69" s="326"/>
      <c r="HR69" s="326"/>
      <c r="HS69" s="326"/>
      <c r="HT69" s="326"/>
      <c r="HU69" s="326"/>
      <c r="HV69" s="326"/>
      <c r="HW69" s="326"/>
      <c r="HX69" s="326"/>
      <c r="HY69" s="326"/>
      <c r="HZ69" s="326"/>
      <c r="IA69" s="326"/>
      <c r="IB69" s="326"/>
      <c r="IC69" s="326"/>
      <c r="ID69" s="326"/>
      <c r="IE69" s="326"/>
      <c r="IF69" s="326"/>
      <c r="IG69" s="326"/>
      <c r="IH69" s="326"/>
      <c r="II69" s="326"/>
      <c r="IJ69" s="326"/>
      <c r="IK69" s="326"/>
      <c r="IL69" s="326"/>
      <c r="IM69" s="326"/>
      <c r="IN69" s="326"/>
      <c r="IO69" s="326"/>
      <c r="IP69" s="326"/>
      <c r="IQ69" s="326"/>
      <c r="IR69" s="326"/>
      <c r="IS69" s="326"/>
      <c r="IT69" s="326"/>
      <c r="IU69" s="326"/>
      <c r="IV69" s="326"/>
    </row>
    <row r="70" spans="1:256" s="560" customFormat="1" ht="18" customHeight="1">
      <c r="A70" s="574">
        <v>61</v>
      </c>
      <c r="B70" s="568"/>
      <c r="C70" s="327"/>
      <c r="D70" s="483" t="s">
        <v>1091</v>
      </c>
      <c r="E70" s="335"/>
      <c r="F70" s="564"/>
      <c r="G70" s="336"/>
      <c r="H70" s="773"/>
      <c r="I70" s="771"/>
      <c r="J70" s="764"/>
      <c r="K70" s="1309">
        <f>SUM(K68:K69)</f>
        <v>8622</v>
      </c>
      <c r="L70" s="764"/>
      <c r="M70" s="764"/>
      <c r="N70" s="784"/>
      <c r="O70" s="569">
        <f>SUM(I70:N70)</f>
        <v>8622</v>
      </c>
      <c r="P70" s="565"/>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6"/>
      <c r="BX70" s="326"/>
      <c r="BY70" s="326"/>
      <c r="BZ70" s="326"/>
      <c r="CA70" s="326"/>
      <c r="CB70" s="326"/>
      <c r="CC70" s="326"/>
      <c r="CD70" s="326"/>
      <c r="CE70" s="326"/>
      <c r="CF70" s="326"/>
      <c r="CG70" s="326"/>
      <c r="CH70" s="326"/>
      <c r="CI70" s="326"/>
      <c r="CJ70" s="326"/>
      <c r="CK70" s="326"/>
      <c r="CL70" s="326"/>
      <c r="CM70" s="326"/>
      <c r="CN70" s="326"/>
      <c r="CO70" s="326"/>
      <c r="CP70" s="326"/>
      <c r="CQ70" s="326"/>
      <c r="CR70" s="326"/>
      <c r="CS70" s="326"/>
      <c r="CT70" s="326"/>
      <c r="CU70" s="326"/>
      <c r="CV70" s="326"/>
      <c r="CW70" s="326"/>
      <c r="CX70" s="326"/>
      <c r="CY70" s="326"/>
      <c r="CZ70" s="326"/>
      <c r="DA70" s="326"/>
      <c r="DB70" s="326"/>
      <c r="DC70" s="326"/>
      <c r="DD70" s="326"/>
      <c r="DE70" s="326"/>
      <c r="DF70" s="326"/>
      <c r="DG70" s="326"/>
      <c r="DH70" s="326"/>
      <c r="DI70" s="326"/>
      <c r="DJ70" s="326"/>
      <c r="DK70" s="326"/>
      <c r="DL70" s="326"/>
      <c r="DM70" s="326"/>
      <c r="DN70" s="326"/>
      <c r="DO70" s="326"/>
      <c r="DP70" s="326"/>
      <c r="DQ70" s="326"/>
      <c r="DR70" s="326"/>
      <c r="DS70" s="326"/>
      <c r="DT70" s="326"/>
      <c r="DU70" s="326"/>
      <c r="DV70" s="326"/>
      <c r="DW70" s="326"/>
      <c r="DX70" s="326"/>
      <c r="DY70" s="326"/>
      <c r="DZ70" s="326"/>
      <c r="EA70" s="326"/>
      <c r="EB70" s="326"/>
      <c r="EC70" s="326"/>
      <c r="ED70" s="326"/>
      <c r="EE70" s="326"/>
      <c r="EF70" s="326"/>
      <c r="EG70" s="326"/>
      <c r="EH70" s="326"/>
      <c r="EI70" s="326"/>
      <c r="EJ70" s="326"/>
      <c r="EK70" s="326"/>
      <c r="EL70" s="326"/>
      <c r="EM70" s="326"/>
      <c r="EN70" s="326"/>
      <c r="EO70" s="326"/>
      <c r="EP70" s="326"/>
      <c r="EQ70" s="326"/>
      <c r="ER70" s="326"/>
      <c r="ES70" s="326"/>
      <c r="ET70" s="326"/>
      <c r="EU70" s="326"/>
      <c r="EV70" s="326"/>
      <c r="EW70" s="326"/>
      <c r="EX70" s="326"/>
      <c r="EY70" s="326"/>
      <c r="EZ70" s="326"/>
      <c r="FA70" s="326"/>
      <c r="FB70" s="326"/>
      <c r="FC70" s="326"/>
      <c r="FD70" s="326"/>
      <c r="FE70" s="326"/>
      <c r="FF70" s="326"/>
      <c r="FG70" s="326"/>
      <c r="FH70" s="326"/>
      <c r="FI70" s="326"/>
      <c r="FJ70" s="326"/>
      <c r="FK70" s="326"/>
      <c r="FL70" s="326"/>
      <c r="FM70" s="326"/>
      <c r="FN70" s="326"/>
      <c r="FO70" s="326"/>
      <c r="FP70" s="326"/>
      <c r="FQ70" s="326"/>
      <c r="FR70" s="326"/>
      <c r="FS70" s="326"/>
      <c r="FT70" s="326"/>
      <c r="FU70" s="326"/>
      <c r="FV70" s="326"/>
      <c r="FW70" s="326"/>
      <c r="FX70" s="326"/>
      <c r="FY70" s="326"/>
      <c r="FZ70" s="326"/>
      <c r="GA70" s="326"/>
      <c r="GB70" s="326"/>
      <c r="GC70" s="326"/>
      <c r="GD70" s="326"/>
      <c r="GE70" s="326"/>
      <c r="GF70" s="326"/>
      <c r="GG70" s="326"/>
      <c r="GH70" s="326"/>
      <c r="GI70" s="326"/>
      <c r="GJ70" s="326"/>
      <c r="GK70" s="326"/>
      <c r="GL70" s="326"/>
      <c r="GM70" s="326"/>
      <c r="GN70" s="326"/>
      <c r="GO70" s="326"/>
      <c r="GP70" s="326"/>
      <c r="GQ70" s="326"/>
      <c r="GR70" s="326"/>
      <c r="GS70" s="326"/>
      <c r="GT70" s="326"/>
      <c r="GU70" s="326"/>
      <c r="GV70" s="326"/>
      <c r="GW70" s="326"/>
      <c r="GX70" s="326"/>
      <c r="GY70" s="326"/>
      <c r="GZ70" s="326"/>
      <c r="HA70" s="326"/>
      <c r="HB70" s="326"/>
      <c r="HC70" s="326"/>
      <c r="HD70" s="326"/>
      <c r="HE70" s="326"/>
      <c r="HF70" s="326"/>
      <c r="HG70" s="326"/>
      <c r="HH70" s="326"/>
      <c r="HI70" s="326"/>
      <c r="HJ70" s="326"/>
      <c r="HK70" s="326"/>
      <c r="HL70" s="326"/>
      <c r="HM70" s="326"/>
      <c r="HN70" s="326"/>
      <c r="HO70" s="326"/>
      <c r="HP70" s="326"/>
      <c r="HQ70" s="326"/>
      <c r="HR70" s="326"/>
      <c r="HS70" s="326"/>
      <c r="HT70" s="326"/>
      <c r="HU70" s="326"/>
      <c r="HV70" s="326"/>
      <c r="HW70" s="326"/>
      <c r="HX70" s="326"/>
      <c r="HY70" s="326"/>
      <c r="HZ70" s="326"/>
      <c r="IA70" s="326"/>
      <c r="IB70" s="326"/>
      <c r="IC70" s="326"/>
      <c r="ID70" s="326"/>
      <c r="IE70" s="326"/>
      <c r="IF70" s="326"/>
      <c r="IG70" s="326"/>
      <c r="IH70" s="326"/>
      <c r="II70" s="326"/>
      <c r="IJ70" s="326"/>
      <c r="IK70" s="326"/>
      <c r="IL70" s="326"/>
      <c r="IM70" s="326"/>
      <c r="IN70" s="326"/>
      <c r="IO70" s="326"/>
      <c r="IP70" s="326"/>
      <c r="IQ70" s="326"/>
      <c r="IR70" s="326"/>
      <c r="IS70" s="326"/>
      <c r="IT70" s="326"/>
      <c r="IU70" s="326"/>
      <c r="IV70" s="326"/>
    </row>
    <row r="71" spans="1:16" ht="33">
      <c r="A71" s="574">
        <v>62</v>
      </c>
      <c r="B71" s="466"/>
      <c r="C71" s="327">
        <v>13</v>
      </c>
      <c r="D71" s="329" t="s">
        <v>360</v>
      </c>
      <c r="E71" s="335"/>
      <c r="F71" s="564"/>
      <c r="G71" s="336"/>
      <c r="H71" s="773" t="s">
        <v>23</v>
      </c>
      <c r="I71" s="771"/>
      <c r="J71" s="764"/>
      <c r="K71" s="764"/>
      <c r="L71" s="764"/>
      <c r="M71" s="764"/>
      <c r="N71" s="784"/>
      <c r="O71" s="758"/>
      <c r="P71" s="565"/>
    </row>
    <row r="72" spans="1:256" s="560" customFormat="1" ht="18" customHeight="1">
      <c r="A72" s="574">
        <v>63</v>
      </c>
      <c r="B72" s="568"/>
      <c r="C72" s="327"/>
      <c r="D72" s="1324" t="s">
        <v>283</v>
      </c>
      <c r="E72" s="335">
        <f>F72+G72+O75+P72+5962</f>
        <v>300876</v>
      </c>
      <c r="F72" s="564">
        <f>4460+267453</f>
        <v>271913</v>
      </c>
      <c r="G72" s="336">
        <v>0</v>
      </c>
      <c r="H72" s="773"/>
      <c r="I72" s="771"/>
      <c r="J72" s="764"/>
      <c r="K72" s="764">
        <v>1087</v>
      </c>
      <c r="L72" s="764"/>
      <c r="M72" s="764">
        <v>21914</v>
      </c>
      <c r="N72" s="784"/>
      <c r="O72" s="758">
        <f>SUM(I72:N72)</f>
        <v>23001</v>
      </c>
      <c r="P72" s="565"/>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c r="DU72" s="326"/>
      <c r="DV72" s="326"/>
      <c r="DW72" s="326"/>
      <c r="DX72" s="326"/>
      <c r="DY72" s="326"/>
      <c r="DZ72" s="326"/>
      <c r="EA72" s="326"/>
      <c r="EB72" s="326"/>
      <c r="EC72" s="326"/>
      <c r="ED72" s="326"/>
      <c r="EE72" s="326"/>
      <c r="EF72" s="326"/>
      <c r="EG72" s="326"/>
      <c r="EH72" s="326"/>
      <c r="EI72" s="326"/>
      <c r="EJ72" s="326"/>
      <c r="EK72" s="326"/>
      <c r="EL72" s="326"/>
      <c r="EM72" s="326"/>
      <c r="EN72" s="326"/>
      <c r="EO72" s="326"/>
      <c r="EP72" s="326"/>
      <c r="EQ72" s="326"/>
      <c r="ER72" s="326"/>
      <c r="ES72" s="326"/>
      <c r="ET72" s="326"/>
      <c r="EU72" s="326"/>
      <c r="EV72" s="326"/>
      <c r="EW72" s="326"/>
      <c r="EX72" s="326"/>
      <c r="EY72" s="326"/>
      <c r="EZ72" s="326"/>
      <c r="FA72" s="326"/>
      <c r="FB72" s="326"/>
      <c r="FC72" s="326"/>
      <c r="FD72" s="326"/>
      <c r="FE72" s="326"/>
      <c r="FF72" s="326"/>
      <c r="FG72" s="326"/>
      <c r="FH72" s="326"/>
      <c r="FI72" s="326"/>
      <c r="FJ72" s="326"/>
      <c r="FK72" s="326"/>
      <c r="FL72" s="326"/>
      <c r="FM72" s="326"/>
      <c r="FN72" s="326"/>
      <c r="FO72" s="326"/>
      <c r="FP72" s="326"/>
      <c r="FQ72" s="326"/>
      <c r="FR72" s="326"/>
      <c r="FS72" s="326"/>
      <c r="FT72" s="326"/>
      <c r="FU72" s="326"/>
      <c r="FV72" s="326"/>
      <c r="FW72" s="326"/>
      <c r="FX72" s="326"/>
      <c r="FY72" s="326"/>
      <c r="FZ72" s="326"/>
      <c r="GA72" s="326"/>
      <c r="GB72" s="326"/>
      <c r="GC72" s="326"/>
      <c r="GD72" s="326"/>
      <c r="GE72" s="326"/>
      <c r="GF72" s="326"/>
      <c r="GG72" s="326"/>
      <c r="GH72" s="326"/>
      <c r="GI72" s="326"/>
      <c r="GJ72" s="326"/>
      <c r="GK72" s="326"/>
      <c r="GL72" s="326"/>
      <c r="GM72" s="326"/>
      <c r="GN72" s="326"/>
      <c r="GO72" s="326"/>
      <c r="GP72" s="326"/>
      <c r="GQ72" s="326"/>
      <c r="GR72" s="326"/>
      <c r="GS72" s="326"/>
      <c r="GT72" s="326"/>
      <c r="GU72" s="326"/>
      <c r="GV72" s="326"/>
      <c r="GW72" s="326"/>
      <c r="GX72" s="326"/>
      <c r="GY72" s="326"/>
      <c r="GZ72" s="326"/>
      <c r="HA72" s="326"/>
      <c r="HB72" s="326"/>
      <c r="HC72" s="326"/>
      <c r="HD72" s="326"/>
      <c r="HE72" s="326"/>
      <c r="HF72" s="326"/>
      <c r="HG72" s="326"/>
      <c r="HH72" s="326"/>
      <c r="HI72" s="326"/>
      <c r="HJ72" s="326"/>
      <c r="HK72" s="326"/>
      <c r="HL72" s="326"/>
      <c r="HM72" s="326"/>
      <c r="HN72" s="326"/>
      <c r="HO72" s="326"/>
      <c r="HP72" s="326"/>
      <c r="HQ72" s="326"/>
      <c r="HR72" s="326"/>
      <c r="HS72" s="326"/>
      <c r="HT72" s="326"/>
      <c r="HU72" s="326"/>
      <c r="HV72" s="326"/>
      <c r="HW72" s="326"/>
      <c r="HX72" s="326"/>
      <c r="HY72" s="326"/>
      <c r="HZ72" s="326"/>
      <c r="IA72" s="326"/>
      <c r="IB72" s="326"/>
      <c r="IC72" s="326"/>
      <c r="ID72" s="326"/>
      <c r="IE72" s="326"/>
      <c r="IF72" s="326"/>
      <c r="IG72" s="326"/>
      <c r="IH72" s="326"/>
      <c r="II72" s="326"/>
      <c r="IJ72" s="326"/>
      <c r="IK72" s="326"/>
      <c r="IL72" s="326"/>
      <c r="IM72" s="326"/>
      <c r="IN72" s="326"/>
      <c r="IO72" s="326"/>
      <c r="IP72" s="326"/>
      <c r="IQ72" s="326"/>
      <c r="IR72" s="326"/>
      <c r="IS72" s="326"/>
      <c r="IT72" s="326"/>
      <c r="IU72" s="326"/>
      <c r="IV72" s="326"/>
    </row>
    <row r="73" spans="1:256" s="560" customFormat="1" ht="18" customHeight="1">
      <c r="A73" s="574">
        <v>64</v>
      </c>
      <c r="B73" s="568"/>
      <c r="C73" s="327"/>
      <c r="D73" s="483" t="s">
        <v>938</v>
      </c>
      <c r="E73" s="335"/>
      <c r="F73" s="564"/>
      <c r="G73" s="336"/>
      <c r="H73" s="773"/>
      <c r="I73" s="771"/>
      <c r="J73" s="764"/>
      <c r="K73" s="1309">
        <v>1087</v>
      </c>
      <c r="L73" s="1309"/>
      <c r="M73" s="1309">
        <v>21914</v>
      </c>
      <c r="N73" s="561"/>
      <c r="O73" s="569">
        <f>SUM(I73:N73)</f>
        <v>23001</v>
      </c>
      <c r="P73" s="565"/>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6"/>
      <c r="DO73" s="326"/>
      <c r="DP73" s="326"/>
      <c r="DQ73" s="326"/>
      <c r="DR73" s="326"/>
      <c r="DS73" s="326"/>
      <c r="DT73" s="326"/>
      <c r="DU73" s="326"/>
      <c r="DV73" s="326"/>
      <c r="DW73" s="326"/>
      <c r="DX73" s="326"/>
      <c r="DY73" s="326"/>
      <c r="DZ73" s="326"/>
      <c r="EA73" s="326"/>
      <c r="EB73" s="326"/>
      <c r="EC73" s="326"/>
      <c r="ED73" s="326"/>
      <c r="EE73" s="326"/>
      <c r="EF73" s="326"/>
      <c r="EG73" s="326"/>
      <c r="EH73" s="326"/>
      <c r="EI73" s="326"/>
      <c r="EJ73" s="326"/>
      <c r="EK73" s="326"/>
      <c r="EL73" s="326"/>
      <c r="EM73" s="326"/>
      <c r="EN73" s="326"/>
      <c r="EO73" s="326"/>
      <c r="EP73" s="326"/>
      <c r="EQ73" s="326"/>
      <c r="ER73" s="326"/>
      <c r="ES73" s="326"/>
      <c r="ET73" s="326"/>
      <c r="EU73" s="326"/>
      <c r="EV73" s="326"/>
      <c r="EW73" s="326"/>
      <c r="EX73" s="326"/>
      <c r="EY73" s="326"/>
      <c r="EZ73" s="326"/>
      <c r="FA73" s="326"/>
      <c r="FB73" s="326"/>
      <c r="FC73" s="326"/>
      <c r="FD73" s="326"/>
      <c r="FE73" s="326"/>
      <c r="FF73" s="326"/>
      <c r="FG73" s="326"/>
      <c r="FH73" s="326"/>
      <c r="FI73" s="326"/>
      <c r="FJ73" s="326"/>
      <c r="FK73" s="326"/>
      <c r="FL73" s="326"/>
      <c r="FM73" s="326"/>
      <c r="FN73" s="326"/>
      <c r="FO73" s="326"/>
      <c r="FP73" s="326"/>
      <c r="FQ73" s="326"/>
      <c r="FR73" s="326"/>
      <c r="FS73" s="326"/>
      <c r="FT73" s="326"/>
      <c r="FU73" s="326"/>
      <c r="FV73" s="326"/>
      <c r="FW73" s="326"/>
      <c r="FX73" s="326"/>
      <c r="FY73" s="326"/>
      <c r="FZ73" s="326"/>
      <c r="GA73" s="326"/>
      <c r="GB73" s="326"/>
      <c r="GC73" s="326"/>
      <c r="GD73" s="326"/>
      <c r="GE73" s="326"/>
      <c r="GF73" s="326"/>
      <c r="GG73" s="326"/>
      <c r="GH73" s="326"/>
      <c r="GI73" s="326"/>
      <c r="GJ73" s="326"/>
      <c r="GK73" s="326"/>
      <c r="GL73" s="326"/>
      <c r="GM73" s="326"/>
      <c r="GN73" s="326"/>
      <c r="GO73" s="326"/>
      <c r="GP73" s="326"/>
      <c r="GQ73" s="326"/>
      <c r="GR73" s="326"/>
      <c r="GS73" s="326"/>
      <c r="GT73" s="326"/>
      <c r="GU73" s="326"/>
      <c r="GV73" s="326"/>
      <c r="GW73" s="326"/>
      <c r="GX73" s="326"/>
      <c r="GY73" s="326"/>
      <c r="GZ73" s="326"/>
      <c r="HA73" s="326"/>
      <c r="HB73" s="326"/>
      <c r="HC73" s="326"/>
      <c r="HD73" s="326"/>
      <c r="HE73" s="326"/>
      <c r="HF73" s="326"/>
      <c r="HG73" s="326"/>
      <c r="HH73" s="326"/>
      <c r="HI73" s="326"/>
      <c r="HJ73" s="326"/>
      <c r="HK73" s="326"/>
      <c r="HL73" s="326"/>
      <c r="HM73" s="326"/>
      <c r="HN73" s="326"/>
      <c r="HO73" s="326"/>
      <c r="HP73" s="326"/>
      <c r="HQ73" s="326"/>
      <c r="HR73" s="326"/>
      <c r="HS73" s="326"/>
      <c r="HT73" s="326"/>
      <c r="HU73" s="326"/>
      <c r="HV73" s="326"/>
      <c r="HW73" s="326"/>
      <c r="HX73" s="326"/>
      <c r="HY73" s="326"/>
      <c r="HZ73" s="326"/>
      <c r="IA73" s="326"/>
      <c r="IB73" s="326"/>
      <c r="IC73" s="326"/>
      <c r="ID73" s="326"/>
      <c r="IE73" s="326"/>
      <c r="IF73" s="326"/>
      <c r="IG73" s="326"/>
      <c r="IH73" s="326"/>
      <c r="II73" s="326"/>
      <c r="IJ73" s="326"/>
      <c r="IK73" s="326"/>
      <c r="IL73" s="326"/>
      <c r="IM73" s="326"/>
      <c r="IN73" s="326"/>
      <c r="IO73" s="326"/>
      <c r="IP73" s="326"/>
      <c r="IQ73" s="326"/>
      <c r="IR73" s="326"/>
      <c r="IS73" s="326"/>
      <c r="IT73" s="326"/>
      <c r="IU73" s="326"/>
      <c r="IV73" s="326"/>
    </row>
    <row r="74" spans="1:256" s="560" customFormat="1" ht="18" customHeight="1">
      <c r="A74" s="574">
        <v>65</v>
      </c>
      <c r="B74" s="568"/>
      <c r="C74" s="327"/>
      <c r="D74" s="1146" t="s">
        <v>674</v>
      </c>
      <c r="E74" s="335"/>
      <c r="F74" s="564"/>
      <c r="G74" s="336"/>
      <c r="H74" s="773"/>
      <c r="I74" s="771"/>
      <c r="J74" s="764"/>
      <c r="K74" s="764"/>
      <c r="L74" s="764"/>
      <c r="M74" s="764"/>
      <c r="N74" s="784"/>
      <c r="O74" s="1307">
        <f>SUM(I74:N74)</f>
        <v>0</v>
      </c>
      <c r="P74" s="565"/>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6"/>
      <c r="DP74" s="326"/>
      <c r="DQ74" s="326"/>
      <c r="DR74" s="326"/>
      <c r="DS74" s="326"/>
      <c r="DT74" s="326"/>
      <c r="DU74" s="326"/>
      <c r="DV74" s="326"/>
      <c r="DW74" s="326"/>
      <c r="DX74" s="326"/>
      <c r="DY74" s="326"/>
      <c r="DZ74" s="326"/>
      <c r="EA74" s="326"/>
      <c r="EB74" s="326"/>
      <c r="EC74" s="326"/>
      <c r="ED74" s="326"/>
      <c r="EE74" s="326"/>
      <c r="EF74" s="326"/>
      <c r="EG74" s="326"/>
      <c r="EH74" s="326"/>
      <c r="EI74" s="326"/>
      <c r="EJ74" s="326"/>
      <c r="EK74" s="326"/>
      <c r="EL74" s="326"/>
      <c r="EM74" s="326"/>
      <c r="EN74" s="326"/>
      <c r="EO74" s="326"/>
      <c r="EP74" s="326"/>
      <c r="EQ74" s="326"/>
      <c r="ER74" s="326"/>
      <c r="ES74" s="326"/>
      <c r="ET74" s="326"/>
      <c r="EU74" s="326"/>
      <c r="EV74" s="326"/>
      <c r="EW74" s="326"/>
      <c r="EX74" s="326"/>
      <c r="EY74" s="326"/>
      <c r="EZ74" s="326"/>
      <c r="FA74" s="326"/>
      <c r="FB74" s="326"/>
      <c r="FC74" s="326"/>
      <c r="FD74" s="326"/>
      <c r="FE74" s="326"/>
      <c r="FF74" s="326"/>
      <c r="FG74" s="326"/>
      <c r="FH74" s="326"/>
      <c r="FI74" s="326"/>
      <c r="FJ74" s="326"/>
      <c r="FK74" s="326"/>
      <c r="FL74" s="326"/>
      <c r="FM74" s="326"/>
      <c r="FN74" s="326"/>
      <c r="FO74" s="326"/>
      <c r="FP74" s="326"/>
      <c r="FQ74" s="326"/>
      <c r="FR74" s="326"/>
      <c r="FS74" s="326"/>
      <c r="FT74" s="326"/>
      <c r="FU74" s="326"/>
      <c r="FV74" s="326"/>
      <c r="FW74" s="326"/>
      <c r="FX74" s="326"/>
      <c r="FY74" s="326"/>
      <c r="FZ74" s="326"/>
      <c r="GA74" s="326"/>
      <c r="GB74" s="326"/>
      <c r="GC74" s="326"/>
      <c r="GD74" s="326"/>
      <c r="GE74" s="326"/>
      <c r="GF74" s="326"/>
      <c r="GG74" s="326"/>
      <c r="GH74" s="326"/>
      <c r="GI74" s="326"/>
      <c r="GJ74" s="326"/>
      <c r="GK74" s="326"/>
      <c r="GL74" s="326"/>
      <c r="GM74" s="326"/>
      <c r="GN74" s="326"/>
      <c r="GO74" s="326"/>
      <c r="GP74" s="326"/>
      <c r="GQ74" s="326"/>
      <c r="GR74" s="326"/>
      <c r="GS74" s="326"/>
      <c r="GT74" s="326"/>
      <c r="GU74" s="326"/>
      <c r="GV74" s="326"/>
      <c r="GW74" s="326"/>
      <c r="GX74" s="326"/>
      <c r="GY74" s="326"/>
      <c r="GZ74" s="326"/>
      <c r="HA74" s="326"/>
      <c r="HB74" s="326"/>
      <c r="HC74" s="326"/>
      <c r="HD74" s="326"/>
      <c r="HE74" s="326"/>
      <c r="HF74" s="326"/>
      <c r="HG74" s="326"/>
      <c r="HH74" s="326"/>
      <c r="HI74" s="326"/>
      <c r="HJ74" s="326"/>
      <c r="HK74" s="326"/>
      <c r="HL74" s="326"/>
      <c r="HM74" s="326"/>
      <c r="HN74" s="326"/>
      <c r="HO74" s="326"/>
      <c r="HP74" s="326"/>
      <c r="HQ74" s="326"/>
      <c r="HR74" s="326"/>
      <c r="HS74" s="326"/>
      <c r="HT74" s="326"/>
      <c r="HU74" s="326"/>
      <c r="HV74" s="326"/>
      <c r="HW74" s="326"/>
      <c r="HX74" s="326"/>
      <c r="HY74" s="326"/>
      <c r="HZ74" s="326"/>
      <c r="IA74" s="326"/>
      <c r="IB74" s="326"/>
      <c r="IC74" s="326"/>
      <c r="ID74" s="326"/>
      <c r="IE74" s="326"/>
      <c r="IF74" s="326"/>
      <c r="IG74" s="326"/>
      <c r="IH74" s="326"/>
      <c r="II74" s="326"/>
      <c r="IJ74" s="326"/>
      <c r="IK74" s="326"/>
      <c r="IL74" s="326"/>
      <c r="IM74" s="326"/>
      <c r="IN74" s="326"/>
      <c r="IO74" s="326"/>
      <c r="IP74" s="326"/>
      <c r="IQ74" s="326"/>
      <c r="IR74" s="326"/>
      <c r="IS74" s="326"/>
      <c r="IT74" s="326"/>
      <c r="IU74" s="326"/>
      <c r="IV74" s="326"/>
    </row>
    <row r="75" spans="1:256" s="560" customFormat="1" ht="18" customHeight="1">
      <c r="A75" s="574">
        <v>66</v>
      </c>
      <c r="B75" s="568"/>
      <c r="C75" s="327"/>
      <c r="D75" s="483" t="s">
        <v>1091</v>
      </c>
      <c r="E75" s="335"/>
      <c r="F75" s="564"/>
      <c r="G75" s="336"/>
      <c r="H75" s="773"/>
      <c r="I75" s="771"/>
      <c r="J75" s="764"/>
      <c r="K75" s="1309">
        <f>SUM(K73:K74)</f>
        <v>1087</v>
      </c>
      <c r="L75" s="1309"/>
      <c r="M75" s="1309">
        <f>SUM(M73:M74)</f>
        <v>21914</v>
      </c>
      <c r="N75" s="784"/>
      <c r="O75" s="569">
        <f>SUM(I75:N75)</f>
        <v>23001</v>
      </c>
      <c r="P75" s="565"/>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c r="EI75" s="326"/>
      <c r="EJ75" s="326"/>
      <c r="EK75" s="326"/>
      <c r="EL75" s="326"/>
      <c r="EM75" s="326"/>
      <c r="EN75" s="326"/>
      <c r="EO75" s="326"/>
      <c r="EP75" s="326"/>
      <c r="EQ75" s="326"/>
      <c r="ER75" s="326"/>
      <c r="ES75" s="326"/>
      <c r="ET75" s="326"/>
      <c r="EU75" s="326"/>
      <c r="EV75" s="326"/>
      <c r="EW75" s="326"/>
      <c r="EX75" s="326"/>
      <c r="EY75" s="326"/>
      <c r="EZ75" s="326"/>
      <c r="FA75" s="326"/>
      <c r="FB75" s="326"/>
      <c r="FC75" s="326"/>
      <c r="FD75" s="326"/>
      <c r="FE75" s="326"/>
      <c r="FF75" s="326"/>
      <c r="FG75" s="326"/>
      <c r="FH75" s="326"/>
      <c r="FI75" s="326"/>
      <c r="FJ75" s="326"/>
      <c r="FK75" s="326"/>
      <c r="FL75" s="326"/>
      <c r="FM75" s="326"/>
      <c r="FN75" s="326"/>
      <c r="FO75" s="326"/>
      <c r="FP75" s="326"/>
      <c r="FQ75" s="326"/>
      <c r="FR75" s="326"/>
      <c r="FS75" s="326"/>
      <c r="FT75" s="326"/>
      <c r="FU75" s="326"/>
      <c r="FV75" s="326"/>
      <c r="FW75" s="326"/>
      <c r="FX75" s="326"/>
      <c r="FY75" s="326"/>
      <c r="FZ75" s="326"/>
      <c r="GA75" s="326"/>
      <c r="GB75" s="326"/>
      <c r="GC75" s="326"/>
      <c r="GD75" s="326"/>
      <c r="GE75" s="326"/>
      <c r="GF75" s="326"/>
      <c r="GG75" s="326"/>
      <c r="GH75" s="326"/>
      <c r="GI75" s="326"/>
      <c r="GJ75" s="326"/>
      <c r="GK75" s="326"/>
      <c r="GL75" s="326"/>
      <c r="GM75" s="326"/>
      <c r="GN75" s="326"/>
      <c r="GO75" s="326"/>
      <c r="GP75" s="326"/>
      <c r="GQ75" s="326"/>
      <c r="GR75" s="326"/>
      <c r="GS75" s="326"/>
      <c r="GT75" s="326"/>
      <c r="GU75" s="326"/>
      <c r="GV75" s="326"/>
      <c r="GW75" s="326"/>
      <c r="GX75" s="326"/>
      <c r="GY75" s="326"/>
      <c r="GZ75" s="326"/>
      <c r="HA75" s="326"/>
      <c r="HB75" s="326"/>
      <c r="HC75" s="326"/>
      <c r="HD75" s="326"/>
      <c r="HE75" s="326"/>
      <c r="HF75" s="326"/>
      <c r="HG75" s="326"/>
      <c r="HH75" s="326"/>
      <c r="HI75" s="326"/>
      <c r="HJ75" s="326"/>
      <c r="HK75" s="326"/>
      <c r="HL75" s="326"/>
      <c r="HM75" s="326"/>
      <c r="HN75" s="326"/>
      <c r="HO75" s="326"/>
      <c r="HP75" s="326"/>
      <c r="HQ75" s="326"/>
      <c r="HR75" s="326"/>
      <c r="HS75" s="326"/>
      <c r="HT75" s="326"/>
      <c r="HU75" s="326"/>
      <c r="HV75" s="326"/>
      <c r="HW75" s="326"/>
      <c r="HX75" s="326"/>
      <c r="HY75" s="326"/>
      <c r="HZ75" s="326"/>
      <c r="IA75" s="326"/>
      <c r="IB75" s="326"/>
      <c r="IC75" s="326"/>
      <c r="ID75" s="326"/>
      <c r="IE75" s="326"/>
      <c r="IF75" s="326"/>
      <c r="IG75" s="326"/>
      <c r="IH75" s="326"/>
      <c r="II75" s="326"/>
      <c r="IJ75" s="326"/>
      <c r="IK75" s="326"/>
      <c r="IL75" s="326"/>
      <c r="IM75" s="326"/>
      <c r="IN75" s="326"/>
      <c r="IO75" s="326"/>
      <c r="IP75" s="326"/>
      <c r="IQ75" s="326"/>
      <c r="IR75" s="326"/>
      <c r="IS75" s="326"/>
      <c r="IT75" s="326"/>
      <c r="IU75" s="326"/>
      <c r="IV75" s="326"/>
    </row>
    <row r="76" spans="1:16" ht="22.5" customHeight="1">
      <c r="A76" s="574">
        <v>67</v>
      </c>
      <c r="B76" s="466"/>
      <c r="C76" s="366">
        <v>14</v>
      </c>
      <c r="D76" s="571" t="s">
        <v>593</v>
      </c>
      <c r="E76" s="335"/>
      <c r="F76" s="564"/>
      <c r="G76" s="336"/>
      <c r="H76" s="773" t="s">
        <v>23</v>
      </c>
      <c r="I76" s="771"/>
      <c r="J76" s="764"/>
      <c r="K76" s="764"/>
      <c r="L76" s="764"/>
      <c r="M76" s="764"/>
      <c r="N76" s="784"/>
      <c r="O76" s="758"/>
      <c r="P76" s="565"/>
    </row>
    <row r="77" spans="1:256" s="560" customFormat="1" ht="18" customHeight="1">
      <c r="A77" s="574">
        <v>68</v>
      </c>
      <c r="B77" s="568"/>
      <c r="C77" s="366"/>
      <c r="D77" s="1324" t="s">
        <v>283</v>
      </c>
      <c r="E77" s="335">
        <f>F77+G77+O80+P77+39749</f>
        <v>2906300</v>
      </c>
      <c r="F77" s="564"/>
      <c r="G77" s="336">
        <f>75-75</f>
        <v>0</v>
      </c>
      <c r="H77" s="773"/>
      <c r="I77" s="771"/>
      <c r="J77" s="764"/>
      <c r="K77" s="764">
        <v>57535</v>
      </c>
      <c r="L77" s="764"/>
      <c r="M77" s="764">
        <v>2690078</v>
      </c>
      <c r="N77" s="784"/>
      <c r="O77" s="758">
        <f>SUM(I77:N77)</f>
        <v>2747613</v>
      </c>
      <c r="P77" s="565">
        <v>118938</v>
      </c>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c r="BM77" s="326"/>
      <c r="BN77" s="326"/>
      <c r="BO77" s="326"/>
      <c r="BP77" s="326"/>
      <c r="BQ77" s="326"/>
      <c r="BR77" s="326"/>
      <c r="BS77" s="326"/>
      <c r="BT77" s="326"/>
      <c r="BU77" s="326"/>
      <c r="BV77" s="326"/>
      <c r="BW77" s="326"/>
      <c r="BX77" s="326"/>
      <c r="BY77" s="326"/>
      <c r="BZ77" s="326"/>
      <c r="CA77" s="326"/>
      <c r="CB77" s="326"/>
      <c r="CC77" s="326"/>
      <c r="CD77" s="326"/>
      <c r="CE77" s="326"/>
      <c r="CF77" s="326"/>
      <c r="CG77" s="326"/>
      <c r="CH77" s="326"/>
      <c r="CI77" s="326"/>
      <c r="CJ77" s="326"/>
      <c r="CK77" s="326"/>
      <c r="CL77" s="326"/>
      <c r="CM77" s="326"/>
      <c r="CN77" s="326"/>
      <c r="CO77" s="326"/>
      <c r="CP77" s="326"/>
      <c r="CQ77" s="326"/>
      <c r="CR77" s="326"/>
      <c r="CS77" s="326"/>
      <c r="CT77" s="326"/>
      <c r="CU77" s="326"/>
      <c r="CV77" s="326"/>
      <c r="CW77" s="326"/>
      <c r="CX77" s="326"/>
      <c r="CY77" s="326"/>
      <c r="CZ77" s="326"/>
      <c r="DA77" s="326"/>
      <c r="DB77" s="326"/>
      <c r="DC77" s="326"/>
      <c r="DD77" s="326"/>
      <c r="DE77" s="326"/>
      <c r="DF77" s="326"/>
      <c r="DG77" s="326"/>
      <c r="DH77" s="326"/>
      <c r="DI77" s="326"/>
      <c r="DJ77" s="326"/>
      <c r="DK77" s="326"/>
      <c r="DL77" s="326"/>
      <c r="DM77" s="326"/>
      <c r="DN77" s="326"/>
      <c r="DO77" s="326"/>
      <c r="DP77" s="326"/>
      <c r="DQ77" s="326"/>
      <c r="DR77" s="326"/>
      <c r="DS77" s="326"/>
      <c r="DT77" s="326"/>
      <c r="DU77" s="326"/>
      <c r="DV77" s="326"/>
      <c r="DW77" s="326"/>
      <c r="DX77" s="326"/>
      <c r="DY77" s="326"/>
      <c r="DZ77" s="326"/>
      <c r="EA77" s="326"/>
      <c r="EB77" s="326"/>
      <c r="EC77" s="326"/>
      <c r="ED77" s="326"/>
      <c r="EE77" s="326"/>
      <c r="EF77" s="326"/>
      <c r="EG77" s="326"/>
      <c r="EH77" s="326"/>
      <c r="EI77" s="326"/>
      <c r="EJ77" s="326"/>
      <c r="EK77" s="326"/>
      <c r="EL77" s="326"/>
      <c r="EM77" s="326"/>
      <c r="EN77" s="326"/>
      <c r="EO77" s="326"/>
      <c r="EP77" s="326"/>
      <c r="EQ77" s="326"/>
      <c r="ER77" s="326"/>
      <c r="ES77" s="326"/>
      <c r="ET77" s="326"/>
      <c r="EU77" s="326"/>
      <c r="EV77" s="326"/>
      <c r="EW77" s="326"/>
      <c r="EX77" s="326"/>
      <c r="EY77" s="326"/>
      <c r="EZ77" s="326"/>
      <c r="FA77" s="326"/>
      <c r="FB77" s="326"/>
      <c r="FC77" s="326"/>
      <c r="FD77" s="326"/>
      <c r="FE77" s="326"/>
      <c r="FF77" s="326"/>
      <c r="FG77" s="326"/>
      <c r="FH77" s="326"/>
      <c r="FI77" s="326"/>
      <c r="FJ77" s="326"/>
      <c r="FK77" s="326"/>
      <c r="FL77" s="326"/>
      <c r="FM77" s="326"/>
      <c r="FN77" s="326"/>
      <c r="FO77" s="326"/>
      <c r="FP77" s="326"/>
      <c r="FQ77" s="326"/>
      <c r="FR77" s="326"/>
      <c r="FS77" s="326"/>
      <c r="FT77" s="326"/>
      <c r="FU77" s="326"/>
      <c r="FV77" s="326"/>
      <c r="FW77" s="326"/>
      <c r="FX77" s="326"/>
      <c r="FY77" s="326"/>
      <c r="FZ77" s="326"/>
      <c r="GA77" s="326"/>
      <c r="GB77" s="326"/>
      <c r="GC77" s="326"/>
      <c r="GD77" s="326"/>
      <c r="GE77" s="326"/>
      <c r="GF77" s="326"/>
      <c r="GG77" s="326"/>
      <c r="GH77" s="326"/>
      <c r="GI77" s="326"/>
      <c r="GJ77" s="326"/>
      <c r="GK77" s="326"/>
      <c r="GL77" s="326"/>
      <c r="GM77" s="326"/>
      <c r="GN77" s="326"/>
      <c r="GO77" s="326"/>
      <c r="GP77" s="326"/>
      <c r="GQ77" s="326"/>
      <c r="GR77" s="326"/>
      <c r="GS77" s="326"/>
      <c r="GT77" s="326"/>
      <c r="GU77" s="326"/>
      <c r="GV77" s="326"/>
      <c r="GW77" s="326"/>
      <c r="GX77" s="326"/>
      <c r="GY77" s="326"/>
      <c r="GZ77" s="326"/>
      <c r="HA77" s="326"/>
      <c r="HB77" s="326"/>
      <c r="HC77" s="326"/>
      <c r="HD77" s="326"/>
      <c r="HE77" s="326"/>
      <c r="HF77" s="326"/>
      <c r="HG77" s="326"/>
      <c r="HH77" s="326"/>
      <c r="HI77" s="326"/>
      <c r="HJ77" s="326"/>
      <c r="HK77" s="326"/>
      <c r="HL77" s="326"/>
      <c r="HM77" s="326"/>
      <c r="HN77" s="326"/>
      <c r="HO77" s="326"/>
      <c r="HP77" s="326"/>
      <c r="HQ77" s="326"/>
      <c r="HR77" s="326"/>
      <c r="HS77" s="326"/>
      <c r="HT77" s="326"/>
      <c r="HU77" s="326"/>
      <c r="HV77" s="326"/>
      <c r="HW77" s="326"/>
      <c r="HX77" s="326"/>
      <c r="HY77" s="326"/>
      <c r="HZ77" s="326"/>
      <c r="IA77" s="326"/>
      <c r="IB77" s="326"/>
      <c r="IC77" s="326"/>
      <c r="ID77" s="326"/>
      <c r="IE77" s="326"/>
      <c r="IF77" s="326"/>
      <c r="IG77" s="326"/>
      <c r="IH77" s="326"/>
      <c r="II77" s="326"/>
      <c r="IJ77" s="326"/>
      <c r="IK77" s="326"/>
      <c r="IL77" s="326"/>
      <c r="IM77" s="326"/>
      <c r="IN77" s="326"/>
      <c r="IO77" s="326"/>
      <c r="IP77" s="326"/>
      <c r="IQ77" s="326"/>
      <c r="IR77" s="326"/>
      <c r="IS77" s="326"/>
      <c r="IT77" s="326"/>
      <c r="IU77" s="326"/>
      <c r="IV77" s="326"/>
    </row>
    <row r="78" spans="1:256" s="560" customFormat="1" ht="18" customHeight="1">
      <c r="A78" s="574">
        <v>69</v>
      </c>
      <c r="B78" s="568"/>
      <c r="C78" s="366"/>
      <c r="D78" s="483" t="s">
        <v>938</v>
      </c>
      <c r="E78" s="335"/>
      <c r="F78" s="564"/>
      <c r="G78" s="336"/>
      <c r="H78" s="773"/>
      <c r="I78" s="771"/>
      <c r="J78" s="764"/>
      <c r="K78" s="1309">
        <v>57535</v>
      </c>
      <c r="L78" s="1309"/>
      <c r="M78" s="1309">
        <v>2690078</v>
      </c>
      <c r="N78" s="561"/>
      <c r="O78" s="569">
        <f>SUM(I78:N78)</f>
        <v>2747613</v>
      </c>
      <c r="P78" s="565"/>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c r="EI78" s="326"/>
      <c r="EJ78" s="326"/>
      <c r="EK78" s="326"/>
      <c r="EL78" s="326"/>
      <c r="EM78" s="326"/>
      <c r="EN78" s="326"/>
      <c r="EO78" s="326"/>
      <c r="EP78" s="326"/>
      <c r="EQ78" s="326"/>
      <c r="ER78" s="326"/>
      <c r="ES78" s="326"/>
      <c r="ET78" s="326"/>
      <c r="EU78" s="326"/>
      <c r="EV78" s="326"/>
      <c r="EW78" s="326"/>
      <c r="EX78" s="326"/>
      <c r="EY78" s="326"/>
      <c r="EZ78" s="326"/>
      <c r="FA78" s="326"/>
      <c r="FB78" s="326"/>
      <c r="FC78" s="326"/>
      <c r="FD78" s="326"/>
      <c r="FE78" s="326"/>
      <c r="FF78" s="326"/>
      <c r="FG78" s="326"/>
      <c r="FH78" s="326"/>
      <c r="FI78" s="326"/>
      <c r="FJ78" s="326"/>
      <c r="FK78" s="326"/>
      <c r="FL78" s="326"/>
      <c r="FM78" s="326"/>
      <c r="FN78" s="326"/>
      <c r="FO78" s="326"/>
      <c r="FP78" s="326"/>
      <c r="FQ78" s="326"/>
      <c r="FR78" s="326"/>
      <c r="FS78" s="326"/>
      <c r="FT78" s="326"/>
      <c r="FU78" s="326"/>
      <c r="FV78" s="326"/>
      <c r="FW78" s="326"/>
      <c r="FX78" s="326"/>
      <c r="FY78" s="326"/>
      <c r="FZ78" s="326"/>
      <c r="GA78" s="326"/>
      <c r="GB78" s="326"/>
      <c r="GC78" s="326"/>
      <c r="GD78" s="326"/>
      <c r="GE78" s="326"/>
      <c r="GF78" s="326"/>
      <c r="GG78" s="326"/>
      <c r="GH78" s="326"/>
      <c r="GI78" s="326"/>
      <c r="GJ78" s="326"/>
      <c r="GK78" s="326"/>
      <c r="GL78" s="326"/>
      <c r="GM78" s="326"/>
      <c r="GN78" s="326"/>
      <c r="GO78" s="326"/>
      <c r="GP78" s="326"/>
      <c r="GQ78" s="326"/>
      <c r="GR78" s="326"/>
      <c r="GS78" s="326"/>
      <c r="GT78" s="326"/>
      <c r="GU78" s="326"/>
      <c r="GV78" s="326"/>
      <c r="GW78" s="326"/>
      <c r="GX78" s="326"/>
      <c r="GY78" s="326"/>
      <c r="GZ78" s="326"/>
      <c r="HA78" s="326"/>
      <c r="HB78" s="326"/>
      <c r="HC78" s="326"/>
      <c r="HD78" s="326"/>
      <c r="HE78" s="326"/>
      <c r="HF78" s="326"/>
      <c r="HG78" s="326"/>
      <c r="HH78" s="326"/>
      <c r="HI78" s="326"/>
      <c r="HJ78" s="326"/>
      <c r="HK78" s="326"/>
      <c r="HL78" s="326"/>
      <c r="HM78" s="326"/>
      <c r="HN78" s="326"/>
      <c r="HO78" s="326"/>
      <c r="HP78" s="326"/>
      <c r="HQ78" s="326"/>
      <c r="HR78" s="326"/>
      <c r="HS78" s="326"/>
      <c r="HT78" s="326"/>
      <c r="HU78" s="326"/>
      <c r="HV78" s="326"/>
      <c r="HW78" s="326"/>
      <c r="HX78" s="326"/>
      <c r="HY78" s="326"/>
      <c r="HZ78" s="326"/>
      <c r="IA78" s="326"/>
      <c r="IB78" s="326"/>
      <c r="IC78" s="326"/>
      <c r="ID78" s="326"/>
      <c r="IE78" s="326"/>
      <c r="IF78" s="326"/>
      <c r="IG78" s="326"/>
      <c r="IH78" s="326"/>
      <c r="II78" s="326"/>
      <c r="IJ78" s="326"/>
      <c r="IK78" s="326"/>
      <c r="IL78" s="326"/>
      <c r="IM78" s="326"/>
      <c r="IN78" s="326"/>
      <c r="IO78" s="326"/>
      <c r="IP78" s="326"/>
      <c r="IQ78" s="326"/>
      <c r="IR78" s="326"/>
      <c r="IS78" s="326"/>
      <c r="IT78" s="326"/>
      <c r="IU78" s="326"/>
      <c r="IV78" s="326"/>
    </row>
    <row r="79" spans="1:256" s="560" customFormat="1" ht="18" customHeight="1">
      <c r="A79" s="574">
        <v>70</v>
      </c>
      <c r="B79" s="568"/>
      <c r="C79" s="366"/>
      <c r="D79" s="1146" t="s">
        <v>674</v>
      </c>
      <c r="E79" s="335"/>
      <c r="F79" s="564"/>
      <c r="G79" s="336"/>
      <c r="H79" s="773"/>
      <c r="I79" s="771"/>
      <c r="J79" s="764"/>
      <c r="K79" s="764"/>
      <c r="L79" s="764"/>
      <c r="M79" s="764"/>
      <c r="N79" s="784"/>
      <c r="O79" s="1307">
        <f>SUM(I79:N79)</f>
        <v>0</v>
      </c>
      <c r="P79" s="565"/>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c r="EI79" s="326"/>
      <c r="EJ79" s="326"/>
      <c r="EK79" s="326"/>
      <c r="EL79" s="326"/>
      <c r="EM79" s="326"/>
      <c r="EN79" s="326"/>
      <c r="EO79" s="326"/>
      <c r="EP79" s="326"/>
      <c r="EQ79" s="326"/>
      <c r="ER79" s="326"/>
      <c r="ES79" s="326"/>
      <c r="ET79" s="326"/>
      <c r="EU79" s="326"/>
      <c r="EV79" s="326"/>
      <c r="EW79" s="326"/>
      <c r="EX79" s="326"/>
      <c r="EY79" s="326"/>
      <c r="EZ79" s="326"/>
      <c r="FA79" s="326"/>
      <c r="FB79" s="326"/>
      <c r="FC79" s="326"/>
      <c r="FD79" s="326"/>
      <c r="FE79" s="326"/>
      <c r="FF79" s="326"/>
      <c r="FG79" s="326"/>
      <c r="FH79" s="326"/>
      <c r="FI79" s="326"/>
      <c r="FJ79" s="326"/>
      <c r="FK79" s="326"/>
      <c r="FL79" s="326"/>
      <c r="FM79" s="326"/>
      <c r="FN79" s="326"/>
      <c r="FO79" s="326"/>
      <c r="FP79" s="326"/>
      <c r="FQ79" s="326"/>
      <c r="FR79" s="326"/>
      <c r="FS79" s="326"/>
      <c r="FT79" s="326"/>
      <c r="FU79" s="326"/>
      <c r="FV79" s="326"/>
      <c r="FW79" s="326"/>
      <c r="FX79" s="326"/>
      <c r="FY79" s="326"/>
      <c r="FZ79" s="326"/>
      <c r="GA79" s="326"/>
      <c r="GB79" s="326"/>
      <c r="GC79" s="326"/>
      <c r="GD79" s="326"/>
      <c r="GE79" s="326"/>
      <c r="GF79" s="326"/>
      <c r="GG79" s="326"/>
      <c r="GH79" s="326"/>
      <c r="GI79" s="326"/>
      <c r="GJ79" s="326"/>
      <c r="GK79" s="326"/>
      <c r="GL79" s="326"/>
      <c r="GM79" s="326"/>
      <c r="GN79" s="326"/>
      <c r="GO79" s="326"/>
      <c r="GP79" s="326"/>
      <c r="GQ79" s="326"/>
      <c r="GR79" s="326"/>
      <c r="GS79" s="326"/>
      <c r="GT79" s="326"/>
      <c r="GU79" s="326"/>
      <c r="GV79" s="326"/>
      <c r="GW79" s="326"/>
      <c r="GX79" s="326"/>
      <c r="GY79" s="326"/>
      <c r="GZ79" s="326"/>
      <c r="HA79" s="326"/>
      <c r="HB79" s="326"/>
      <c r="HC79" s="326"/>
      <c r="HD79" s="326"/>
      <c r="HE79" s="326"/>
      <c r="HF79" s="326"/>
      <c r="HG79" s="326"/>
      <c r="HH79" s="326"/>
      <c r="HI79" s="326"/>
      <c r="HJ79" s="326"/>
      <c r="HK79" s="326"/>
      <c r="HL79" s="326"/>
      <c r="HM79" s="326"/>
      <c r="HN79" s="326"/>
      <c r="HO79" s="326"/>
      <c r="HP79" s="326"/>
      <c r="HQ79" s="326"/>
      <c r="HR79" s="326"/>
      <c r="HS79" s="326"/>
      <c r="HT79" s="326"/>
      <c r="HU79" s="326"/>
      <c r="HV79" s="326"/>
      <c r="HW79" s="326"/>
      <c r="HX79" s="326"/>
      <c r="HY79" s="326"/>
      <c r="HZ79" s="326"/>
      <c r="IA79" s="326"/>
      <c r="IB79" s="326"/>
      <c r="IC79" s="326"/>
      <c r="ID79" s="326"/>
      <c r="IE79" s="326"/>
      <c r="IF79" s="326"/>
      <c r="IG79" s="326"/>
      <c r="IH79" s="326"/>
      <c r="II79" s="326"/>
      <c r="IJ79" s="326"/>
      <c r="IK79" s="326"/>
      <c r="IL79" s="326"/>
      <c r="IM79" s="326"/>
      <c r="IN79" s="326"/>
      <c r="IO79" s="326"/>
      <c r="IP79" s="326"/>
      <c r="IQ79" s="326"/>
      <c r="IR79" s="326"/>
      <c r="IS79" s="326"/>
      <c r="IT79" s="326"/>
      <c r="IU79" s="326"/>
      <c r="IV79" s="326"/>
    </row>
    <row r="80" spans="1:256" s="560" customFormat="1" ht="18" customHeight="1">
      <c r="A80" s="574">
        <v>71</v>
      </c>
      <c r="B80" s="568"/>
      <c r="C80" s="366"/>
      <c r="D80" s="483" t="s">
        <v>1091</v>
      </c>
      <c r="E80" s="335"/>
      <c r="F80" s="564"/>
      <c r="G80" s="336"/>
      <c r="H80" s="773"/>
      <c r="I80" s="771"/>
      <c r="J80" s="764"/>
      <c r="K80" s="1309">
        <f>SUM(K78:K79)</f>
        <v>57535</v>
      </c>
      <c r="L80" s="1309"/>
      <c r="M80" s="1309">
        <f>SUM(M78:M79)</f>
        <v>2690078</v>
      </c>
      <c r="N80" s="784"/>
      <c r="O80" s="569">
        <f>SUM(I80:N80)</f>
        <v>2747613</v>
      </c>
      <c r="P80" s="565"/>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c r="EI80" s="326"/>
      <c r="EJ80" s="326"/>
      <c r="EK80" s="326"/>
      <c r="EL80" s="326"/>
      <c r="EM80" s="326"/>
      <c r="EN80" s="326"/>
      <c r="EO80" s="326"/>
      <c r="EP80" s="326"/>
      <c r="EQ80" s="326"/>
      <c r="ER80" s="326"/>
      <c r="ES80" s="326"/>
      <c r="ET80" s="326"/>
      <c r="EU80" s="326"/>
      <c r="EV80" s="326"/>
      <c r="EW80" s="326"/>
      <c r="EX80" s="326"/>
      <c r="EY80" s="326"/>
      <c r="EZ80" s="326"/>
      <c r="FA80" s="326"/>
      <c r="FB80" s="326"/>
      <c r="FC80" s="326"/>
      <c r="FD80" s="326"/>
      <c r="FE80" s="326"/>
      <c r="FF80" s="326"/>
      <c r="FG80" s="326"/>
      <c r="FH80" s="326"/>
      <c r="FI80" s="326"/>
      <c r="FJ80" s="326"/>
      <c r="FK80" s="326"/>
      <c r="FL80" s="326"/>
      <c r="FM80" s="326"/>
      <c r="FN80" s="326"/>
      <c r="FO80" s="326"/>
      <c r="FP80" s="326"/>
      <c r="FQ80" s="326"/>
      <c r="FR80" s="326"/>
      <c r="FS80" s="326"/>
      <c r="FT80" s="326"/>
      <c r="FU80" s="326"/>
      <c r="FV80" s="326"/>
      <c r="FW80" s="326"/>
      <c r="FX80" s="326"/>
      <c r="FY80" s="326"/>
      <c r="FZ80" s="326"/>
      <c r="GA80" s="326"/>
      <c r="GB80" s="326"/>
      <c r="GC80" s="326"/>
      <c r="GD80" s="326"/>
      <c r="GE80" s="326"/>
      <c r="GF80" s="326"/>
      <c r="GG80" s="326"/>
      <c r="GH80" s="326"/>
      <c r="GI80" s="326"/>
      <c r="GJ80" s="326"/>
      <c r="GK80" s="326"/>
      <c r="GL80" s="326"/>
      <c r="GM80" s="326"/>
      <c r="GN80" s="326"/>
      <c r="GO80" s="326"/>
      <c r="GP80" s="326"/>
      <c r="GQ80" s="326"/>
      <c r="GR80" s="326"/>
      <c r="GS80" s="326"/>
      <c r="GT80" s="326"/>
      <c r="GU80" s="326"/>
      <c r="GV80" s="326"/>
      <c r="GW80" s="326"/>
      <c r="GX80" s="326"/>
      <c r="GY80" s="326"/>
      <c r="GZ80" s="326"/>
      <c r="HA80" s="326"/>
      <c r="HB80" s="326"/>
      <c r="HC80" s="326"/>
      <c r="HD80" s="326"/>
      <c r="HE80" s="326"/>
      <c r="HF80" s="326"/>
      <c r="HG80" s="326"/>
      <c r="HH80" s="326"/>
      <c r="HI80" s="326"/>
      <c r="HJ80" s="326"/>
      <c r="HK80" s="326"/>
      <c r="HL80" s="326"/>
      <c r="HM80" s="326"/>
      <c r="HN80" s="326"/>
      <c r="HO80" s="326"/>
      <c r="HP80" s="326"/>
      <c r="HQ80" s="326"/>
      <c r="HR80" s="326"/>
      <c r="HS80" s="326"/>
      <c r="HT80" s="326"/>
      <c r="HU80" s="326"/>
      <c r="HV80" s="326"/>
      <c r="HW80" s="326"/>
      <c r="HX80" s="326"/>
      <c r="HY80" s="326"/>
      <c r="HZ80" s="326"/>
      <c r="IA80" s="326"/>
      <c r="IB80" s="326"/>
      <c r="IC80" s="326"/>
      <c r="ID80" s="326"/>
      <c r="IE80" s="326"/>
      <c r="IF80" s="326"/>
      <c r="IG80" s="326"/>
      <c r="IH80" s="326"/>
      <c r="II80" s="326"/>
      <c r="IJ80" s="326"/>
      <c r="IK80" s="326"/>
      <c r="IL80" s="326"/>
      <c r="IM80" s="326"/>
      <c r="IN80" s="326"/>
      <c r="IO80" s="326"/>
      <c r="IP80" s="326"/>
      <c r="IQ80" s="326"/>
      <c r="IR80" s="326"/>
      <c r="IS80" s="326"/>
      <c r="IT80" s="326"/>
      <c r="IU80" s="326"/>
      <c r="IV80" s="326"/>
    </row>
    <row r="81" spans="1:16" ht="33">
      <c r="A81" s="574">
        <v>72</v>
      </c>
      <c r="B81" s="466"/>
      <c r="C81" s="327">
        <v>15</v>
      </c>
      <c r="D81" s="329" t="s">
        <v>391</v>
      </c>
      <c r="E81" s="335"/>
      <c r="F81" s="564"/>
      <c r="G81" s="336"/>
      <c r="H81" s="773" t="s">
        <v>23</v>
      </c>
      <c r="I81" s="771"/>
      <c r="J81" s="764"/>
      <c r="K81" s="764"/>
      <c r="L81" s="764"/>
      <c r="M81" s="764"/>
      <c r="N81" s="784"/>
      <c r="O81" s="758"/>
      <c r="P81" s="565"/>
    </row>
    <row r="82" spans="1:256" s="560" customFormat="1" ht="18" customHeight="1">
      <c r="A82" s="574">
        <v>73</v>
      </c>
      <c r="B82" s="568"/>
      <c r="C82" s="327"/>
      <c r="D82" s="1324" t="s">
        <v>283</v>
      </c>
      <c r="E82" s="335">
        <f>F82+G82+O85+P82</f>
        <v>1629330</v>
      </c>
      <c r="F82" s="564">
        <f>28000+26441</f>
        <v>54441</v>
      </c>
      <c r="G82" s="336">
        <v>46228</v>
      </c>
      <c r="H82" s="773"/>
      <c r="I82" s="771"/>
      <c r="J82" s="764"/>
      <c r="K82" s="764">
        <v>12196</v>
      </c>
      <c r="L82" s="764"/>
      <c r="M82" s="764">
        <v>1516465</v>
      </c>
      <c r="N82" s="784"/>
      <c r="O82" s="758">
        <f>SUM(I82:N82)</f>
        <v>1528661</v>
      </c>
      <c r="P82" s="565"/>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326"/>
      <c r="CM82" s="326"/>
      <c r="CN82" s="326"/>
      <c r="CO82" s="326"/>
      <c r="CP82" s="326"/>
      <c r="CQ82" s="326"/>
      <c r="CR82" s="326"/>
      <c r="CS82" s="326"/>
      <c r="CT82" s="326"/>
      <c r="CU82" s="326"/>
      <c r="CV82" s="326"/>
      <c r="CW82" s="326"/>
      <c r="CX82" s="326"/>
      <c r="CY82" s="326"/>
      <c r="CZ82" s="326"/>
      <c r="DA82" s="326"/>
      <c r="DB82" s="326"/>
      <c r="DC82" s="326"/>
      <c r="DD82" s="326"/>
      <c r="DE82" s="326"/>
      <c r="DF82" s="326"/>
      <c r="DG82" s="326"/>
      <c r="DH82" s="326"/>
      <c r="DI82" s="326"/>
      <c r="DJ82" s="326"/>
      <c r="DK82" s="326"/>
      <c r="DL82" s="326"/>
      <c r="DM82" s="326"/>
      <c r="DN82" s="326"/>
      <c r="DO82" s="326"/>
      <c r="DP82" s="326"/>
      <c r="DQ82" s="326"/>
      <c r="DR82" s="326"/>
      <c r="DS82" s="326"/>
      <c r="DT82" s="326"/>
      <c r="DU82" s="326"/>
      <c r="DV82" s="326"/>
      <c r="DW82" s="326"/>
      <c r="DX82" s="326"/>
      <c r="DY82" s="326"/>
      <c r="DZ82" s="326"/>
      <c r="EA82" s="326"/>
      <c r="EB82" s="326"/>
      <c r="EC82" s="326"/>
      <c r="ED82" s="326"/>
      <c r="EE82" s="326"/>
      <c r="EF82" s="326"/>
      <c r="EG82" s="326"/>
      <c r="EH82" s="326"/>
      <c r="EI82" s="326"/>
      <c r="EJ82" s="326"/>
      <c r="EK82" s="326"/>
      <c r="EL82" s="326"/>
      <c r="EM82" s="326"/>
      <c r="EN82" s="326"/>
      <c r="EO82" s="326"/>
      <c r="EP82" s="326"/>
      <c r="EQ82" s="326"/>
      <c r="ER82" s="326"/>
      <c r="ES82" s="326"/>
      <c r="ET82" s="326"/>
      <c r="EU82" s="326"/>
      <c r="EV82" s="326"/>
      <c r="EW82" s="326"/>
      <c r="EX82" s="326"/>
      <c r="EY82" s="326"/>
      <c r="EZ82" s="326"/>
      <c r="FA82" s="326"/>
      <c r="FB82" s="326"/>
      <c r="FC82" s="326"/>
      <c r="FD82" s="326"/>
      <c r="FE82" s="326"/>
      <c r="FF82" s="326"/>
      <c r="FG82" s="326"/>
      <c r="FH82" s="326"/>
      <c r="FI82" s="326"/>
      <c r="FJ82" s="326"/>
      <c r="FK82" s="326"/>
      <c r="FL82" s="326"/>
      <c r="FM82" s="326"/>
      <c r="FN82" s="326"/>
      <c r="FO82" s="326"/>
      <c r="FP82" s="326"/>
      <c r="FQ82" s="326"/>
      <c r="FR82" s="326"/>
      <c r="FS82" s="326"/>
      <c r="FT82" s="326"/>
      <c r="FU82" s="326"/>
      <c r="FV82" s="326"/>
      <c r="FW82" s="326"/>
      <c r="FX82" s="326"/>
      <c r="FY82" s="326"/>
      <c r="FZ82" s="326"/>
      <c r="GA82" s="326"/>
      <c r="GB82" s="326"/>
      <c r="GC82" s="326"/>
      <c r="GD82" s="326"/>
      <c r="GE82" s="326"/>
      <c r="GF82" s="326"/>
      <c r="GG82" s="326"/>
      <c r="GH82" s="326"/>
      <c r="GI82" s="326"/>
      <c r="GJ82" s="326"/>
      <c r="GK82" s="326"/>
      <c r="GL82" s="326"/>
      <c r="GM82" s="326"/>
      <c r="GN82" s="326"/>
      <c r="GO82" s="326"/>
      <c r="GP82" s="326"/>
      <c r="GQ82" s="326"/>
      <c r="GR82" s="326"/>
      <c r="GS82" s="326"/>
      <c r="GT82" s="326"/>
      <c r="GU82" s="326"/>
      <c r="GV82" s="326"/>
      <c r="GW82" s="326"/>
      <c r="GX82" s="326"/>
      <c r="GY82" s="326"/>
      <c r="GZ82" s="326"/>
      <c r="HA82" s="326"/>
      <c r="HB82" s="326"/>
      <c r="HC82" s="326"/>
      <c r="HD82" s="326"/>
      <c r="HE82" s="326"/>
      <c r="HF82" s="326"/>
      <c r="HG82" s="326"/>
      <c r="HH82" s="326"/>
      <c r="HI82" s="326"/>
      <c r="HJ82" s="326"/>
      <c r="HK82" s="326"/>
      <c r="HL82" s="326"/>
      <c r="HM82" s="326"/>
      <c r="HN82" s="326"/>
      <c r="HO82" s="326"/>
      <c r="HP82" s="326"/>
      <c r="HQ82" s="326"/>
      <c r="HR82" s="326"/>
      <c r="HS82" s="326"/>
      <c r="HT82" s="326"/>
      <c r="HU82" s="326"/>
      <c r="HV82" s="326"/>
      <c r="HW82" s="326"/>
      <c r="HX82" s="326"/>
      <c r="HY82" s="326"/>
      <c r="HZ82" s="326"/>
      <c r="IA82" s="326"/>
      <c r="IB82" s="326"/>
      <c r="IC82" s="326"/>
      <c r="ID82" s="326"/>
      <c r="IE82" s="326"/>
      <c r="IF82" s="326"/>
      <c r="IG82" s="326"/>
      <c r="IH82" s="326"/>
      <c r="II82" s="326"/>
      <c r="IJ82" s="326"/>
      <c r="IK82" s="326"/>
      <c r="IL82" s="326"/>
      <c r="IM82" s="326"/>
      <c r="IN82" s="326"/>
      <c r="IO82" s="326"/>
      <c r="IP82" s="326"/>
      <c r="IQ82" s="326"/>
      <c r="IR82" s="326"/>
      <c r="IS82" s="326"/>
      <c r="IT82" s="326"/>
      <c r="IU82" s="326"/>
      <c r="IV82" s="326"/>
    </row>
    <row r="83" spans="1:256" s="560" customFormat="1" ht="18" customHeight="1">
      <c r="A83" s="574">
        <v>74</v>
      </c>
      <c r="B83" s="568"/>
      <c r="C83" s="327"/>
      <c r="D83" s="483" t="s">
        <v>938</v>
      </c>
      <c r="E83" s="335"/>
      <c r="F83" s="564"/>
      <c r="G83" s="336"/>
      <c r="H83" s="773"/>
      <c r="I83" s="771"/>
      <c r="J83" s="764"/>
      <c r="K83" s="1309">
        <v>12196</v>
      </c>
      <c r="L83" s="1309"/>
      <c r="M83" s="1309">
        <v>1516465</v>
      </c>
      <c r="N83" s="561"/>
      <c r="O83" s="569">
        <f>SUM(I83:N83)</f>
        <v>1528661</v>
      </c>
      <c r="P83" s="565"/>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c r="EI83" s="326"/>
      <c r="EJ83" s="326"/>
      <c r="EK83" s="326"/>
      <c r="EL83" s="326"/>
      <c r="EM83" s="326"/>
      <c r="EN83" s="326"/>
      <c r="EO83" s="326"/>
      <c r="EP83" s="326"/>
      <c r="EQ83" s="326"/>
      <c r="ER83" s="326"/>
      <c r="ES83" s="326"/>
      <c r="ET83" s="326"/>
      <c r="EU83" s="326"/>
      <c r="EV83" s="326"/>
      <c r="EW83" s="326"/>
      <c r="EX83" s="326"/>
      <c r="EY83" s="326"/>
      <c r="EZ83" s="326"/>
      <c r="FA83" s="326"/>
      <c r="FB83" s="326"/>
      <c r="FC83" s="326"/>
      <c r="FD83" s="326"/>
      <c r="FE83" s="326"/>
      <c r="FF83" s="326"/>
      <c r="FG83" s="326"/>
      <c r="FH83" s="326"/>
      <c r="FI83" s="326"/>
      <c r="FJ83" s="326"/>
      <c r="FK83" s="326"/>
      <c r="FL83" s="326"/>
      <c r="FM83" s="326"/>
      <c r="FN83" s="326"/>
      <c r="FO83" s="326"/>
      <c r="FP83" s="326"/>
      <c r="FQ83" s="326"/>
      <c r="FR83" s="326"/>
      <c r="FS83" s="326"/>
      <c r="FT83" s="326"/>
      <c r="FU83" s="326"/>
      <c r="FV83" s="326"/>
      <c r="FW83" s="326"/>
      <c r="FX83" s="326"/>
      <c r="FY83" s="326"/>
      <c r="FZ83" s="326"/>
      <c r="GA83" s="326"/>
      <c r="GB83" s="326"/>
      <c r="GC83" s="326"/>
      <c r="GD83" s="326"/>
      <c r="GE83" s="326"/>
      <c r="GF83" s="326"/>
      <c r="GG83" s="326"/>
      <c r="GH83" s="326"/>
      <c r="GI83" s="326"/>
      <c r="GJ83" s="326"/>
      <c r="GK83" s="326"/>
      <c r="GL83" s="326"/>
      <c r="GM83" s="326"/>
      <c r="GN83" s="326"/>
      <c r="GO83" s="326"/>
      <c r="GP83" s="326"/>
      <c r="GQ83" s="326"/>
      <c r="GR83" s="326"/>
      <c r="GS83" s="326"/>
      <c r="GT83" s="326"/>
      <c r="GU83" s="326"/>
      <c r="GV83" s="326"/>
      <c r="GW83" s="326"/>
      <c r="GX83" s="326"/>
      <c r="GY83" s="326"/>
      <c r="GZ83" s="326"/>
      <c r="HA83" s="326"/>
      <c r="HB83" s="326"/>
      <c r="HC83" s="326"/>
      <c r="HD83" s="326"/>
      <c r="HE83" s="326"/>
      <c r="HF83" s="326"/>
      <c r="HG83" s="326"/>
      <c r="HH83" s="326"/>
      <c r="HI83" s="326"/>
      <c r="HJ83" s="326"/>
      <c r="HK83" s="326"/>
      <c r="HL83" s="326"/>
      <c r="HM83" s="326"/>
      <c r="HN83" s="326"/>
      <c r="HO83" s="326"/>
      <c r="HP83" s="326"/>
      <c r="HQ83" s="326"/>
      <c r="HR83" s="326"/>
      <c r="HS83" s="326"/>
      <c r="HT83" s="326"/>
      <c r="HU83" s="326"/>
      <c r="HV83" s="326"/>
      <c r="HW83" s="326"/>
      <c r="HX83" s="326"/>
      <c r="HY83" s="326"/>
      <c r="HZ83" s="326"/>
      <c r="IA83" s="326"/>
      <c r="IB83" s="326"/>
      <c r="IC83" s="326"/>
      <c r="ID83" s="326"/>
      <c r="IE83" s="326"/>
      <c r="IF83" s="326"/>
      <c r="IG83" s="326"/>
      <c r="IH83" s="326"/>
      <c r="II83" s="326"/>
      <c r="IJ83" s="326"/>
      <c r="IK83" s="326"/>
      <c r="IL83" s="326"/>
      <c r="IM83" s="326"/>
      <c r="IN83" s="326"/>
      <c r="IO83" s="326"/>
      <c r="IP83" s="326"/>
      <c r="IQ83" s="326"/>
      <c r="IR83" s="326"/>
      <c r="IS83" s="326"/>
      <c r="IT83" s="326"/>
      <c r="IU83" s="326"/>
      <c r="IV83" s="326"/>
    </row>
    <row r="84" spans="1:256" s="560" customFormat="1" ht="18" customHeight="1">
      <c r="A84" s="574">
        <v>75</v>
      </c>
      <c r="B84" s="568"/>
      <c r="C84" s="327"/>
      <c r="D84" s="1146" t="s">
        <v>674</v>
      </c>
      <c r="E84" s="335"/>
      <c r="F84" s="564"/>
      <c r="G84" s="336"/>
      <c r="H84" s="773"/>
      <c r="I84" s="771"/>
      <c r="J84" s="764"/>
      <c r="K84" s="764"/>
      <c r="L84" s="764"/>
      <c r="M84" s="764"/>
      <c r="N84" s="784"/>
      <c r="O84" s="1307">
        <f>SUM(I84:N84)</f>
        <v>0</v>
      </c>
      <c r="P84" s="565"/>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c r="EI84" s="326"/>
      <c r="EJ84" s="326"/>
      <c r="EK84" s="326"/>
      <c r="EL84" s="326"/>
      <c r="EM84" s="326"/>
      <c r="EN84" s="326"/>
      <c r="EO84" s="326"/>
      <c r="EP84" s="326"/>
      <c r="EQ84" s="326"/>
      <c r="ER84" s="326"/>
      <c r="ES84" s="326"/>
      <c r="ET84" s="326"/>
      <c r="EU84" s="326"/>
      <c r="EV84" s="326"/>
      <c r="EW84" s="326"/>
      <c r="EX84" s="326"/>
      <c r="EY84" s="326"/>
      <c r="EZ84" s="326"/>
      <c r="FA84" s="326"/>
      <c r="FB84" s="326"/>
      <c r="FC84" s="326"/>
      <c r="FD84" s="326"/>
      <c r="FE84" s="326"/>
      <c r="FF84" s="326"/>
      <c r="FG84" s="326"/>
      <c r="FH84" s="326"/>
      <c r="FI84" s="326"/>
      <c r="FJ84" s="326"/>
      <c r="FK84" s="326"/>
      <c r="FL84" s="326"/>
      <c r="FM84" s="326"/>
      <c r="FN84" s="326"/>
      <c r="FO84" s="326"/>
      <c r="FP84" s="326"/>
      <c r="FQ84" s="326"/>
      <c r="FR84" s="326"/>
      <c r="FS84" s="326"/>
      <c r="FT84" s="326"/>
      <c r="FU84" s="326"/>
      <c r="FV84" s="326"/>
      <c r="FW84" s="326"/>
      <c r="FX84" s="326"/>
      <c r="FY84" s="326"/>
      <c r="FZ84" s="326"/>
      <c r="GA84" s="326"/>
      <c r="GB84" s="326"/>
      <c r="GC84" s="326"/>
      <c r="GD84" s="326"/>
      <c r="GE84" s="326"/>
      <c r="GF84" s="326"/>
      <c r="GG84" s="326"/>
      <c r="GH84" s="326"/>
      <c r="GI84" s="326"/>
      <c r="GJ84" s="326"/>
      <c r="GK84" s="326"/>
      <c r="GL84" s="326"/>
      <c r="GM84" s="326"/>
      <c r="GN84" s="326"/>
      <c r="GO84" s="326"/>
      <c r="GP84" s="326"/>
      <c r="GQ84" s="326"/>
      <c r="GR84" s="326"/>
      <c r="GS84" s="326"/>
      <c r="GT84" s="326"/>
      <c r="GU84" s="326"/>
      <c r="GV84" s="326"/>
      <c r="GW84" s="326"/>
      <c r="GX84" s="326"/>
      <c r="GY84" s="326"/>
      <c r="GZ84" s="326"/>
      <c r="HA84" s="326"/>
      <c r="HB84" s="326"/>
      <c r="HC84" s="326"/>
      <c r="HD84" s="326"/>
      <c r="HE84" s="326"/>
      <c r="HF84" s="326"/>
      <c r="HG84" s="326"/>
      <c r="HH84" s="326"/>
      <c r="HI84" s="326"/>
      <c r="HJ84" s="326"/>
      <c r="HK84" s="326"/>
      <c r="HL84" s="326"/>
      <c r="HM84" s="326"/>
      <c r="HN84" s="326"/>
      <c r="HO84" s="326"/>
      <c r="HP84" s="326"/>
      <c r="HQ84" s="326"/>
      <c r="HR84" s="326"/>
      <c r="HS84" s="326"/>
      <c r="HT84" s="326"/>
      <c r="HU84" s="326"/>
      <c r="HV84" s="326"/>
      <c r="HW84" s="326"/>
      <c r="HX84" s="326"/>
      <c r="HY84" s="326"/>
      <c r="HZ84" s="326"/>
      <c r="IA84" s="326"/>
      <c r="IB84" s="326"/>
      <c r="IC84" s="326"/>
      <c r="ID84" s="326"/>
      <c r="IE84" s="326"/>
      <c r="IF84" s="326"/>
      <c r="IG84" s="326"/>
      <c r="IH84" s="326"/>
      <c r="II84" s="326"/>
      <c r="IJ84" s="326"/>
      <c r="IK84" s="326"/>
      <c r="IL84" s="326"/>
      <c r="IM84" s="326"/>
      <c r="IN84" s="326"/>
      <c r="IO84" s="326"/>
      <c r="IP84" s="326"/>
      <c r="IQ84" s="326"/>
      <c r="IR84" s="326"/>
      <c r="IS84" s="326"/>
      <c r="IT84" s="326"/>
      <c r="IU84" s="326"/>
      <c r="IV84" s="326"/>
    </row>
    <row r="85" spans="1:256" s="560" customFormat="1" ht="18" customHeight="1">
      <c r="A85" s="574">
        <v>76</v>
      </c>
      <c r="B85" s="568"/>
      <c r="C85" s="327"/>
      <c r="D85" s="483" t="s">
        <v>1091</v>
      </c>
      <c r="E85" s="335"/>
      <c r="F85" s="564"/>
      <c r="G85" s="336"/>
      <c r="H85" s="773"/>
      <c r="I85" s="771"/>
      <c r="J85" s="764"/>
      <c r="K85" s="1309">
        <f>SUM(K83:K84)</f>
        <v>12196</v>
      </c>
      <c r="L85" s="1309"/>
      <c r="M85" s="1309">
        <f>SUM(M83:M84)</f>
        <v>1516465</v>
      </c>
      <c r="N85" s="784"/>
      <c r="O85" s="569">
        <f>SUM(I85:N85)</f>
        <v>1528661</v>
      </c>
      <c r="P85" s="565"/>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c r="BY85" s="326"/>
      <c r="BZ85" s="326"/>
      <c r="CA85" s="326"/>
      <c r="CB85" s="326"/>
      <c r="CC85" s="326"/>
      <c r="CD85" s="326"/>
      <c r="CE85" s="326"/>
      <c r="CF85" s="326"/>
      <c r="CG85" s="326"/>
      <c r="CH85" s="326"/>
      <c r="CI85" s="326"/>
      <c r="CJ85" s="326"/>
      <c r="CK85" s="326"/>
      <c r="CL85" s="326"/>
      <c r="CM85" s="326"/>
      <c r="CN85" s="326"/>
      <c r="CO85" s="326"/>
      <c r="CP85" s="326"/>
      <c r="CQ85" s="326"/>
      <c r="CR85" s="326"/>
      <c r="CS85" s="326"/>
      <c r="CT85" s="326"/>
      <c r="CU85" s="326"/>
      <c r="CV85" s="326"/>
      <c r="CW85" s="326"/>
      <c r="CX85" s="326"/>
      <c r="CY85" s="326"/>
      <c r="CZ85" s="326"/>
      <c r="DA85" s="326"/>
      <c r="DB85" s="326"/>
      <c r="DC85" s="326"/>
      <c r="DD85" s="326"/>
      <c r="DE85" s="326"/>
      <c r="DF85" s="326"/>
      <c r="DG85" s="326"/>
      <c r="DH85" s="326"/>
      <c r="DI85" s="326"/>
      <c r="DJ85" s="326"/>
      <c r="DK85" s="326"/>
      <c r="DL85" s="326"/>
      <c r="DM85" s="326"/>
      <c r="DN85" s="326"/>
      <c r="DO85" s="326"/>
      <c r="DP85" s="326"/>
      <c r="DQ85" s="326"/>
      <c r="DR85" s="326"/>
      <c r="DS85" s="326"/>
      <c r="DT85" s="326"/>
      <c r="DU85" s="326"/>
      <c r="DV85" s="326"/>
      <c r="DW85" s="326"/>
      <c r="DX85" s="326"/>
      <c r="DY85" s="326"/>
      <c r="DZ85" s="326"/>
      <c r="EA85" s="326"/>
      <c r="EB85" s="326"/>
      <c r="EC85" s="326"/>
      <c r="ED85" s="326"/>
      <c r="EE85" s="326"/>
      <c r="EF85" s="326"/>
      <c r="EG85" s="326"/>
      <c r="EH85" s="326"/>
      <c r="EI85" s="326"/>
      <c r="EJ85" s="326"/>
      <c r="EK85" s="326"/>
      <c r="EL85" s="326"/>
      <c r="EM85" s="326"/>
      <c r="EN85" s="326"/>
      <c r="EO85" s="326"/>
      <c r="EP85" s="326"/>
      <c r="EQ85" s="326"/>
      <c r="ER85" s="326"/>
      <c r="ES85" s="326"/>
      <c r="ET85" s="326"/>
      <c r="EU85" s="326"/>
      <c r="EV85" s="326"/>
      <c r="EW85" s="326"/>
      <c r="EX85" s="326"/>
      <c r="EY85" s="326"/>
      <c r="EZ85" s="326"/>
      <c r="FA85" s="326"/>
      <c r="FB85" s="326"/>
      <c r="FC85" s="326"/>
      <c r="FD85" s="326"/>
      <c r="FE85" s="326"/>
      <c r="FF85" s="326"/>
      <c r="FG85" s="326"/>
      <c r="FH85" s="326"/>
      <c r="FI85" s="326"/>
      <c r="FJ85" s="326"/>
      <c r="FK85" s="326"/>
      <c r="FL85" s="326"/>
      <c r="FM85" s="326"/>
      <c r="FN85" s="326"/>
      <c r="FO85" s="326"/>
      <c r="FP85" s="326"/>
      <c r="FQ85" s="326"/>
      <c r="FR85" s="326"/>
      <c r="FS85" s="326"/>
      <c r="FT85" s="326"/>
      <c r="FU85" s="326"/>
      <c r="FV85" s="326"/>
      <c r="FW85" s="326"/>
      <c r="FX85" s="326"/>
      <c r="FY85" s="326"/>
      <c r="FZ85" s="326"/>
      <c r="GA85" s="326"/>
      <c r="GB85" s="326"/>
      <c r="GC85" s="326"/>
      <c r="GD85" s="326"/>
      <c r="GE85" s="326"/>
      <c r="GF85" s="326"/>
      <c r="GG85" s="326"/>
      <c r="GH85" s="326"/>
      <c r="GI85" s="326"/>
      <c r="GJ85" s="326"/>
      <c r="GK85" s="326"/>
      <c r="GL85" s="326"/>
      <c r="GM85" s="326"/>
      <c r="GN85" s="326"/>
      <c r="GO85" s="326"/>
      <c r="GP85" s="326"/>
      <c r="GQ85" s="326"/>
      <c r="GR85" s="326"/>
      <c r="GS85" s="326"/>
      <c r="GT85" s="326"/>
      <c r="GU85" s="326"/>
      <c r="GV85" s="326"/>
      <c r="GW85" s="326"/>
      <c r="GX85" s="326"/>
      <c r="GY85" s="326"/>
      <c r="GZ85" s="326"/>
      <c r="HA85" s="326"/>
      <c r="HB85" s="326"/>
      <c r="HC85" s="326"/>
      <c r="HD85" s="326"/>
      <c r="HE85" s="326"/>
      <c r="HF85" s="326"/>
      <c r="HG85" s="326"/>
      <c r="HH85" s="326"/>
      <c r="HI85" s="326"/>
      <c r="HJ85" s="326"/>
      <c r="HK85" s="326"/>
      <c r="HL85" s="326"/>
      <c r="HM85" s="326"/>
      <c r="HN85" s="326"/>
      <c r="HO85" s="326"/>
      <c r="HP85" s="326"/>
      <c r="HQ85" s="326"/>
      <c r="HR85" s="326"/>
      <c r="HS85" s="326"/>
      <c r="HT85" s="326"/>
      <c r="HU85" s="326"/>
      <c r="HV85" s="326"/>
      <c r="HW85" s="326"/>
      <c r="HX85" s="326"/>
      <c r="HY85" s="326"/>
      <c r="HZ85" s="326"/>
      <c r="IA85" s="326"/>
      <c r="IB85" s="326"/>
      <c r="IC85" s="326"/>
      <c r="ID85" s="326"/>
      <c r="IE85" s="326"/>
      <c r="IF85" s="326"/>
      <c r="IG85" s="326"/>
      <c r="IH85" s="326"/>
      <c r="II85" s="326"/>
      <c r="IJ85" s="326"/>
      <c r="IK85" s="326"/>
      <c r="IL85" s="326"/>
      <c r="IM85" s="326"/>
      <c r="IN85" s="326"/>
      <c r="IO85" s="326"/>
      <c r="IP85" s="326"/>
      <c r="IQ85" s="326"/>
      <c r="IR85" s="326"/>
      <c r="IS85" s="326"/>
      <c r="IT85" s="326"/>
      <c r="IU85" s="326"/>
      <c r="IV85" s="326"/>
    </row>
    <row r="86" spans="1:16" ht="54" customHeight="1">
      <c r="A86" s="574">
        <v>77</v>
      </c>
      <c r="B86" s="466"/>
      <c r="C86" s="327">
        <v>16</v>
      </c>
      <c r="D86" s="329" t="s">
        <v>443</v>
      </c>
      <c r="E86" s="335"/>
      <c r="F86" s="564"/>
      <c r="G86" s="336"/>
      <c r="H86" s="773" t="s">
        <v>23</v>
      </c>
      <c r="I86" s="771"/>
      <c r="J86" s="764"/>
      <c r="K86" s="764"/>
      <c r="L86" s="764"/>
      <c r="M86" s="764"/>
      <c r="N86" s="784"/>
      <c r="O86" s="758"/>
      <c r="P86" s="565"/>
    </row>
    <row r="87" spans="1:256" s="560" customFormat="1" ht="18" customHeight="1">
      <c r="A87" s="574">
        <v>78</v>
      </c>
      <c r="B87" s="568"/>
      <c r="C87" s="366"/>
      <c r="D87" s="1324" t="s">
        <v>283</v>
      </c>
      <c r="E87" s="335">
        <f>F87+G87+O90+P87</f>
        <v>555126</v>
      </c>
      <c r="F87" s="564">
        <f>4379+12827</f>
        <v>17206</v>
      </c>
      <c r="G87" s="336">
        <v>0</v>
      </c>
      <c r="H87" s="773"/>
      <c r="I87" s="771"/>
      <c r="J87" s="764"/>
      <c r="K87" s="764">
        <v>3667</v>
      </c>
      <c r="L87" s="764"/>
      <c r="M87" s="764">
        <v>534253</v>
      </c>
      <c r="N87" s="784"/>
      <c r="O87" s="758">
        <f>SUM(I87:N87)</f>
        <v>537920</v>
      </c>
      <c r="P87" s="565"/>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c r="EI87" s="326"/>
      <c r="EJ87" s="326"/>
      <c r="EK87" s="326"/>
      <c r="EL87" s="326"/>
      <c r="EM87" s="326"/>
      <c r="EN87" s="326"/>
      <c r="EO87" s="326"/>
      <c r="EP87" s="326"/>
      <c r="EQ87" s="326"/>
      <c r="ER87" s="326"/>
      <c r="ES87" s="326"/>
      <c r="ET87" s="326"/>
      <c r="EU87" s="326"/>
      <c r="EV87" s="326"/>
      <c r="EW87" s="326"/>
      <c r="EX87" s="326"/>
      <c r="EY87" s="326"/>
      <c r="EZ87" s="326"/>
      <c r="FA87" s="326"/>
      <c r="FB87" s="326"/>
      <c r="FC87" s="326"/>
      <c r="FD87" s="326"/>
      <c r="FE87" s="326"/>
      <c r="FF87" s="326"/>
      <c r="FG87" s="326"/>
      <c r="FH87" s="326"/>
      <c r="FI87" s="326"/>
      <c r="FJ87" s="326"/>
      <c r="FK87" s="326"/>
      <c r="FL87" s="326"/>
      <c r="FM87" s="326"/>
      <c r="FN87" s="326"/>
      <c r="FO87" s="326"/>
      <c r="FP87" s="326"/>
      <c r="FQ87" s="326"/>
      <c r="FR87" s="326"/>
      <c r="FS87" s="326"/>
      <c r="FT87" s="326"/>
      <c r="FU87" s="326"/>
      <c r="FV87" s="326"/>
      <c r="FW87" s="326"/>
      <c r="FX87" s="326"/>
      <c r="FY87" s="326"/>
      <c r="FZ87" s="326"/>
      <c r="GA87" s="326"/>
      <c r="GB87" s="326"/>
      <c r="GC87" s="326"/>
      <c r="GD87" s="326"/>
      <c r="GE87" s="326"/>
      <c r="GF87" s="326"/>
      <c r="GG87" s="326"/>
      <c r="GH87" s="326"/>
      <c r="GI87" s="326"/>
      <c r="GJ87" s="326"/>
      <c r="GK87" s="326"/>
      <c r="GL87" s="326"/>
      <c r="GM87" s="326"/>
      <c r="GN87" s="326"/>
      <c r="GO87" s="326"/>
      <c r="GP87" s="326"/>
      <c r="GQ87" s="326"/>
      <c r="GR87" s="326"/>
      <c r="GS87" s="326"/>
      <c r="GT87" s="326"/>
      <c r="GU87" s="326"/>
      <c r="GV87" s="326"/>
      <c r="GW87" s="326"/>
      <c r="GX87" s="326"/>
      <c r="GY87" s="326"/>
      <c r="GZ87" s="326"/>
      <c r="HA87" s="326"/>
      <c r="HB87" s="326"/>
      <c r="HC87" s="326"/>
      <c r="HD87" s="326"/>
      <c r="HE87" s="326"/>
      <c r="HF87" s="326"/>
      <c r="HG87" s="326"/>
      <c r="HH87" s="326"/>
      <c r="HI87" s="326"/>
      <c r="HJ87" s="326"/>
      <c r="HK87" s="326"/>
      <c r="HL87" s="326"/>
      <c r="HM87" s="326"/>
      <c r="HN87" s="326"/>
      <c r="HO87" s="326"/>
      <c r="HP87" s="326"/>
      <c r="HQ87" s="326"/>
      <c r="HR87" s="326"/>
      <c r="HS87" s="326"/>
      <c r="HT87" s="326"/>
      <c r="HU87" s="326"/>
      <c r="HV87" s="326"/>
      <c r="HW87" s="326"/>
      <c r="HX87" s="326"/>
      <c r="HY87" s="326"/>
      <c r="HZ87" s="326"/>
      <c r="IA87" s="326"/>
      <c r="IB87" s="326"/>
      <c r="IC87" s="326"/>
      <c r="ID87" s="326"/>
      <c r="IE87" s="326"/>
      <c r="IF87" s="326"/>
      <c r="IG87" s="326"/>
      <c r="IH87" s="326"/>
      <c r="II87" s="326"/>
      <c r="IJ87" s="326"/>
      <c r="IK87" s="326"/>
      <c r="IL87" s="326"/>
      <c r="IM87" s="326"/>
      <c r="IN87" s="326"/>
      <c r="IO87" s="326"/>
      <c r="IP87" s="326"/>
      <c r="IQ87" s="326"/>
      <c r="IR87" s="326"/>
      <c r="IS87" s="326"/>
      <c r="IT87" s="326"/>
      <c r="IU87" s="326"/>
      <c r="IV87" s="326"/>
    </row>
    <row r="88" spans="1:256" s="560" customFormat="1" ht="18" customHeight="1">
      <c r="A88" s="574">
        <v>79</v>
      </c>
      <c r="B88" s="568"/>
      <c r="C88" s="366"/>
      <c r="D88" s="483" t="s">
        <v>938</v>
      </c>
      <c r="E88" s="335"/>
      <c r="F88" s="564"/>
      <c r="G88" s="336"/>
      <c r="H88" s="773"/>
      <c r="I88" s="771"/>
      <c r="J88" s="764"/>
      <c r="K88" s="1309">
        <v>3667</v>
      </c>
      <c r="L88" s="1309"/>
      <c r="M88" s="1309">
        <v>534253</v>
      </c>
      <c r="N88" s="784"/>
      <c r="O88" s="758">
        <f>SUM(I88:N88)</f>
        <v>537920</v>
      </c>
      <c r="P88" s="565"/>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c r="EI88" s="326"/>
      <c r="EJ88" s="326"/>
      <c r="EK88" s="326"/>
      <c r="EL88" s="326"/>
      <c r="EM88" s="326"/>
      <c r="EN88" s="326"/>
      <c r="EO88" s="326"/>
      <c r="EP88" s="326"/>
      <c r="EQ88" s="326"/>
      <c r="ER88" s="326"/>
      <c r="ES88" s="326"/>
      <c r="ET88" s="326"/>
      <c r="EU88" s="326"/>
      <c r="EV88" s="326"/>
      <c r="EW88" s="326"/>
      <c r="EX88" s="326"/>
      <c r="EY88" s="326"/>
      <c r="EZ88" s="326"/>
      <c r="FA88" s="326"/>
      <c r="FB88" s="326"/>
      <c r="FC88" s="326"/>
      <c r="FD88" s="326"/>
      <c r="FE88" s="326"/>
      <c r="FF88" s="326"/>
      <c r="FG88" s="326"/>
      <c r="FH88" s="326"/>
      <c r="FI88" s="326"/>
      <c r="FJ88" s="326"/>
      <c r="FK88" s="326"/>
      <c r="FL88" s="326"/>
      <c r="FM88" s="326"/>
      <c r="FN88" s="326"/>
      <c r="FO88" s="326"/>
      <c r="FP88" s="326"/>
      <c r="FQ88" s="326"/>
      <c r="FR88" s="326"/>
      <c r="FS88" s="326"/>
      <c r="FT88" s="326"/>
      <c r="FU88" s="326"/>
      <c r="FV88" s="326"/>
      <c r="FW88" s="326"/>
      <c r="FX88" s="326"/>
      <c r="FY88" s="326"/>
      <c r="FZ88" s="326"/>
      <c r="GA88" s="326"/>
      <c r="GB88" s="326"/>
      <c r="GC88" s="326"/>
      <c r="GD88" s="326"/>
      <c r="GE88" s="326"/>
      <c r="GF88" s="326"/>
      <c r="GG88" s="326"/>
      <c r="GH88" s="326"/>
      <c r="GI88" s="326"/>
      <c r="GJ88" s="326"/>
      <c r="GK88" s="326"/>
      <c r="GL88" s="326"/>
      <c r="GM88" s="326"/>
      <c r="GN88" s="326"/>
      <c r="GO88" s="326"/>
      <c r="GP88" s="326"/>
      <c r="GQ88" s="326"/>
      <c r="GR88" s="326"/>
      <c r="GS88" s="326"/>
      <c r="GT88" s="326"/>
      <c r="GU88" s="326"/>
      <c r="GV88" s="326"/>
      <c r="GW88" s="326"/>
      <c r="GX88" s="326"/>
      <c r="GY88" s="326"/>
      <c r="GZ88" s="326"/>
      <c r="HA88" s="326"/>
      <c r="HB88" s="326"/>
      <c r="HC88" s="326"/>
      <c r="HD88" s="326"/>
      <c r="HE88" s="326"/>
      <c r="HF88" s="326"/>
      <c r="HG88" s="326"/>
      <c r="HH88" s="326"/>
      <c r="HI88" s="326"/>
      <c r="HJ88" s="326"/>
      <c r="HK88" s="326"/>
      <c r="HL88" s="326"/>
      <c r="HM88" s="326"/>
      <c r="HN88" s="326"/>
      <c r="HO88" s="326"/>
      <c r="HP88" s="326"/>
      <c r="HQ88" s="326"/>
      <c r="HR88" s="326"/>
      <c r="HS88" s="326"/>
      <c r="HT88" s="326"/>
      <c r="HU88" s="326"/>
      <c r="HV88" s="326"/>
      <c r="HW88" s="326"/>
      <c r="HX88" s="326"/>
      <c r="HY88" s="326"/>
      <c r="HZ88" s="326"/>
      <c r="IA88" s="326"/>
      <c r="IB88" s="326"/>
      <c r="IC88" s="326"/>
      <c r="ID88" s="326"/>
      <c r="IE88" s="326"/>
      <c r="IF88" s="326"/>
      <c r="IG88" s="326"/>
      <c r="IH88" s="326"/>
      <c r="II88" s="326"/>
      <c r="IJ88" s="326"/>
      <c r="IK88" s="326"/>
      <c r="IL88" s="326"/>
      <c r="IM88" s="326"/>
      <c r="IN88" s="326"/>
      <c r="IO88" s="326"/>
      <c r="IP88" s="326"/>
      <c r="IQ88" s="326"/>
      <c r="IR88" s="326"/>
      <c r="IS88" s="326"/>
      <c r="IT88" s="326"/>
      <c r="IU88" s="326"/>
      <c r="IV88" s="326"/>
    </row>
    <row r="89" spans="1:256" s="560" customFormat="1" ht="18" customHeight="1">
      <c r="A89" s="574">
        <v>80</v>
      </c>
      <c r="B89" s="568"/>
      <c r="C89" s="366"/>
      <c r="D89" s="1146" t="s">
        <v>674</v>
      </c>
      <c r="E89" s="335"/>
      <c r="F89" s="564"/>
      <c r="G89" s="336"/>
      <c r="H89" s="773"/>
      <c r="I89" s="771"/>
      <c r="J89" s="764"/>
      <c r="K89" s="764"/>
      <c r="L89" s="764"/>
      <c r="M89" s="764"/>
      <c r="N89" s="784"/>
      <c r="O89" s="1307">
        <f>SUM(I89:N89)</f>
        <v>0</v>
      </c>
      <c r="P89" s="565"/>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6"/>
      <c r="BQ89" s="326"/>
      <c r="BR89" s="326"/>
      <c r="BS89" s="326"/>
      <c r="BT89" s="326"/>
      <c r="BU89" s="326"/>
      <c r="BV89" s="326"/>
      <c r="BW89" s="326"/>
      <c r="BX89" s="326"/>
      <c r="BY89" s="326"/>
      <c r="BZ89" s="326"/>
      <c r="CA89" s="326"/>
      <c r="CB89" s="326"/>
      <c r="CC89" s="326"/>
      <c r="CD89" s="326"/>
      <c r="CE89" s="326"/>
      <c r="CF89" s="326"/>
      <c r="CG89" s="326"/>
      <c r="CH89" s="326"/>
      <c r="CI89" s="326"/>
      <c r="CJ89" s="326"/>
      <c r="CK89" s="326"/>
      <c r="CL89" s="326"/>
      <c r="CM89" s="326"/>
      <c r="CN89" s="326"/>
      <c r="CO89" s="326"/>
      <c r="CP89" s="326"/>
      <c r="CQ89" s="326"/>
      <c r="CR89" s="326"/>
      <c r="CS89" s="326"/>
      <c r="CT89" s="326"/>
      <c r="CU89" s="326"/>
      <c r="CV89" s="326"/>
      <c r="CW89" s="326"/>
      <c r="CX89" s="326"/>
      <c r="CY89" s="326"/>
      <c r="CZ89" s="326"/>
      <c r="DA89" s="326"/>
      <c r="DB89" s="326"/>
      <c r="DC89" s="326"/>
      <c r="DD89" s="326"/>
      <c r="DE89" s="326"/>
      <c r="DF89" s="326"/>
      <c r="DG89" s="326"/>
      <c r="DH89" s="326"/>
      <c r="DI89" s="326"/>
      <c r="DJ89" s="326"/>
      <c r="DK89" s="326"/>
      <c r="DL89" s="326"/>
      <c r="DM89" s="326"/>
      <c r="DN89" s="326"/>
      <c r="DO89" s="326"/>
      <c r="DP89" s="326"/>
      <c r="DQ89" s="326"/>
      <c r="DR89" s="326"/>
      <c r="DS89" s="326"/>
      <c r="DT89" s="326"/>
      <c r="DU89" s="326"/>
      <c r="DV89" s="326"/>
      <c r="DW89" s="326"/>
      <c r="DX89" s="326"/>
      <c r="DY89" s="326"/>
      <c r="DZ89" s="326"/>
      <c r="EA89" s="326"/>
      <c r="EB89" s="326"/>
      <c r="EC89" s="326"/>
      <c r="ED89" s="326"/>
      <c r="EE89" s="326"/>
      <c r="EF89" s="326"/>
      <c r="EG89" s="326"/>
      <c r="EH89" s="326"/>
      <c r="EI89" s="326"/>
      <c r="EJ89" s="326"/>
      <c r="EK89" s="326"/>
      <c r="EL89" s="326"/>
      <c r="EM89" s="326"/>
      <c r="EN89" s="326"/>
      <c r="EO89" s="326"/>
      <c r="EP89" s="326"/>
      <c r="EQ89" s="326"/>
      <c r="ER89" s="326"/>
      <c r="ES89" s="326"/>
      <c r="ET89" s="326"/>
      <c r="EU89" s="326"/>
      <c r="EV89" s="326"/>
      <c r="EW89" s="326"/>
      <c r="EX89" s="326"/>
      <c r="EY89" s="326"/>
      <c r="EZ89" s="326"/>
      <c r="FA89" s="326"/>
      <c r="FB89" s="326"/>
      <c r="FC89" s="326"/>
      <c r="FD89" s="326"/>
      <c r="FE89" s="326"/>
      <c r="FF89" s="326"/>
      <c r="FG89" s="326"/>
      <c r="FH89" s="326"/>
      <c r="FI89" s="326"/>
      <c r="FJ89" s="326"/>
      <c r="FK89" s="326"/>
      <c r="FL89" s="326"/>
      <c r="FM89" s="326"/>
      <c r="FN89" s="326"/>
      <c r="FO89" s="326"/>
      <c r="FP89" s="326"/>
      <c r="FQ89" s="326"/>
      <c r="FR89" s="326"/>
      <c r="FS89" s="326"/>
      <c r="FT89" s="326"/>
      <c r="FU89" s="326"/>
      <c r="FV89" s="326"/>
      <c r="FW89" s="326"/>
      <c r="FX89" s="326"/>
      <c r="FY89" s="326"/>
      <c r="FZ89" s="326"/>
      <c r="GA89" s="326"/>
      <c r="GB89" s="326"/>
      <c r="GC89" s="326"/>
      <c r="GD89" s="326"/>
      <c r="GE89" s="326"/>
      <c r="GF89" s="326"/>
      <c r="GG89" s="326"/>
      <c r="GH89" s="326"/>
      <c r="GI89" s="326"/>
      <c r="GJ89" s="326"/>
      <c r="GK89" s="326"/>
      <c r="GL89" s="326"/>
      <c r="GM89" s="326"/>
      <c r="GN89" s="326"/>
      <c r="GO89" s="326"/>
      <c r="GP89" s="326"/>
      <c r="GQ89" s="326"/>
      <c r="GR89" s="326"/>
      <c r="GS89" s="326"/>
      <c r="GT89" s="326"/>
      <c r="GU89" s="326"/>
      <c r="GV89" s="326"/>
      <c r="GW89" s="326"/>
      <c r="GX89" s="326"/>
      <c r="GY89" s="326"/>
      <c r="GZ89" s="326"/>
      <c r="HA89" s="326"/>
      <c r="HB89" s="326"/>
      <c r="HC89" s="326"/>
      <c r="HD89" s="326"/>
      <c r="HE89" s="326"/>
      <c r="HF89" s="326"/>
      <c r="HG89" s="326"/>
      <c r="HH89" s="326"/>
      <c r="HI89" s="326"/>
      <c r="HJ89" s="326"/>
      <c r="HK89" s="326"/>
      <c r="HL89" s="326"/>
      <c r="HM89" s="326"/>
      <c r="HN89" s="326"/>
      <c r="HO89" s="326"/>
      <c r="HP89" s="326"/>
      <c r="HQ89" s="326"/>
      <c r="HR89" s="326"/>
      <c r="HS89" s="326"/>
      <c r="HT89" s="326"/>
      <c r="HU89" s="326"/>
      <c r="HV89" s="326"/>
      <c r="HW89" s="326"/>
      <c r="HX89" s="326"/>
      <c r="HY89" s="326"/>
      <c r="HZ89" s="326"/>
      <c r="IA89" s="326"/>
      <c r="IB89" s="326"/>
      <c r="IC89" s="326"/>
      <c r="ID89" s="326"/>
      <c r="IE89" s="326"/>
      <c r="IF89" s="326"/>
      <c r="IG89" s="326"/>
      <c r="IH89" s="326"/>
      <c r="II89" s="326"/>
      <c r="IJ89" s="326"/>
      <c r="IK89" s="326"/>
      <c r="IL89" s="326"/>
      <c r="IM89" s="326"/>
      <c r="IN89" s="326"/>
      <c r="IO89" s="326"/>
      <c r="IP89" s="326"/>
      <c r="IQ89" s="326"/>
      <c r="IR89" s="326"/>
      <c r="IS89" s="326"/>
      <c r="IT89" s="326"/>
      <c r="IU89" s="326"/>
      <c r="IV89" s="326"/>
    </row>
    <row r="90" spans="1:256" s="560" customFormat="1" ht="18" customHeight="1">
      <c r="A90" s="574">
        <v>81</v>
      </c>
      <c r="B90" s="568"/>
      <c r="C90" s="366"/>
      <c r="D90" s="483" t="s">
        <v>1091</v>
      </c>
      <c r="E90" s="335"/>
      <c r="F90" s="564"/>
      <c r="G90" s="336"/>
      <c r="H90" s="773"/>
      <c r="I90" s="771"/>
      <c r="J90" s="764"/>
      <c r="K90" s="1309">
        <f>SUM(K88:K89)</f>
        <v>3667</v>
      </c>
      <c r="L90" s="1309"/>
      <c r="M90" s="1309">
        <f>SUM(M88:M89)</f>
        <v>534253</v>
      </c>
      <c r="N90" s="784"/>
      <c r="O90" s="569">
        <f>SUM(I90:N90)</f>
        <v>537920</v>
      </c>
      <c r="P90" s="565"/>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6"/>
      <c r="CA90" s="326"/>
      <c r="CB90" s="326"/>
      <c r="CC90" s="326"/>
      <c r="CD90" s="326"/>
      <c r="CE90" s="326"/>
      <c r="CF90" s="326"/>
      <c r="CG90" s="326"/>
      <c r="CH90" s="326"/>
      <c r="CI90" s="326"/>
      <c r="CJ90" s="326"/>
      <c r="CK90" s="326"/>
      <c r="CL90" s="326"/>
      <c r="CM90" s="326"/>
      <c r="CN90" s="326"/>
      <c r="CO90" s="326"/>
      <c r="CP90" s="326"/>
      <c r="CQ90" s="326"/>
      <c r="CR90" s="326"/>
      <c r="CS90" s="326"/>
      <c r="CT90" s="326"/>
      <c r="CU90" s="326"/>
      <c r="CV90" s="326"/>
      <c r="CW90" s="326"/>
      <c r="CX90" s="326"/>
      <c r="CY90" s="326"/>
      <c r="CZ90" s="326"/>
      <c r="DA90" s="326"/>
      <c r="DB90" s="326"/>
      <c r="DC90" s="326"/>
      <c r="DD90" s="326"/>
      <c r="DE90" s="326"/>
      <c r="DF90" s="326"/>
      <c r="DG90" s="326"/>
      <c r="DH90" s="326"/>
      <c r="DI90" s="326"/>
      <c r="DJ90" s="326"/>
      <c r="DK90" s="326"/>
      <c r="DL90" s="326"/>
      <c r="DM90" s="326"/>
      <c r="DN90" s="326"/>
      <c r="DO90" s="326"/>
      <c r="DP90" s="326"/>
      <c r="DQ90" s="326"/>
      <c r="DR90" s="326"/>
      <c r="DS90" s="326"/>
      <c r="DT90" s="326"/>
      <c r="DU90" s="326"/>
      <c r="DV90" s="326"/>
      <c r="DW90" s="326"/>
      <c r="DX90" s="326"/>
      <c r="DY90" s="326"/>
      <c r="DZ90" s="326"/>
      <c r="EA90" s="326"/>
      <c r="EB90" s="326"/>
      <c r="EC90" s="326"/>
      <c r="ED90" s="326"/>
      <c r="EE90" s="326"/>
      <c r="EF90" s="326"/>
      <c r="EG90" s="326"/>
      <c r="EH90" s="326"/>
      <c r="EI90" s="326"/>
      <c r="EJ90" s="326"/>
      <c r="EK90" s="326"/>
      <c r="EL90" s="326"/>
      <c r="EM90" s="326"/>
      <c r="EN90" s="326"/>
      <c r="EO90" s="326"/>
      <c r="EP90" s="326"/>
      <c r="EQ90" s="326"/>
      <c r="ER90" s="326"/>
      <c r="ES90" s="326"/>
      <c r="ET90" s="326"/>
      <c r="EU90" s="326"/>
      <c r="EV90" s="326"/>
      <c r="EW90" s="326"/>
      <c r="EX90" s="326"/>
      <c r="EY90" s="326"/>
      <c r="EZ90" s="326"/>
      <c r="FA90" s="326"/>
      <c r="FB90" s="326"/>
      <c r="FC90" s="326"/>
      <c r="FD90" s="326"/>
      <c r="FE90" s="326"/>
      <c r="FF90" s="326"/>
      <c r="FG90" s="326"/>
      <c r="FH90" s="326"/>
      <c r="FI90" s="326"/>
      <c r="FJ90" s="326"/>
      <c r="FK90" s="326"/>
      <c r="FL90" s="326"/>
      <c r="FM90" s="326"/>
      <c r="FN90" s="326"/>
      <c r="FO90" s="326"/>
      <c r="FP90" s="326"/>
      <c r="FQ90" s="326"/>
      <c r="FR90" s="326"/>
      <c r="FS90" s="326"/>
      <c r="FT90" s="326"/>
      <c r="FU90" s="326"/>
      <c r="FV90" s="326"/>
      <c r="FW90" s="326"/>
      <c r="FX90" s="326"/>
      <c r="FY90" s="326"/>
      <c r="FZ90" s="326"/>
      <c r="GA90" s="326"/>
      <c r="GB90" s="326"/>
      <c r="GC90" s="326"/>
      <c r="GD90" s="326"/>
      <c r="GE90" s="326"/>
      <c r="GF90" s="326"/>
      <c r="GG90" s="326"/>
      <c r="GH90" s="326"/>
      <c r="GI90" s="326"/>
      <c r="GJ90" s="326"/>
      <c r="GK90" s="326"/>
      <c r="GL90" s="326"/>
      <c r="GM90" s="326"/>
      <c r="GN90" s="326"/>
      <c r="GO90" s="326"/>
      <c r="GP90" s="326"/>
      <c r="GQ90" s="326"/>
      <c r="GR90" s="326"/>
      <c r="GS90" s="326"/>
      <c r="GT90" s="326"/>
      <c r="GU90" s="326"/>
      <c r="GV90" s="326"/>
      <c r="GW90" s="326"/>
      <c r="GX90" s="326"/>
      <c r="GY90" s="326"/>
      <c r="GZ90" s="326"/>
      <c r="HA90" s="326"/>
      <c r="HB90" s="326"/>
      <c r="HC90" s="326"/>
      <c r="HD90" s="326"/>
      <c r="HE90" s="326"/>
      <c r="HF90" s="326"/>
      <c r="HG90" s="326"/>
      <c r="HH90" s="326"/>
      <c r="HI90" s="326"/>
      <c r="HJ90" s="326"/>
      <c r="HK90" s="326"/>
      <c r="HL90" s="326"/>
      <c r="HM90" s="326"/>
      <c r="HN90" s="326"/>
      <c r="HO90" s="326"/>
      <c r="HP90" s="326"/>
      <c r="HQ90" s="326"/>
      <c r="HR90" s="326"/>
      <c r="HS90" s="326"/>
      <c r="HT90" s="326"/>
      <c r="HU90" s="326"/>
      <c r="HV90" s="326"/>
      <c r="HW90" s="326"/>
      <c r="HX90" s="326"/>
      <c r="HY90" s="326"/>
      <c r="HZ90" s="326"/>
      <c r="IA90" s="326"/>
      <c r="IB90" s="326"/>
      <c r="IC90" s="326"/>
      <c r="ID90" s="326"/>
      <c r="IE90" s="326"/>
      <c r="IF90" s="326"/>
      <c r="IG90" s="326"/>
      <c r="IH90" s="326"/>
      <c r="II90" s="326"/>
      <c r="IJ90" s="326"/>
      <c r="IK90" s="326"/>
      <c r="IL90" s="326"/>
      <c r="IM90" s="326"/>
      <c r="IN90" s="326"/>
      <c r="IO90" s="326"/>
      <c r="IP90" s="326"/>
      <c r="IQ90" s="326"/>
      <c r="IR90" s="326"/>
      <c r="IS90" s="326"/>
      <c r="IT90" s="326"/>
      <c r="IU90" s="326"/>
      <c r="IV90" s="326"/>
    </row>
    <row r="91" spans="1:16" ht="36.75" customHeight="1">
      <c r="A91" s="574">
        <v>82</v>
      </c>
      <c r="B91" s="466"/>
      <c r="C91" s="327">
        <v>17</v>
      </c>
      <c r="D91" s="329" t="s">
        <v>510</v>
      </c>
      <c r="E91" s="335"/>
      <c r="F91" s="564"/>
      <c r="G91" s="336"/>
      <c r="H91" s="773" t="s">
        <v>23</v>
      </c>
      <c r="I91" s="771"/>
      <c r="J91" s="764"/>
      <c r="K91" s="764"/>
      <c r="L91" s="764"/>
      <c r="M91" s="764"/>
      <c r="N91" s="784"/>
      <c r="O91" s="758"/>
      <c r="P91" s="565"/>
    </row>
    <row r="92" spans="1:256" s="560" customFormat="1" ht="18" customHeight="1">
      <c r="A92" s="574">
        <v>83</v>
      </c>
      <c r="B92" s="568"/>
      <c r="C92" s="327"/>
      <c r="D92" s="1324" t="s">
        <v>283</v>
      </c>
      <c r="E92" s="335">
        <f>F92+G92+O95+P92+75640+49690</f>
        <v>184000</v>
      </c>
      <c r="F92" s="564">
        <f>9200+10675</f>
        <v>19875</v>
      </c>
      <c r="G92" s="336">
        <v>19540</v>
      </c>
      <c r="H92" s="773"/>
      <c r="I92" s="771"/>
      <c r="J92" s="764"/>
      <c r="K92" s="764">
        <v>19255</v>
      </c>
      <c r="L92" s="764"/>
      <c r="M92" s="764"/>
      <c r="N92" s="784"/>
      <c r="O92" s="758">
        <f>SUM(I92:N92)</f>
        <v>19255</v>
      </c>
      <c r="P92" s="565"/>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326"/>
      <c r="CW92" s="326"/>
      <c r="CX92" s="326"/>
      <c r="CY92" s="326"/>
      <c r="CZ92" s="326"/>
      <c r="DA92" s="326"/>
      <c r="DB92" s="326"/>
      <c r="DC92" s="326"/>
      <c r="DD92" s="326"/>
      <c r="DE92" s="326"/>
      <c r="DF92" s="326"/>
      <c r="DG92" s="326"/>
      <c r="DH92" s="326"/>
      <c r="DI92" s="326"/>
      <c r="DJ92" s="326"/>
      <c r="DK92" s="326"/>
      <c r="DL92" s="326"/>
      <c r="DM92" s="326"/>
      <c r="DN92" s="326"/>
      <c r="DO92" s="326"/>
      <c r="DP92" s="326"/>
      <c r="DQ92" s="326"/>
      <c r="DR92" s="326"/>
      <c r="DS92" s="326"/>
      <c r="DT92" s="326"/>
      <c r="DU92" s="326"/>
      <c r="DV92" s="326"/>
      <c r="DW92" s="326"/>
      <c r="DX92" s="326"/>
      <c r="DY92" s="326"/>
      <c r="DZ92" s="326"/>
      <c r="EA92" s="326"/>
      <c r="EB92" s="326"/>
      <c r="EC92" s="326"/>
      <c r="ED92" s="326"/>
      <c r="EE92" s="326"/>
      <c r="EF92" s="326"/>
      <c r="EG92" s="326"/>
      <c r="EH92" s="326"/>
      <c r="EI92" s="326"/>
      <c r="EJ92" s="326"/>
      <c r="EK92" s="326"/>
      <c r="EL92" s="326"/>
      <c r="EM92" s="326"/>
      <c r="EN92" s="326"/>
      <c r="EO92" s="326"/>
      <c r="EP92" s="326"/>
      <c r="EQ92" s="326"/>
      <c r="ER92" s="326"/>
      <c r="ES92" s="326"/>
      <c r="ET92" s="326"/>
      <c r="EU92" s="326"/>
      <c r="EV92" s="326"/>
      <c r="EW92" s="326"/>
      <c r="EX92" s="326"/>
      <c r="EY92" s="326"/>
      <c r="EZ92" s="326"/>
      <c r="FA92" s="326"/>
      <c r="FB92" s="326"/>
      <c r="FC92" s="326"/>
      <c r="FD92" s="326"/>
      <c r="FE92" s="326"/>
      <c r="FF92" s="326"/>
      <c r="FG92" s="326"/>
      <c r="FH92" s="326"/>
      <c r="FI92" s="326"/>
      <c r="FJ92" s="326"/>
      <c r="FK92" s="326"/>
      <c r="FL92" s="326"/>
      <c r="FM92" s="326"/>
      <c r="FN92" s="326"/>
      <c r="FO92" s="326"/>
      <c r="FP92" s="326"/>
      <c r="FQ92" s="326"/>
      <c r="FR92" s="326"/>
      <c r="FS92" s="326"/>
      <c r="FT92" s="326"/>
      <c r="FU92" s="326"/>
      <c r="FV92" s="326"/>
      <c r="FW92" s="326"/>
      <c r="FX92" s="326"/>
      <c r="FY92" s="326"/>
      <c r="FZ92" s="326"/>
      <c r="GA92" s="326"/>
      <c r="GB92" s="326"/>
      <c r="GC92" s="326"/>
      <c r="GD92" s="326"/>
      <c r="GE92" s="326"/>
      <c r="GF92" s="326"/>
      <c r="GG92" s="326"/>
      <c r="GH92" s="326"/>
      <c r="GI92" s="326"/>
      <c r="GJ92" s="326"/>
      <c r="GK92" s="326"/>
      <c r="GL92" s="326"/>
      <c r="GM92" s="326"/>
      <c r="GN92" s="326"/>
      <c r="GO92" s="326"/>
      <c r="GP92" s="326"/>
      <c r="GQ92" s="326"/>
      <c r="GR92" s="326"/>
      <c r="GS92" s="326"/>
      <c r="GT92" s="326"/>
      <c r="GU92" s="326"/>
      <c r="GV92" s="326"/>
      <c r="GW92" s="326"/>
      <c r="GX92" s="326"/>
      <c r="GY92" s="326"/>
      <c r="GZ92" s="326"/>
      <c r="HA92" s="326"/>
      <c r="HB92" s="326"/>
      <c r="HC92" s="326"/>
      <c r="HD92" s="326"/>
      <c r="HE92" s="326"/>
      <c r="HF92" s="326"/>
      <c r="HG92" s="326"/>
      <c r="HH92" s="326"/>
      <c r="HI92" s="326"/>
      <c r="HJ92" s="326"/>
      <c r="HK92" s="326"/>
      <c r="HL92" s="326"/>
      <c r="HM92" s="326"/>
      <c r="HN92" s="326"/>
      <c r="HO92" s="326"/>
      <c r="HP92" s="326"/>
      <c r="HQ92" s="326"/>
      <c r="HR92" s="326"/>
      <c r="HS92" s="326"/>
      <c r="HT92" s="326"/>
      <c r="HU92" s="326"/>
      <c r="HV92" s="326"/>
      <c r="HW92" s="326"/>
      <c r="HX92" s="326"/>
      <c r="HY92" s="326"/>
      <c r="HZ92" s="326"/>
      <c r="IA92" s="326"/>
      <c r="IB92" s="326"/>
      <c r="IC92" s="326"/>
      <c r="ID92" s="326"/>
      <c r="IE92" s="326"/>
      <c r="IF92" s="326"/>
      <c r="IG92" s="326"/>
      <c r="IH92" s="326"/>
      <c r="II92" s="326"/>
      <c r="IJ92" s="326"/>
      <c r="IK92" s="326"/>
      <c r="IL92" s="326"/>
      <c r="IM92" s="326"/>
      <c r="IN92" s="326"/>
      <c r="IO92" s="326"/>
      <c r="IP92" s="326"/>
      <c r="IQ92" s="326"/>
      <c r="IR92" s="326"/>
      <c r="IS92" s="326"/>
      <c r="IT92" s="326"/>
      <c r="IU92" s="326"/>
      <c r="IV92" s="326"/>
    </row>
    <row r="93" spans="1:256" s="560" customFormat="1" ht="18" customHeight="1">
      <c r="A93" s="574">
        <v>84</v>
      </c>
      <c r="B93" s="568"/>
      <c r="C93" s="327"/>
      <c r="D93" s="483" t="s">
        <v>938</v>
      </c>
      <c r="E93" s="335"/>
      <c r="F93" s="564"/>
      <c r="G93" s="336"/>
      <c r="H93" s="773"/>
      <c r="I93" s="771"/>
      <c r="J93" s="764"/>
      <c r="K93" s="1309">
        <v>19255</v>
      </c>
      <c r="L93" s="764"/>
      <c r="M93" s="764"/>
      <c r="N93" s="784"/>
      <c r="O93" s="569">
        <f>SUM(I93:N93)</f>
        <v>19255</v>
      </c>
      <c r="P93" s="565"/>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c r="BM93" s="326"/>
      <c r="BN93" s="326"/>
      <c r="BO93" s="326"/>
      <c r="BP93" s="326"/>
      <c r="BQ93" s="326"/>
      <c r="BR93" s="326"/>
      <c r="BS93" s="326"/>
      <c r="BT93" s="326"/>
      <c r="BU93" s="326"/>
      <c r="BV93" s="326"/>
      <c r="BW93" s="326"/>
      <c r="BX93" s="326"/>
      <c r="BY93" s="326"/>
      <c r="BZ93" s="326"/>
      <c r="CA93" s="326"/>
      <c r="CB93" s="326"/>
      <c r="CC93" s="326"/>
      <c r="CD93" s="326"/>
      <c r="CE93" s="326"/>
      <c r="CF93" s="326"/>
      <c r="CG93" s="326"/>
      <c r="CH93" s="326"/>
      <c r="CI93" s="326"/>
      <c r="CJ93" s="326"/>
      <c r="CK93" s="326"/>
      <c r="CL93" s="326"/>
      <c r="CM93" s="326"/>
      <c r="CN93" s="326"/>
      <c r="CO93" s="326"/>
      <c r="CP93" s="326"/>
      <c r="CQ93" s="326"/>
      <c r="CR93" s="326"/>
      <c r="CS93" s="326"/>
      <c r="CT93" s="326"/>
      <c r="CU93" s="326"/>
      <c r="CV93" s="326"/>
      <c r="CW93" s="326"/>
      <c r="CX93" s="326"/>
      <c r="CY93" s="326"/>
      <c r="CZ93" s="326"/>
      <c r="DA93" s="326"/>
      <c r="DB93" s="326"/>
      <c r="DC93" s="326"/>
      <c r="DD93" s="326"/>
      <c r="DE93" s="326"/>
      <c r="DF93" s="326"/>
      <c r="DG93" s="326"/>
      <c r="DH93" s="326"/>
      <c r="DI93" s="326"/>
      <c r="DJ93" s="326"/>
      <c r="DK93" s="326"/>
      <c r="DL93" s="326"/>
      <c r="DM93" s="326"/>
      <c r="DN93" s="326"/>
      <c r="DO93" s="326"/>
      <c r="DP93" s="326"/>
      <c r="DQ93" s="326"/>
      <c r="DR93" s="326"/>
      <c r="DS93" s="326"/>
      <c r="DT93" s="326"/>
      <c r="DU93" s="326"/>
      <c r="DV93" s="326"/>
      <c r="DW93" s="326"/>
      <c r="DX93" s="326"/>
      <c r="DY93" s="326"/>
      <c r="DZ93" s="326"/>
      <c r="EA93" s="326"/>
      <c r="EB93" s="326"/>
      <c r="EC93" s="326"/>
      <c r="ED93" s="326"/>
      <c r="EE93" s="326"/>
      <c r="EF93" s="326"/>
      <c r="EG93" s="326"/>
      <c r="EH93" s="326"/>
      <c r="EI93" s="326"/>
      <c r="EJ93" s="326"/>
      <c r="EK93" s="326"/>
      <c r="EL93" s="326"/>
      <c r="EM93" s="326"/>
      <c r="EN93" s="326"/>
      <c r="EO93" s="326"/>
      <c r="EP93" s="326"/>
      <c r="EQ93" s="326"/>
      <c r="ER93" s="326"/>
      <c r="ES93" s="326"/>
      <c r="ET93" s="326"/>
      <c r="EU93" s="326"/>
      <c r="EV93" s="326"/>
      <c r="EW93" s="326"/>
      <c r="EX93" s="326"/>
      <c r="EY93" s="326"/>
      <c r="EZ93" s="326"/>
      <c r="FA93" s="326"/>
      <c r="FB93" s="326"/>
      <c r="FC93" s="326"/>
      <c r="FD93" s="326"/>
      <c r="FE93" s="326"/>
      <c r="FF93" s="326"/>
      <c r="FG93" s="326"/>
      <c r="FH93" s="326"/>
      <c r="FI93" s="326"/>
      <c r="FJ93" s="326"/>
      <c r="FK93" s="326"/>
      <c r="FL93" s="326"/>
      <c r="FM93" s="326"/>
      <c r="FN93" s="326"/>
      <c r="FO93" s="326"/>
      <c r="FP93" s="326"/>
      <c r="FQ93" s="326"/>
      <c r="FR93" s="326"/>
      <c r="FS93" s="326"/>
      <c r="FT93" s="326"/>
      <c r="FU93" s="326"/>
      <c r="FV93" s="326"/>
      <c r="FW93" s="326"/>
      <c r="FX93" s="326"/>
      <c r="FY93" s="326"/>
      <c r="FZ93" s="326"/>
      <c r="GA93" s="326"/>
      <c r="GB93" s="326"/>
      <c r="GC93" s="326"/>
      <c r="GD93" s="326"/>
      <c r="GE93" s="326"/>
      <c r="GF93" s="326"/>
      <c r="GG93" s="326"/>
      <c r="GH93" s="326"/>
      <c r="GI93" s="326"/>
      <c r="GJ93" s="326"/>
      <c r="GK93" s="326"/>
      <c r="GL93" s="326"/>
      <c r="GM93" s="326"/>
      <c r="GN93" s="326"/>
      <c r="GO93" s="326"/>
      <c r="GP93" s="326"/>
      <c r="GQ93" s="326"/>
      <c r="GR93" s="326"/>
      <c r="GS93" s="326"/>
      <c r="GT93" s="326"/>
      <c r="GU93" s="326"/>
      <c r="GV93" s="326"/>
      <c r="GW93" s="326"/>
      <c r="GX93" s="326"/>
      <c r="GY93" s="326"/>
      <c r="GZ93" s="326"/>
      <c r="HA93" s="326"/>
      <c r="HB93" s="326"/>
      <c r="HC93" s="326"/>
      <c r="HD93" s="326"/>
      <c r="HE93" s="326"/>
      <c r="HF93" s="326"/>
      <c r="HG93" s="326"/>
      <c r="HH93" s="326"/>
      <c r="HI93" s="326"/>
      <c r="HJ93" s="326"/>
      <c r="HK93" s="326"/>
      <c r="HL93" s="326"/>
      <c r="HM93" s="326"/>
      <c r="HN93" s="326"/>
      <c r="HO93" s="326"/>
      <c r="HP93" s="326"/>
      <c r="HQ93" s="326"/>
      <c r="HR93" s="326"/>
      <c r="HS93" s="326"/>
      <c r="HT93" s="326"/>
      <c r="HU93" s="326"/>
      <c r="HV93" s="326"/>
      <c r="HW93" s="326"/>
      <c r="HX93" s="326"/>
      <c r="HY93" s="326"/>
      <c r="HZ93" s="326"/>
      <c r="IA93" s="326"/>
      <c r="IB93" s="326"/>
      <c r="IC93" s="326"/>
      <c r="ID93" s="326"/>
      <c r="IE93" s="326"/>
      <c r="IF93" s="326"/>
      <c r="IG93" s="326"/>
      <c r="IH93" s="326"/>
      <c r="II93" s="326"/>
      <c r="IJ93" s="326"/>
      <c r="IK93" s="326"/>
      <c r="IL93" s="326"/>
      <c r="IM93" s="326"/>
      <c r="IN93" s="326"/>
      <c r="IO93" s="326"/>
      <c r="IP93" s="326"/>
      <c r="IQ93" s="326"/>
      <c r="IR93" s="326"/>
      <c r="IS93" s="326"/>
      <c r="IT93" s="326"/>
      <c r="IU93" s="326"/>
      <c r="IV93" s="326"/>
    </row>
    <row r="94" spans="1:256" s="560" customFormat="1" ht="18" customHeight="1">
      <c r="A94" s="574">
        <v>85</v>
      </c>
      <c r="B94" s="568"/>
      <c r="C94" s="327"/>
      <c r="D94" s="1146" t="s">
        <v>674</v>
      </c>
      <c r="E94" s="335"/>
      <c r="F94" s="564"/>
      <c r="G94" s="336"/>
      <c r="H94" s="773"/>
      <c r="I94" s="771"/>
      <c r="J94" s="764"/>
      <c r="K94" s="764"/>
      <c r="L94" s="764"/>
      <c r="M94" s="764"/>
      <c r="N94" s="784"/>
      <c r="O94" s="1307">
        <f>SUM(I94:N94)</f>
        <v>0</v>
      </c>
      <c r="P94" s="565"/>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326"/>
      <c r="CW94" s="326"/>
      <c r="CX94" s="326"/>
      <c r="CY94" s="326"/>
      <c r="CZ94" s="326"/>
      <c r="DA94" s="326"/>
      <c r="DB94" s="326"/>
      <c r="DC94" s="326"/>
      <c r="DD94" s="326"/>
      <c r="DE94" s="326"/>
      <c r="DF94" s="326"/>
      <c r="DG94" s="326"/>
      <c r="DH94" s="326"/>
      <c r="DI94" s="326"/>
      <c r="DJ94" s="326"/>
      <c r="DK94" s="326"/>
      <c r="DL94" s="326"/>
      <c r="DM94" s="326"/>
      <c r="DN94" s="326"/>
      <c r="DO94" s="326"/>
      <c r="DP94" s="326"/>
      <c r="DQ94" s="326"/>
      <c r="DR94" s="326"/>
      <c r="DS94" s="326"/>
      <c r="DT94" s="326"/>
      <c r="DU94" s="326"/>
      <c r="DV94" s="326"/>
      <c r="DW94" s="326"/>
      <c r="DX94" s="326"/>
      <c r="DY94" s="326"/>
      <c r="DZ94" s="326"/>
      <c r="EA94" s="326"/>
      <c r="EB94" s="326"/>
      <c r="EC94" s="326"/>
      <c r="ED94" s="326"/>
      <c r="EE94" s="326"/>
      <c r="EF94" s="326"/>
      <c r="EG94" s="326"/>
      <c r="EH94" s="326"/>
      <c r="EI94" s="326"/>
      <c r="EJ94" s="326"/>
      <c r="EK94" s="326"/>
      <c r="EL94" s="326"/>
      <c r="EM94" s="326"/>
      <c r="EN94" s="326"/>
      <c r="EO94" s="326"/>
      <c r="EP94" s="326"/>
      <c r="EQ94" s="326"/>
      <c r="ER94" s="326"/>
      <c r="ES94" s="326"/>
      <c r="ET94" s="326"/>
      <c r="EU94" s="326"/>
      <c r="EV94" s="326"/>
      <c r="EW94" s="326"/>
      <c r="EX94" s="326"/>
      <c r="EY94" s="326"/>
      <c r="EZ94" s="326"/>
      <c r="FA94" s="326"/>
      <c r="FB94" s="326"/>
      <c r="FC94" s="326"/>
      <c r="FD94" s="326"/>
      <c r="FE94" s="326"/>
      <c r="FF94" s="326"/>
      <c r="FG94" s="326"/>
      <c r="FH94" s="326"/>
      <c r="FI94" s="326"/>
      <c r="FJ94" s="326"/>
      <c r="FK94" s="326"/>
      <c r="FL94" s="326"/>
      <c r="FM94" s="326"/>
      <c r="FN94" s="326"/>
      <c r="FO94" s="326"/>
      <c r="FP94" s="326"/>
      <c r="FQ94" s="326"/>
      <c r="FR94" s="326"/>
      <c r="FS94" s="326"/>
      <c r="FT94" s="326"/>
      <c r="FU94" s="326"/>
      <c r="FV94" s="326"/>
      <c r="FW94" s="326"/>
      <c r="FX94" s="326"/>
      <c r="FY94" s="326"/>
      <c r="FZ94" s="326"/>
      <c r="GA94" s="326"/>
      <c r="GB94" s="326"/>
      <c r="GC94" s="326"/>
      <c r="GD94" s="326"/>
      <c r="GE94" s="326"/>
      <c r="GF94" s="326"/>
      <c r="GG94" s="326"/>
      <c r="GH94" s="326"/>
      <c r="GI94" s="326"/>
      <c r="GJ94" s="326"/>
      <c r="GK94" s="326"/>
      <c r="GL94" s="326"/>
      <c r="GM94" s="326"/>
      <c r="GN94" s="326"/>
      <c r="GO94" s="326"/>
      <c r="GP94" s="326"/>
      <c r="GQ94" s="326"/>
      <c r="GR94" s="326"/>
      <c r="GS94" s="326"/>
      <c r="GT94" s="326"/>
      <c r="GU94" s="326"/>
      <c r="GV94" s="326"/>
      <c r="GW94" s="326"/>
      <c r="GX94" s="326"/>
      <c r="GY94" s="326"/>
      <c r="GZ94" s="326"/>
      <c r="HA94" s="326"/>
      <c r="HB94" s="326"/>
      <c r="HC94" s="326"/>
      <c r="HD94" s="326"/>
      <c r="HE94" s="326"/>
      <c r="HF94" s="326"/>
      <c r="HG94" s="326"/>
      <c r="HH94" s="326"/>
      <c r="HI94" s="326"/>
      <c r="HJ94" s="326"/>
      <c r="HK94" s="326"/>
      <c r="HL94" s="326"/>
      <c r="HM94" s="326"/>
      <c r="HN94" s="326"/>
      <c r="HO94" s="326"/>
      <c r="HP94" s="326"/>
      <c r="HQ94" s="326"/>
      <c r="HR94" s="326"/>
      <c r="HS94" s="326"/>
      <c r="HT94" s="326"/>
      <c r="HU94" s="326"/>
      <c r="HV94" s="326"/>
      <c r="HW94" s="326"/>
      <c r="HX94" s="326"/>
      <c r="HY94" s="326"/>
      <c r="HZ94" s="326"/>
      <c r="IA94" s="326"/>
      <c r="IB94" s="326"/>
      <c r="IC94" s="326"/>
      <c r="ID94" s="326"/>
      <c r="IE94" s="326"/>
      <c r="IF94" s="326"/>
      <c r="IG94" s="326"/>
      <c r="IH94" s="326"/>
      <c r="II94" s="326"/>
      <c r="IJ94" s="326"/>
      <c r="IK94" s="326"/>
      <c r="IL94" s="326"/>
      <c r="IM94" s="326"/>
      <c r="IN94" s="326"/>
      <c r="IO94" s="326"/>
      <c r="IP94" s="326"/>
      <c r="IQ94" s="326"/>
      <c r="IR94" s="326"/>
      <c r="IS94" s="326"/>
      <c r="IT94" s="326"/>
      <c r="IU94" s="326"/>
      <c r="IV94" s="326"/>
    </row>
    <row r="95" spans="1:256" s="560" customFormat="1" ht="18" customHeight="1">
      <c r="A95" s="574">
        <v>86</v>
      </c>
      <c r="B95" s="568"/>
      <c r="C95" s="327"/>
      <c r="D95" s="483" t="s">
        <v>1091</v>
      </c>
      <c r="E95" s="335"/>
      <c r="F95" s="564"/>
      <c r="G95" s="336"/>
      <c r="H95" s="773"/>
      <c r="I95" s="771"/>
      <c r="J95" s="764"/>
      <c r="K95" s="1309">
        <f>SUM(K93:K94)</f>
        <v>19255</v>
      </c>
      <c r="L95" s="764"/>
      <c r="M95" s="764"/>
      <c r="N95" s="784"/>
      <c r="O95" s="569">
        <f>SUM(I95:N95)</f>
        <v>19255</v>
      </c>
      <c r="P95" s="565"/>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c r="BM95" s="326"/>
      <c r="BN95" s="326"/>
      <c r="BO95" s="326"/>
      <c r="BP95" s="326"/>
      <c r="BQ95" s="326"/>
      <c r="BR95" s="326"/>
      <c r="BS95" s="326"/>
      <c r="BT95" s="326"/>
      <c r="BU95" s="326"/>
      <c r="BV95" s="326"/>
      <c r="BW95" s="326"/>
      <c r="BX95" s="326"/>
      <c r="BY95" s="326"/>
      <c r="BZ95" s="326"/>
      <c r="CA95" s="326"/>
      <c r="CB95" s="326"/>
      <c r="CC95" s="326"/>
      <c r="CD95" s="326"/>
      <c r="CE95" s="326"/>
      <c r="CF95" s="326"/>
      <c r="CG95" s="326"/>
      <c r="CH95" s="326"/>
      <c r="CI95" s="326"/>
      <c r="CJ95" s="326"/>
      <c r="CK95" s="326"/>
      <c r="CL95" s="326"/>
      <c r="CM95" s="326"/>
      <c r="CN95" s="326"/>
      <c r="CO95" s="326"/>
      <c r="CP95" s="326"/>
      <c r="CQ95" s="326"/>
      <c r="CR95" s="326"/>
      <c r="CS95" s="326"/>
      <c r="CT95" s="326"/>
      <c r="CU95" s="326"/>
      <c r="CV95" s="326"/>
      <c r="CW95" s="326"/>
      <c r="CX95" s="326"/>
      <c r="CY95" s="326"/>
      <c r="CZ95" s="326"/>
      <c r="DA95" s="326"/>
      <c r="DB95" s="326"/>
      <c r="DC95" s="326"/>
      <c r="DD95" s="326"/>
      <c r="DE95" s="326"/>
      <c r="DF95" s="326"/>
      <c r="DG95" s="326"/>
      <c r="DH95" s="326"/>
      <c r="DI95" s="326"/>
      <c r="DJ95" s="326"/>
      <c r="DK95" s="326"/>
      <c r="DL95" s="326"/>
      <c r="DM95" s="326"/>
      <c r="DN95" s="326"/>
      <c r="DO95" s="326"/>
      <c r="DP95" s="326"/>
      <c r="DQ95" s="326"/>
      <c r="DR95" s="326"/>
      <c r="DS95" s="326"/>
      <c r="DT95" s="326"/>
      <c r="DU95" s="326"/>
      <c r="DV95" s="326"/>
      <c r="DW95" s="326"/>
      <c r="DX95" s="326"/>
      <c r="DY95" s="326"/>
      <c r="DZ95" s="326"/>
      <c r="EA95" s="326"/>
      <c r="EB95" s="326"/>
      <c r="EC95" s="326"/>
      <c r="ED95" s="326"/>
      <c r="EE95" s="326"/>
      <c r="EF95" s="326"/>
      <c r="EG95" s="326"/>
      <c r="EH95" s="326"/>
      <c r="EI95" s="326"/>
      <c r="EJ95" s="326"/>
      <c r="EK95" s="326"/>
      <c r="EL95" s="326"/>
      <c r="EM95" s="326"/>
      <c r="EN95" s="326"/>
      <c r="EO95" s="326"/>
      <c r="EP95" s="326"/>
      <c r="EQ95" s="326"/>
      <c r="ER95" s="326"/>
      <c r="ES95" s="326"/>
      <c r="ET95" s="326"/>
      <c r="EU95" s="326"/>
      <c r="EV95" s="326"/>
      <c r="EW95" s="326"/>
      <c r="EX95" s="326"/>
      <c r="EY95" s="326"/>
      <c r="EZ95" s="326"/>
      <c r="FA95" s="326"/>
      <c r="FB95" s="326"/>
      <c r="FC95" s="326"/>
      <c r="FD95" s="326"/>
      <c r="FE95" s="326"/>
      <c r="FF95" s="326"/>
      <c r="FG95" s="326"/>
      <c r="FH95" s="326"/>
      <c r="FI95" s="326"/>
      <c r="FJ95" s="326"/>
      <c r="FK95" s="326"/>
      <c r="FL95" s="326"/>
      <c r="FM95" s="326"/>
      <c r="FN95" s="326"/>
      <c r="FO95" s="326"/>
      <c r="FP95" s="326"/>
      <c r="FQ95" s="326"/>
      <c r="FR95" s="326"/>
      <c r="FS95" s="326"/>
      <c r="FT95" s="326"/>
      <c r="FU95" s="326"/>
      <c r="FV95" s="326"/>
      <c r="FW95" s="326"/>
      <c r="FX95" s="326"/>
      <c r="FY95" s="326"/>
      <c r="FZ95" s="326"/>
      <c r="GA95" s="326"/>
      <c r="GB95" s="326"/>
      <c r="GC95" s="326"/>
      <c r="GD95" s="326"/>
      <c r="GE95" s="326"/>
      <c r="GF95" s="326"/>
      <c r="GG95" s="326"/>
      <c r="GH95" s="326"/>
      <c r="GI95" s="326"/>
      <c r="GJ95" s="326"/>
      <c r="GK95" s="326"/>
      <c r="GL95" s="326"/>
      <c r="GM95" s="326"/>
      <c r="GN95" s="326"/>
      <c r="GO95" s="326"/>
      <c r="GP95" s="326"/>
      <c r="GQ95" s="326"/>
      <c r="GR95" s="326"/>
      <c r="GS95" s="326"/>
      <c r="GT95" s="326"/>
      <c r="GU95" s="326"/>
      <c r="GV95" s="326"/>
      <c r="GW95" s="326"/>
      <c r="GX95" s="326"/>
      <c r="GY95" s="326"/>
      <c r="GZ95" s="326"/>
      <c r="HA95" s="326"/>
      <c r="HB95" s="326"/>
      <c r="HC95" s="326"/>
      <c r="HD95" s="326"/>
      <c r="HE95" s="326"/>
      <c r="HF95" s="326"/>
      <c r="HG95" s="326"/>
      <c r="HH95" s="326"/>
      <c r="HI95" s="326"/>
      <c r="HJ95" s="326"/>
      <c r="HK95" s="326"/>
      <c r="HL95" s="326"/>
      <c r="HM95" s="326"/>
      <c r="HN95" s="326"/>
      <c r="HO95" s="326"/>
      <c r="HP95" s="326"/>
      <c r="HQ95" s="326"/>
      <c r="HR95" s="326"/>
      <c r="HS95" s="326"/>
      <c r="HT95" s="326"/>
      <c r="HU95" s="326"/>
      <c r="HV95" s="326"/>
      <c r="HW95" s="326"/>
      <c r="HX95" s="326"/>
      <c r="HY95" s="326"/>
      <c r="HZ95" s="326"/>
      <c r="IA95" s="326"/>
      <c r="IB95" s="326"/>
      <c r="IC95" s="326"/>
      <c r="ID95" s="326"/>
      <c r="IE95" s="326"/>
      <c r="IF95" s="326"/>
      <c r="IG95" s="326"/>
      <c r="IH95" s="326"/>
      <c r="II95" s="326"/>
      <c r="IJ95" s="326"/>
      <c r="IK95" s="326"/>
      <c r="IL95" s="326"/>
      <c r="IM95" s="326"/>
      <c r="IN95" s="326"/>
      <c r="IO95" s="326"/>
      <c r="IP95" s="326"/>
      <c r="IQ95" s="326"/>
      <c r="IR95" s="326"/>
      <c r="IS95" s="326"/>
      <c r="IT95" s="326"/>
      <c r="IU95" s="326"/>
      <c r="IV95" s="326"/>
    </row>
    <row r="96" spans="1:16" ht="36" customHeight="1">
      <c r="A96" s="574">
        <v>87</v>
      </c>
      <c r="B96" s="466"/>
      <c r="C96" s="327">
        <v>18</v>
      </c>
      <c r="D96" s="329" t="s">
        <v>374</v>
      </c>
      <c r="E96" s="335"/>
      <c r="F96" s="564"/>
      <c r="G96" s="336"/>
      <c r="H96" s="773" t="s">
        <v>23</v>
      </c>
      <c r="I96" s="771"/>
      <c r="J96" s="764"/>
      <c r="K96" s="764"/>
      <c r="L96" s="764"/>
      <c r="M96" s="764"/>
      <c r="N96" s="784"/>
      <c r="O96" s="758"/>
      <c r="P96" s="565"/>
    </row>
    <row r="97" spans="1:256" s="560" customFormat="1" ht="18" customHeight="1">
      <c r="A97" s="574">
        <v>88</v>
      </c>
      <c r="B97" s="568"/>
      <c r="C97" s="327"/>
      <c r="D97" s="1324" t="s">
        <v>283</v>
      </c>
      <c r="E97" s="335">
        <f>F97+G97+O100+P97</f>
        <v>51055</v>
      </c>
      <c r="F97" s="564">
        <f>1176+23808</f>
        <v>24984</v>
      </c>
      <c r="G97" s="336">
        <v>8922</v>
      </c>
      <c r="H97" s="773"/>
      <c r="I97" s="771"/>
      <c r="J97" s="764"/>
      <c r="K97" s="764"/>
      <c r="L97" s="764">
        <v>17149</v>
      </c>
      <c r="M97" s="764"/>
      <c r="N97" s="784"/>
      <c r="O97" s="758">
        <f>SUM(I97:N97)</f>
        <v>17149</v>
      </c>
      <c r="P97" s="565"/>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26"/>
      <c r="BU97" s="326"/>
      <c r="BV97" s="326"/>
      <c r="BW97" s="326"/>
      <c r="BX97" s="326"/>
      <c r="BY97" s="326"/>
      <c r="BZ97" s="326"/>
      <c r="CA97" s="326"/>
      <c r="CB97" s="326"/>
      <c r="CC97" s="326"/>
      <c r="CD97" s="326"/>
      <c r="CE97" s="326"/>
      <c r="CF97" s="326"/>
      <c r="CG97" s="326"/>
      <c r="CH97" s="326"/>
      <c r="CI97" s="326"/>
      <c r="CJ97" s="326"/>
      <c r="CK97" s="326"/>
      <c r="CL97" s="326"/>
      <c r="CM97" s="326"/>
      <c r="CN97" s="326"/>
      <c r="CO97" s="326"/>
      <c r="CP97" s="326"/>
      <c r="CQ97" s="326"/>
      <c r="CR97" s="326"/>
      <c r="CS97" s="326"/>
      <c r="CT97" s="326"/>
      <c r="CU97" s="326"/>
      <c r="CV97" s="326"/>
      <c r="CW97" s="326"/>
      <c r="CX97" s="326"/>
      <c r="CY97" s="326"/>
      <c r="CZ97" s="326"/>
      <c r="DA97" s="326"/>
      <c r="DB97" s="326"/>
      <c r="DC97" s="326"/>
      <c r="DD97" s="326"/>
      <c r="DE97" s="326"/>
      <c r="DF97" s="326"/>
      <c r="DG97" s="326"/>
      <c r="DH97" s="326"/>
      <c r="DI97" s="326"/>
      <c r="DJ97" s="326"/>
      <c r="DK97" s="326"/>
      <c r="DL97" s="326"/>
      <c r="DM97" s="326"/>
      <c r="DN97" s="326"/>
      <c r="DO97" s="326"/>
      <c r="DP97" s="326"/>
      <c r="DQ97" s="326"/>
      <c r="DR97" s="326"/>
      <c r="DS97" s="326"/>
      <c r="DT97" s="326"/>
      <c r="DU97" s="326"/>
      <c r="DV97" s="326"/>
      <c r="DW97" s="326"/>
      <c r="DX97" s="326"/>
      <c r="DY97" s="326"/>
      <c r="DZ97" s="326"/>
      <c r="EA97" s="326"/>
      <c r="EB97" s="326"/>
      <c r="EC97" s="326"/>
      <c r="ED97" s="326"/>
      <c r="EE97" s="326"/>
      <c r="EF97" s="326"/>
      <c r="EG97" s="326"/>
      <c r="EH97" s="326"/>
      <c r="EI97" s="326"/>
      <c r="EJ97" s="326"/>
      <c r="EK97" s="326"/>
      <c r="EL97" s="326"/>
      <c r="EM97" s="326"/>
      <c r="EN97" s="326"/>
      <c r="EO97" s="326"/>
      <c r="EP97" s="326"/>
      <c r="EQ97" s="326"/>
      <c r="ER97" s="326"/>
      <c r="ES97" s="326"/>
      <c r="ET97" s="326"/>
      <c r="EU97" s="326"/>
      <c r="EV97" s="326"/>
      <c r="EW97" s="326"/>
      <c r="EX97" s="326"/>
      <c r="EY97" s="326"/>
      <c r="EZ97" s="326"/>
      <c r="FA97" s="326"/>
      <c r="FB97" s="326"/>
      <c r="FC97" s="326"/>
      <c r="FD97" s="326"/>
      <c r="FE97" s="326"/>
      <c r="FF97" s="326"/>
      <c r="FG97" s="326"/>
      <c r="FH97" s="326"/>
      <c r="FI97" s="326"/>
      <c r="FJ97" s="326"/>
      <c r="FK97" s="326"/>
      <c r="FL97" s="326"/>
      <c r="FM97" s="326"/>
      <c r="FN97" s="326"/>
      <c r="FO97" s="326"/>
      <c r="FP97" s="326"/>
      <c r="FQ97" s="326"/>
      <c r="FR97" s="326"/>
      <c r="FS97" s="326"/>
      <c r="FT97" s="326"/>
      <c r="FU97" s="326"/>
      <c r="FV97" s="326"/>
      <c r="FW97" s="326"/>
      <c r="FX97" s="326"/>
      <c r="FY97" s="326"/>
      <c r="FZ97" s="326"/>
      <c r="GA97" s="326"/>
      <c r="GB97" s="326"/>
      <c r="GC97" s="326"/>
      <c r="GD97" s="326"/>
      <c r="GE97" s="326"/>
      <c r="GF97" s="326"/>
      <c r="GG97" s="326"/>
      <c r="GH97" s="326"/>
      <c r="GI97" s="326"/>
      <c r="GJ97" s="326"/>
      <c r="GK97" s="326"/>
      <c r="GL97" s="326"/>
      <c r="GM97" s="326"/>
      <c r="GN97" s="326"/>
      <c r="GO97" s="326"/>
      <c r="GP97" s="326"/>
      <c r="GQ97" s="326"/>
      <c r="GR97" s="326"/>
      <c r="GS97" s="326"/>
      <c r="GT97" s="326"/>
      <c r="GU97" s="326"/>
      <c r="GV97" s="326"/>
      <c r="GW97" s="326"/>
      <c r="GX97" s="326"/>
      <c r="GY97" s="326"/>
      <c r="GZ97" s="326"/>
      <c r="HA97" s="326"/>
      <c r="HB97" s="326"/>
      <c r="HC97" s="326"/>
      <c r="HD97" s="326"/>
      <c r="HE97" s="326"/>
      <c r="HF97" s="326"/>
      <c r="HG97" s="326"/>
      <c r="HH97" s="326"/>
      <c r="HI97" s="326"/>
      <c r="HJ97" s="326"/>
      <c r="HK97" s="326"/>
      <c r="HL97" s="326"/>
      <c r="HM97" s="326"/>
      <c r="HN97" s="326"/>
      <c r="HO97" s="326"/>
      <c r="HP97" s="326"/>
      <c r="HQ97" s="326"/>
      <c r="HR97" s="326"/>
      <c r="HS97" s="326"/>
      <c r="HT97" s="326"/>
      <c r="HU97" s="326"/>
      <c r="HV97" s="326"/>
      <c r="HW97" s="326"/>
      <c r="HX97" s="326"/>
      <c r="HY97" s="326"/>
      <c r="HZ97" s="326"/>
      <c r="IA97" s="326"/>
      <c r="IB97" s="326"/>
      <c r="IC97" s="326"/>
      <c r="ID97" s="326"/>
      <c r="IE97" s="326"/>
      <c r="IF97" s="326"/>
      <c r="IG97" s="326"/>
      <c r="IH97" s="326"/>
      <c r="II97" s="326"/>
      <c r="IJ97" s="326"/>
      <c r="IK97" s="326"/>
      <c r="IL97" s="326"/>
      <c r="IM97" s="326"/>
      <c r="IN97" s="326"/>
      <c r="IO97" s="326"/>
      <c r="IP97" s="326"/>
      <c r="IQ97" s="326"/>
      <c r="IR97" s="326"/>
      <c r="IS97" s="326"/>
      <c r="IT97" s="326"/>
      <c r="IU97" s="326"/>
      <c r="IV97" s="326"/>
    </row>
    <row r="98" spans="1:256" s="560" customFormat="1" ht="18" customHeight="1">
      <c r="A98" s="574">
        <v>89</v>
      </c>
      <c r="B98" s="568"/>
      <c r="C98" s="327"/>
      <c r="D98" s="483" t="s">
        <v>938</v>
      </c>
      <c r="E98" s="335"/>
      <c r="F98" s="564"/>
      <c r="G98" s="336"/>
      <c r="H98" s="773"/>
      <c r="I98" s="771"/>
      <c r="J98" s="764"/>
      <c r="K98" s="764"/>
      <c r="L98" s="1309">
        <v>17149</v>
      </c>
      <c r="M98" s="1309"/>
      <c r="N98" s="561"/>
      <c r="O98" s="569">
        <f>SUM(I98:N98)</f>
        <v>17149</v>
      </c>
      <c r="P98" s="565"/>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26"/>
      <c r="BU98" s="326"/>
      <c r="BV98" s="326"/>
      <c r="BW98" s="326"/>
      <c r="BX98" s="326"/>
      <c r="BY98" s="326"/>
      <c r="BZ98" s="326"/>
      <c r="CA98" s="326"/>
      <c r="CB98" s="326"/>
      <c r="CC98" s="326"/>
      <c r="CD98" s="326"/>
      <c r="CE98" s="326"/>
      <c r="CF98" s="326"/>
      <c r="CG98" s="326"/>
      <c r="CH98" s="326"/>
      <c r="CI98" s="326"/>
      <c r="CJ98" s="326"/>
      <c r="CK98" s="326"/>
      <c r="CL98" s="326"/>
      <c r="CM98" s="326"/>
      <c r="CN98" s="326"/>
      <c r="CO98" s="326"/>
      <c r="CP98" s="326"/>
      <c r="CQ98" s="326"/>
      <c r="CR98" s="326"/>
      <c r="CS98" s="326"/>
      <c r="CT98" s="326"/>
      <c r="CU98" s="326"/>
      <c r="CV98" s="326"/>
      <c r="CW98" s="326"/>
      <c r="CX98" s="326"/>
      <c r="CY98" s="326"/>
      <c r="CZ98" s="326"/>
      <c r="DA98" s="326"/>
      <c r="DB98" s="326"/>
      <c r="DC98" s="326"/>
      <c r="DD98" s="326"/>
      <c r="DE98" s="326"/>
      <c r="DF98" s="326"/>
      <c r="DG98" s="326"/>
      <c r="DH98" s="326"/>
      <c r="DI98" s="326"/>
      <c r="DJ98" s="326"/>
      <c r="DK98" s="326"/>
      <c r="DL98" s="326"/>
      <c r="DM98" s="326"/>
      <c r="DN98" s="326"/>
      <c r="DO98" s="326"/>
      <c r="DP98" s="326"/>
      <c r="DQ98" s="326"/>
      <c r="DR98" s="326"/>
      <c r="DS98" s="326"/>
      <c r="DT98" s="326"/>
      <c r="DU98" s="326"/>
      <c r="DV98" s="326"/>
      <c r="DW98" s="326"/>
      <c r="DX98" s="326"/>
      <c r="DY98" s="326"/>
      <c r="DZ98" s="326"/>
      <c r="EA98" s="326"/>
      <c r="EB98" s="326"/>
      <c r="EC98" s="326"/>
      <c r="ED98" s="326"/>
      <c r="EE98" s="326"/>
      <c r="EF98" s="326"/>
      <c r="EG98" s="326"/>
      <c r="EH98" s="326"/>
      <c r="EI98" s="326"/>
      <c r="EJ98" s="326"/>
      <c r="EK98" s="326"/>
      <c r="EL98" s="326"/>
      <c r="EM98" s="326"/>
      <c r="EN98" s="326"/>
      <c r="EO98" s="326"/>
      <c r="EP98" s="326"/>
      <c r="EQ98" s="326"/>
      <c r="ER98" s="326"/>
      <c r="ES98" s="326"/>
      <c r="ET98" s="326"/>
      <c r="EU98" s="326"/>
      <c r="EV98" s="326"/>
      <c r="EW98" s="326"/>
      <c r="EX98" s="326"/>
      <c r="EY98" s="326"/>
      <c r="EZ98" s="326"/>
      <c r="FA98" s="326"/>
      <c r="FB98" s="326"/>
      <c r="FC98" s="326"/>
      <c r="FD98" s="326"/>
      <c r="FE98" s="326"/>
      <c r="FF98" s="326"/>
      <c r="FG98" s="326"/>
      <c r="FH98" s="326"/>
      <c r="FI98" s="326"/>
      <c r="FJ98" s="326"/>
      <c r="FK98" s="326"/>
      <c r="FL98" s="326"/>
      <c r="FM98" s="326"/>
      <c r="FN98" s="326"/>
      <c r="FO98" s="326"/>
      <c r="FP98" s="326"/>
      <c r="FQ98" s="326"/>
      <c r="FR98" s="326"/>
      <c r="FS98" s="326"/>
      <c r="FT98" s="326"/>
      <c r="FU98" s="326"/>
      <c r="FV98" s="326"/>
      <c r="FW98" s="326"/>
      <c r="FX98" s="326"/>
      <c r="FY98" s="326"/>
      <c r="FZ98" s="326"/>
      <c r="GA98" s="326"/>
      <c r="GB98" s="326"/>
      <c r="GC98" s="326"/>
      <c r="GD98" s="326"/>
      <c r="GE98" s="326"/>
      <c r="GF98" s="326"/>
      <c r="GG98" s="326"/>
      <c r="GH98" s="326"/>
      <c r="GI98" s="326"/>
      <c r="GJ98" s="326"/>
      <c r="GK98" s="326"/>
      <c r="GL98" s="326"/>
      <c r="GM98" s="326"/>
      <c r="GN98" s="326"/>
      <c r="GO98" s="326"/>
      <c r="GP98" s="326"/>
      <c r="GQ98" s="326"/>
      <c r="GR98" s="326"/>
      <c r="GS98" s="326"/>
      <c r="GT98" s="326"/>
      <c r="GU98" s="326"/>
      <c r="GV98" s="326"/>
      <c r="GW98" s="326"/>
      <c r="GX98" s="326"/>
      <c r="GY98" s="326"/>
      <c r="GZ98" s="326"/>
      <c r="HA98" s="326"/>
      <c r="HB98" s="326"/>
      <c r="HC98" s="326"/>
      <c r="HD98" s="326"/>
      <c r="HE98" s="326"/>
      <c r="HF98" s="326"/>
      <c r="HG98" s="326"/>
      <c r="HH98" s="326"/>
      <c r="HI98" s="326"/>
      <c r="HJ98" s="326"/>
      <c r="HK98" s="326"/>
      <c r="HL98" s="326"/>
      <c r="HM98" s="326"/>
      <c r="HN98" s="326"/>
      <c r="HO98" s="326"/>
      <c r="HP98" s="326"/>
      <c r="HQ98" s="326"/>
      <c r="HR98" s="326"/>
      <c r="HS98" s="326"/>
      <c r="HT98" s="326"/>
      <c r="HU98" s="326"/>
      <c r="HV98" s="326"/>
      <c r="HW98" s="326"/>
      <c r="HX98" s="326"/>
      <c r="HY98" s="326"/>
      <c r="HZ98" s="326"/>
      <c r="IA98" s="326"/>
      <c r="IB98" s="326"/>
      <c r="IC98" s="326"/>
      <c r="ID98" s="326"/>
      <c r="IE98" s="326"/>
      <c r="IF98" s="326"/>
      <c r="IG98" s="326"/>
      <c r="IH98" s="326"/>
      <c r="II98" s="326"/>
      <c r="IJ98" s="326"/>
      <c r="IK98" s="326"/>
      <c r="IL98" s="326"/>
      <c r="IM98" s="326"/>
      <c r="IN98" s="326"/>
      <c r="IO98" s="326"/>
      <c r="IP98" s="326"/>
      <c r="IQ98" s="326"/>
      <c r="IR98" s="326"/>
      <c r="IS98" s="326"/>
      <c r="IT98" s="326"/>
      <c r="IU98" s="326"/>
      <c r="IV98" s="326"/>
    </row>
    <row r="99" spans="1:256" s="560" customFormat="1" ht="18" customHeight="1">
      <c r="A99" s="574">
        <v>90</v>
      </c>
      <c r="B99" s="568"/>
      <c r="C99" s="327"/>
      <c r="D99" s="1146" t="s">
        <v>674</v>
      </c>
      <c r="E99" s="335"/>
      <c r="F99" s="564"/>
      <c r="G99" s="336"/>
      <c r="H99" s="773"/>
      <c r="I99" s="771"/>
      <c r="J99" s="764"/>
      <c r="K99" s="764"/>
      <c r="L99" s="764"/>
      <c r="M99" s="764"/>
      <c r="N99" s="784"/>
      <c r="O99" s="1307">
        <f>SUM(I99:N99)</f>
        <v>0</v>
      </c>
      <c r="P99" s="565"/>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26"/>
      <c r="BU99" s="326"/>
      <c r="BV99" s="326"/>
      <c r="BW99" s="326"/>
      <c r="BX99" s="326"/>
      <c r="BY99" s="326"/>
      <c r="BZ99" s="326"/>
      <c r="CA99" s="326"/>
      <c r="CB99" s="326"/>
      <c r="CC99" s="326"/>
      <c r="CD99" s="326"/>
      <c r="CE99" s="326"/>
      <c r="CF99" s="326"/>
      <c r="CG99" s="326"/>
      <c r="CH99" s="326"/>
      <c r="CI99" s="326"/>
      <c r="CJ99" s="326"/>
      <c r="CK99" s="326"/>
      <c r="CL99" s="326"/>
      <c r="CM99" s="326"/>
      <c r="CN99" s="326"/>
      <c r="CO99" s="326"/>
      <c r="CP99" s="326"/>
      <c r="CQ99" s="326"/>
      <c r="CR99" s="326"/>
      <c r="CS99" s="326"/>
      <c r="CT99" s="326"/>
      <c r="CU99" s="326"/>
      <c r="CV99" s="326"/>
      <c r="CW99" s="326"/>
      <c r="CX99" s="326"/>
      <c r="CY99" s="326"/>
      <c r="CZ99" s="326"/>
      <c r="DA99" s="326"/>
      <c r="DB99" s="326"/>
      <c r="DC99" s="326"/>
      <c r="DD99" s="326"/>
      <c r="DE99" s="326"/>
      <c r="DF99" s="326"/>
      <c r="DG99" s="326"/>
      <c r="DH99" s="326"/>
      <c r="DI99" s="326"/>
      <c r="DJ99" s="326"/>
      <c r="DK99" s="326"/>
      <c r="DL99" s="326"/>
      <c r="DM99" s="326"/>
      <c r="DN99" s="326"/>
      <c r="DO99" s="326"/>
      <c r="DP99" s="326"/>
      <c r="DQ99" s="326"/>
      <c r="DR99" s="326"/>
      <c r="DS99" s="326"/>
      <c r="DT99" s="326"/>
      <c r="DU99" s="326"/>
      <c r="DV99" s="326"/>
      <c r="DW99" s="326"/>
      <c r="DX99" s="326"/>
      <c r="DY99" s="326"/>
      <c r="DZ99" s="326"/>
      <c r="EA99" s="326"/>
      <c r="EB99" s="326"/>
      <c r="EC99" s="326"/>
      <c r="ED99" s="326"/>
      <c r="EE99" s="326"/>
      <c r="EF99" s="326"/>
      <c r="EG99" s="326"/>
      <c r="EH99" s="326"/>
      <c r="EI99" s="326"/>
      <c r="EJ99" s="326"/>
      <c r="EK99" s="326"/>
      <c r="EL99" s="326"/>
      <c r="EM99" s="326"/>
      <c r="EN99" s="326"/>
      <c r="EO99" s="326"/>
      <c r="EP99" s="326"/>
      <c r="EQ99" s="326"/>
      <c r="ER99" s="326"/>
      <c r="ES99" s="326"/>
      <c r="ET99" s="326"/>
      <c r="EU99" s="326"/>
      <c r="EV99" s="326"/>
      <c r="EW99" s="326"/>
      <c r="EX99" s="326"/>
      <c r="EY99" s="326"/>
      <c r="EZ99" s="326"/>
      <c r="FA99" s="326"/>
      <c r="FB99" s="326"/>
      <c r="FC99" s="326"/>
      <c r="FD99" s="326"/>
      <c r="FE99" s="326"/>
      <c r="FF99" s="326"/>
      <c r="FG99" s="326"/>
      <c r="FH99" s="326"/>
      <c r="FI99" s="326"/>
      <c r="FJ99" s="326"/>
      <c r="FK99" s="326"/>
      <c r="FL99" s="326"/>
      <c r="FM99" s="326"/>
      <c r="FN99" s="326"/>
      <c r="FO99" s="326"/>
      <c r="FP99" s="326"/>
      <c r="FQ99" s="326"/>
      <c r="FR99" s="326"/>
      <c r="FS99" s="326"/>
      <c r="FT99" s="326"/>
      <c r="FU99" s="326"/>
      <c r="FV99" s="326"/>
      <c r="FW99" s="326"/>
      <c r="FX99" s="326"/>
      <c r="FY99" s="326"/>
      <c r="FZ99" s="326"/>
      <c r="GA99" s="326"/>
      <c r="GB99" s="326"/>
      <c r="GC99" s="326"/>
      <c r="GD99" s="326"/>
      <c r="GE99" s="326"/>
      <c r="GF99" s="326"/>
      <c r="GG99" s="326"/>
      <c r="GH99" s="326"/>
      <c r="GI99" s="326"/>
      <c r="GJ99" s="326"/>
      <c r="GK99" s="326"/>
      <c r="GL99" s="326"/>
      <c r="GM99" s="326"/>
      <c r="GN99" s="326"/>
      <c r="GO99" s="326"/>
      <c r="GP99" s="326"/>
      <c r="GQ99" s="326"/>
      <c r="GR99" s="326"/>
      <c r="GS99" s="326"/>
      <c r="GT99" s="326"/>
      <c r="GU99" s="326"/>
      <c r="GV99" s="326"/>
      <c r="GW99" s="326"/>
      <c r="GX99" s="326"/>
      <c r="GY99" s="326"/>
      <c r="GZ99" s="326"/>
      <c r="HA99" s="326"/>
      <c r="HB99" s="326"/>
      <c r="HC99" s="326"/>
      <c r="HD99" s="326"/>
      <c r="HE99" s="326"/>
      <c r="HF99" s="326"/>
      <c r="HG99" s="326"/>
      <c r="HH99" s="326"/>
      <c r="HI99" s="326"/>
      <c r="HJ99" s="326"/>
      <c r="HK99" s="326"/>
      <c r="HL99" s="326"/>
      <c r="HM99" s="326"/>
      <c r="HN99" s="326"/>
      <c r="HO99" s="326"/>
      <c r="HP99" s="326"/>
      <c r="HQ99" s="326"/>
      <c r="HR99" s="326"/>
      <c r="HS99" s="326"/>
      <c r="HT99" s="326"/>
      <c r="HU99" s="326"/>
      <c r="HV99" s="326"/>
      <c r="HW99" s="326"/>
      <c r="HX99" s="326"/>
      <c r="HY99" s="326"/>
      <c r="HZ99" s="326"/>
      <c r="IA99" s="326"/>
      <c r="IB99" s="326"/>
      <c r="IC99" s="326"/>
      <c r="ID99" s="326"/>
      <c r="IE99" s="326"/>
      <c r="IF99" s="326"/>
      <c r="IG99" s="326"/>
      <c r="IH99" s="326"/>
      <c r="II99" s="326"/>
      <c r="IJ99" s="326"/>
      <c r="IK99" s="326"/>
      <c r="IL99" s="326"/>
      <c r="IM99" s="326"/>
      <c r="IN99" s="326"/>
      <c r="IO99" s="326"/>
      <c r="IP99" s="326"/>
      <c r="IQ99" s="326"/>
      <c r="IR99" s="326"/>
      <c r="IS99" s="326"/>
      <c r="IT99" s="326"/>
      <c r="IU99" s="326"/>
      <c r="IV99" s="326"/>
    </row>
    <row r="100" spans="1:256" s="560" customFormat="1" ht="18" customHeight="1">
      <c r="A100" s="574">
        <v>91</v>
      </c>
      <c r="B100" s="568"/>
      <c r="C100" s="327"/>
      <c r="D100" s="483" t="s">
        <v>1091</v>
      </c>
      <c r="E100" s="335"/>
      <c r="F100" s="564"/>
      <c r="G100" s="336"/>
      <c r="H100" s="773"/>
      <c r="I100" s="771"/>
      <c r="J100" s="764"/>
      <c r="K100" s="764"/>
      <c r="L100" s="1309">
        <f>SUM(L98:L99)</f>
        <v>17149</v>
      </c>
      <c r="M100" s="764"/>
      <c r="N100" s="784"/>
      <c r="O100" s="569">
        <f>SUM(I100:N100)</f>
        <v>17149</v>
      </c>
      <c r="P100" s="565"/>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326"/>
      <c r="BS100" s="326"/>
      <c r="BT100" s="326"/>
      <c r="BU100" s="326"/>
      <c r="BV100" s="326"/>
      <c r="BW100" s="326"/>
      <c r="BX100" s="326"/>
      <c r="BY100" s="326"/>
      <c r="BZ100" s="326"/>
      <c r="CA100" s="326"/>
      <c r="CB100" s="326"/>
      <c r="CC100" s="326"/>
      <c r="CD100" s="326"/>
      <c r="CE100" s="326"/>
      <c r="CF100" s="326"/>
      <c r="CG100" s="326"/>
      <c r="CH100" s="326"/>
      <c r="CI100" s="326"/>
      <c r="CJ100" s="326"/>
      <c r="CK100" s="326"/>
      <c r="CL100" s="326"/>
      <c r="CM100" s="326"/>
      <c r="CN100" s="326"/>
      <c r="CO100" s="326"/>
      <c r="CP100" s="326"/>
      <c r="CQ100" s="326"/>
      <c r="CR100" s="326"/>
      <c r="CS100" s="326"/>
      <c r="CT100" s="326"/>
      <c r="CU100" s="326"/>
      <c r="CV100" s="326"/>
      <c r="CW100" s="326"/>
      <c r="CX100" s="326"/>
      <c r="CY100" s="326"/>
      <c r="CZ100" s="326"/>
      <c r="DA100" s="326"/>
      <c r="DB100" s="326"/>
      <c r="DC100" s="326"/>
      <c r="DD100" s="326"/>
      <c r="DE100" s="326"/>
      <c r="DF100" s="326"/>
      <c r="DG100" s="326"/>
      <c r="DH100" s="326"/>
      <c r="DI100" s="326"/>
      <c r="DJ100" s="326"/>
      <c r="DK100" s="326"/>
      <c r="DL100" s="326"/>
      <c r="DM100" s="326"/>
      <c r="DN100" s="326"/>
      <c r="DO100" s="326"/>
      <c r="DP100" s="326"/>
      <c r="DQ100" s="326"/>
      <c r="DR100" s="326"/>
      <c r="DS100" s="326"/>
      <c r="DT100" s="326"/>
      <c r="DU100" s="326"/>
      <c r="DV100" s="326"/>
      <c r="DW100" s="326"/>
      <c r="DX100" s="326"/>
      <c r="DY100" s="326"/>
      <c r="DZ100" s="326"/>
      <c r="EA100" s="326"/>
      <c r="EB100" s="326"/>
      <c r="EC100" s="326"/>
      <c r="ED100" s="326"/>
      <c r="EE100" s="326"/>
      <c r="EF100" s="326"/>
      <c r="EG100" s="326"/>
      <c r="EH100" s="326"/>
      <c r="EI100" s="326"/>
      <c r="EJ100" s="326"/>
      <c r="EK100" s="326"/>
      <c r="EL100" s="326"/>
      <c r="EM100" s="326"/>
      <c r="EN100" s="326"/>
      <c r="EO100" s="326"/>
      <c r="EP100" s="326"/>
      <c r="EQ100" s="326"/>
      <c r="ER100" s="326"/>
      <c r="ES100" s="326"/>
      <c r="ET100" s="326"/>
      <c r="EU100" s="326"/>
      <c r="EV100" s="326"/>
      <c r="EW100" s="326"/>
      <c r="EX100" s="326"/>
      <c r="EY100" s="326"/>
      <c r="EZ100" s="326"/>
      <c r="FA100" s="326"/>
      <c r="FB100" s="326"/>
      <c r="FC100" s="326"/>
      <c r="FD100" s="326"/>
      <c r="FE100" s="326"/>
      <c r="FF100" s="326"/>
      <c r="FG100" s="326"/>
      <c r="FH100" s="326"/>
      <c r="FI100" s="326"/>
      <c r="FJ100" s="326"/>
      <c r="FK100" s="326"/>
      <c r="FL100" s="326"/>
      <c r="FM100" s="326"/>
      <c r="FN100" s="326"/>
      <c r="FO100" s="326"/>
      <c r="FP100" s="326"/>
      <c r="FQ100" s="326"/>
      <c r="FR100" s="326"/>
      <c r="FS100" s="326"/>
      <c r="FT100" s="326"/>
      <c r="FU100" s="326"/>
      <c r="FV100" s="326"/>
      <c r="FW100" s="326"/>
      <c r="FX100" s="326"/>
      <c r="FY100" s="326"/>
      <c r="FZ100" s="326"/>
      <c r="GA100" s="326"/>
      <c r="GB100" s="326"/>
      <c r="GC100" s="326"/>
      <c r="GD100" s="326"/>
      <c r="GE100" s="326"/>
      <c r="GF100" s="326"/>
      <c r="GG100" s="326"/>
      <c r="GH100" s="326"/>
      <c r="GI100" s="326"/>
      <c r="GJ100" s="326"/>
      <c r="GK100" s="326"/>
      <c r="GL100" s="326"/>
      <c r="GM100" s="326"/>
      <c r="GN100" s="326"/>
      <c r="GO100" s="326"/>
      <c r="GP100" s="326"/>
      <c r="GQ100" s="326"/>
      <c r="GR100" s="326"/>
      <c r="GS100" s="326"/>
      <c r="GT100" s="326"/>
      <c r="GU100" s="326"/>
      <c r="GV100" s="326"/>
      <c r="GW100" s="326"/>
      <c r="GX100" s="326"/>
      <c r="GY100" s="326"/>
      <c r="GZ100" s="326"/>
      <c r="HA100" s="326"/>
      <c r="HB100" s="326"/>
      <c r="HC100" s="326"/>
      <c r="HD100" s="326"/>
      <c r="HE100" s="326"/>
      <c r="HF100" s="326"/>
      <c r="HG100" s="326"/>
      <c r="HH100" s="326"/>
      <c r="HI100" s="326"/>
      <c r="HJ100" s="326"/>
      <c r="HK100" s="326"/>
      <c r="HL100" s="326"/>
      <c r="HM100" s="326"/>
      <c r="HN100" s="326"/>
      <c r="HO100" s="326"/>
      <c r="HP100" s="326"/>
      <c r="HQ100" s="326"/>
      <c r="HR100" s="326"/>
      <c r="HS100" s="326"/>
      <c r="HT100" s="326"/>
      <c r="HU100" s="326"/>
      <c r="HV100" s="326"/>
      <c r="HW100" s="326"/>
      <c r="HX100" s="326"/>
      <c r="HY100" s="326"/>
      <c r="HZ100" s="326"/>
      <c r="IA100" s="326"/>
      <c r="IB100" s="326"/>
      <c r="IC100" s="326"/>
      <c r="ID100" s="326"/>
      <c r="IE100" s="326"/>
      <c r="IF100" s="326"/>
      <c r="IG100" s="326"/>
      <c r="IH100" s="326"/>
      <c r="II100" s="326"/>
      <c r="IJ100" s="326"/>
      <c r="IK100" s="326"/>
      <c r="IL100" s="326"/>
      <c r="IM100" s="326"/>
      <c r="IN100" s="326"/>
      <c r="IO100" s="326"/>
      <c r="IP100" s="326"/>
      <c r="IQ100" s="326"/>
      <c r="IR100" s="326"/>
      <c r="IS100" s="326"/>
      <c r="IT100" s="326"/>
      <c r="IU100" s="326"/>
      <c r="IV100" s="326"/>
    </row>
    <row r="101" spans="1:16" ht="22.5" customHeight="1">
      <c r="A101" s="574">
        <v>92</v>
      </c>
      <c r="B101" s="466"/>
      <c r="C101" s="366">
        <v>19</v>
      </c>
      <c r="D101" s="571" t="s">
        <v>444</v>
      </c>
      <c r="E101" s="335"/>
      <c r="F101" s="335"/>
      <c r="G101" s="336"/>
      <c r="H101" s="773" t="s">
        <v>23</v>
      </c>
      <c r="I101" s="1053"/>
      <c r="J101" s="762"/>
      <c r="K101" s="762"/>
      <c r="L101" s="762"/>
      <c r="M101" s="762"/>
      <c r="N101" s="783"/>
      <c r="O101" s="790"/>
      <c r="P101" s="565"/>
    </row>
    <row r="102" spans="1:16" ht="18" customHeight="1">
      <c r="A102" s="574">
        <v>93</v>
      </c>
      <c r="B102" s="466"/>
      <c r="C102" s="366"/>
      <c r="D102" s="1324" t="s">
        <v>283</v>
      </c>
      <c r="E102" s="335">
        <f>F102+G102+O105+P102+76</f>
        <v>23871</v>
      </c>
      <c r="F102" s="335">
        <v>8399</v>
      </c>
      <c r="G102" s="336">
        <v>7278</v>
      </c>
      <c r="H102" s="773"/>
      <c r="I102" s="1053"/>
      <c r="J102" s="762">
        <v>46</v>
      </c>
      <c r="K102" s="762">
        <v>9312</v>
      </c>
      <c r="L102" s="762"/>
      <c r="M102" s="762"/>
      <c r="N102" s="783"/>
      <c r="O102" s="758">
        <f>SUM(I102:N102)</f>
        <v>9358</v>
      </c>
      <c r="P102" s="565"/>
    </row>
    <row r="103" spans="1:16" ht="18" customHeight="1">
      <c r="A103" s="574">
        <v>94</v>
      </c>
      <c r="B103" s="466"/>
      <c r="C103" s="366"/>
      <c r="D103" s="483" t="s">
        <v>938</v>
      </c>
      <c r="E103" s="335"/>
      <c r="F103" s="335"/>
      <c r="G103" s="336"/>
      <c r="H103" s="773"/>
      <c r="I103" s="1020">
        <v>0</v>
      </c>
      <c r="J103" s="1018">
        <v>0</v>
      </c>
      <c r="K103" s="1018">
        <v>8118</v>
      </c>
      <c r="L103" s="1018"/>
      <c r="M103" s="1018"/>
      <c r="N103" s="335"/>
      <c r="O103" s="569">
        <f>SUM(I103:N103)</f>
        <v>8118</v>
      </c>
      <c r="P103" s="565"/>
    </row>
    <row r="104" spans="1:16" ht="18" customHeight="1">
      <c r="A104" s="574">
        <v>95</v>
      </c>
      <c r="B104" s="466"/>
      <c r="C104" s="366"/>
      <c r="D104" s="1146" t="s">
        <v>725</v>
      </c>
      <c r="E104" s="335"/>
      <c r="F104" s="335"/>
      <c r="G104" s="336"/>
      <c r="H104" s="773"/>
      <c r="I104" s="1466"/>
      <c r="J104" s="1380"/>
      <c r="K104" s="1380"/>
      <c r="L104" s="762"/>
      <c r="M104" s="762"/>
      <c r="N104" s="783"/>
      <c r="O104" s="1307">
        <f>SUM(I104:N104)</f>
        <v>0</v>
      </c>
      <c r="P104" s="565"/>
    </row>
    <row r="105" spans="1:16" ht="18" customHeight="1">
      <c r="A105" s="574">
        <v>96</v>
      </c>
      <c r="B105" s="466"/>
      <c r="C105" s="366"/>
      <c r="D105" s="483" t="s">
        <v>1091</v>
      </c>
      <c r="E105" s="335"/>
      <c r="F105" s="335"/>
      <c r="G105" s="336"/>
      <c r="H105" s="773"/>
      <c r="I105" s="1020">
        <f>SUM(I103:I104)</f>
        <v>0</v>
      </c>
      <c r="J105" s="1020">
        <f>SUM(J103:J104)</f>
        <v>0</v>
      </c>
      <c r="K105" s="1020">
        <f>SUM(K103:K104)</f>
        <v>8118</v>
      </c>
      <c r="L105" s="762"/>
      <c r="M105" s="762"/>
      <c r="N105" s="783"/>
      <c r="O105" s="569">
        <f>SUM(I105:N105)</f>
        <v>8118</v>
      </c>
      <c r="P105" s="565"/>
    </row>
    <row r="106" spans="1:16" ht="22.5" customHeight="1">
      <c r="A106" s="574">
        <v>97</v>
      </c>
      <c r="B106" s="466"/>
      <c r="C106" s="366">
        <v>20</v>
      </c>
      <c r="D106" s="571" t="s">
        <v>445</v>
      </c>
      <c r="E106" s="335"/>
      <c r="F106" s="335"/>
      <c r="G106" s="336"/>
      <c r="H106" s="773" t="s">
        <v>23</v>
      </c>
      <c r="I106" s="1053"/>
      <c r="J106" s="762"/>
      <c r="K106" s="762"/>
      <c r="L106" s="762"/>
      <c r="M106" s="762"/>
      <c r="N106" s="783"/>
      <c r="O106" s="790"/>
      <c r="P106" s="565"/>
    </row>
    <row r="107" spans="1:16" ht="18" customHeight="1">
      <c r="A107" s="574">
        <v>98</v>
      </c>
      <c r="B107" s="466"/>
      <c r="C107" s="366"/>
      <c r="D107" s="1324" t="s">
        <v>283</v>
      </c>
      <c r="E107" s="335">
        <f>F107+G107+O110+P107</f>
        <v>3071</v>
      </c>
      <c r="F107" s="335"/>
      <c r="G107" s="336"/>
      <c r="H107" s="773"/>
      <c r="I107" s="1053"/>
      <c r="J107" s="762"/>
      <c r="K107" s="762">
        <v>3071</v>
      </c>
      <c r="L107" s="762"/>
      <c r="M107" s="762"/>
      <c r="N107" s="783"/>
      <c r="O107" s="758">
        <f>SUM(I107:N107)</f>
        <v>3071</v>
      </c>
      <c r="P107" s="565"/>
    </row>
    <row r="108" spans="1:16" ht="18" customHeight="1">
      <c r="A108" s="574">
        <v>99</v>
      </c>
      <c r="B108" s="466"/>
      <c r="C108" s="366"/>
      <c r="D108" s="483" t="s">
        <v>938</v>
      </c>
      <c r="E108" s="335"/>
      <c r="F108" s="335"/>
      <c r="G108" s="336"/>
      <c r="H108" s="773"/>
      <c r="I108" s="1053"/>
      <c r="J108" s="762"/>
      <c r="K108" s="1018">
        <v>3071</v>
      </c>
      <c r="L108" s="762"/>
      <c r="M108" s="762"/>
      <c r="N108" s="783"/>
      <c r="O108" s="758">
        <f>SUM(I108:N108)</f>
        <v>3071</v>
      </c>
      <c r="P108" s="565"/>
    </row>
    <row r="109" spans="1:16" ht="18" customHeight="1">
      <c r="A109" s="574">
        <v>100</v>
      </c>
      <c r="B109" s="466"/>
      <c r="C109" s="366"/>
      <c r="D109" s="1146" t="s">
        <v>674</v>
      </c>
      <c r="E109" s="335"/>
      <c r="F109" s="335"/>
      <c r="G109" s="336"/>
      <c r="H109" s="773"/>
      <c r="I109" s="1053"/>
      <c r="J109" s="762"/>
      <c r="K109" s="762"/>
      <c r="L109" s="762"/>
      <c r="M109" s="762"/>
      <c r="N109" s="783"/>
      <c r="O109" s="1307">
        <f>SUM(I109:N109)</f>
        <v>0</v>
      </c>
      <c r="P109" s="565"/>
    </row>
    <row r="110" spans="1:16" ht="18" customHeight="1">
      <c r="A110" s="574">
        <v>101</v>
      </c>
      <c r="B110" s="466"/>
      <c r="C110" s="366"/>
      <c r="D110" s="483" t="s">
        <v>1091</v>
      </c>
      <c r="E110" s="335"/>
      <c r="F110" s="335"/>
      <c r="G110" s="336"/>
      <c r="H110" s="773"/>
      <c r="I110" s="1053"/>
      <c r="J110" s="762"/>
      <c r="K110" s="1018">
        <f>SUM(K108:K109)</f>
        <v>3071</v>
      </c>
      <c r="L110" s="762"/>
      <c r="M110" s="762"/>
      <c r="N110" s="783"/>
      <c r="O110" s="569">
        <f>SUM(I110:N110)</f>
        <v>3071</v>
      </c>
      <c r="P110" s="565"/>
    </row>
    <row r="111" spans="1:16" ht="22.5" customHeight="1">
      <c r="A111" s="574">
        <v>102</v>
      </c>
      <c r="B111" s="466"/>
      <c r="C111" s="366">
        <v>21</v>
      </c>
      <c r="D111" s="571" t="s">
        <v>446</v>
      </c>
      <c r="E111" s="335"/>
      <c r="F111" s="335"/>
      <c r="G111" s="336"/>
      <c r="H111" s="773" t="s">
        <v>23</v>
      </c>
      <c r="I111" s="1053"/>
      <c r="J111" s="762"/>
      <c r="K111" s="762"/>
      <c r="L111" s="762"/>
      <c r="M111" s="762"/>
      <c r="N111" s="783"/>
      <c r="O111" s="790"/>
      <c r="P111" s="565"/>
    </row>
    <row r="112" spans="1:16" ht="18" customHeight="1">
      <c r="A112" s="574">
        <v>103</v>
      </c>
      <c r="B112" s="466"/>
      <c r="C112" s="366"/>
      <c r="D112" s="1324" t="s">
        <v>283</v>
      </c>
      <c r="E112" s="335">
        <f>F112+G112+O115+P112+625+5664</f>
        <v>35920</v>
      </c>
      <c r="F112" s="335"/>
      <c r="G112" s="336">
        <f>118+2475</f>
        <v>2593</v>
      </c>
      <c r="H112" s="773"/>
      <c r="I112" s="1053"/>
      <c r="J112" s="762"/>
      <c r="K112" s="762">
        <v>21926</v>
      </c>
      <c r="L112" s="762"/>
      <c r="M112" s="762"/>
      <c r="N112" s="783"/>
      <c r="O112" s="758">
        <f>SUM(I112:N112)</f>
        <v>21926</v>
      </c>
      <c r="P112" s="565">
        <v>10776</v>
      </c>
    </row>
    <row r="113" spans="1:16" ht="18" customHeight="1">
      <c r="A113" s="574">
        <v>104</v>
      </c>
      <c r="B113" s="466"/>
      <c r="C113" s="366"/>
      <c r="D113" s="483" t="s">
        <v>938</v>
      </c>
      <c r="E113" s="335"/>
      <c r="F113" s="335"/>
      <c r="G113" s="336"/>
      <c r="H113" s="773"/>
      <c r="I113" s="1020">
        <v>880</v>
      </c>
      <c r="J113" s="1018">
        <v>123</v>
      </c>
      <c r="K113" s="1018">
        <v>15259</v>
      </c>
      <c r="L113" s="1018"/>
      <c r="M113" s="1018"/>
      <c r="N113" s="335"/>
      <c r="O113" s="569">
        <f>SUM(I113:N113)</f>
        <v>16262</v>
      </c>
      <c r="P113" s="565"/>
    </row>
    <row r="114" spans="1:16" ht="18" customHeight="1">
      <c r="A114" s="574">
        <v>105</v>
      </c>
      <c r="B114" s="466"/>
      <c r="C114" s="366"/>
      <c r="D114" s="1146" t="s">
        <v>725</v>
      </c>
      <c r="E114" s="335"/>
      <c r="F114" s="335"/>
      <c r="G114" s="336"/>
      <c r="H114" s="773"/>
      <c r="I114" s="1466"/>
      <c r="J114" s="1380"/>
      <c r="K114" s="1380"/>
      <c r="L114" s="762"/>
      <c r="M114" s="762"/>
      <c r="N114" s="783"/>
      <c r="O114" s="1307">
        <f>SUM(I114:N114)</f>
        <v>0</v>
      </c>
      <c r="P114" s="565"/>
    </row>
    <row r="115" spans="1:16" ht="18" customHeight="1">
      <c r="A115" s="574">
        <v>106</v>
      </c>
      <c r="B115" s="466"/>
      <c r="C115" s="366"/>
      <c r="D115" s="483" t="s">
        <v>1091</v>
      </c>
      <c r="E115" s="335"/>
      <c r="F115" s="335"/>
      <c r="G115" s="336"/>
      <c r="H115" s="773"/>
      <c r="I115" s="1018">
        <f>SUM(I113:I114)</f>
        <v>880</v>
      </c>
      <c r="J115" s="1018">
        <f>SUM(J113:J114)</f>
        <v>123</v>
      </c>
      <c r="K115" s="1018">
        <f>SUM(K113:K114)</f>
        <v>15259</v>
      </c>
      <c r="L115" s="762"/>
      <c r="M115" s="762"/>
      <c r="N115" s="783"/>
      <c r="O115" s="569">
        <f>SUM(I115:N115)</f>
        <v>16262</v>
      </c>
      <c r="P115" s="565"/>
    </row>
    <row r="116" spans="1:16" ht="22.5" customHeight="1">
      <c r="A116" s="574">
        <v>107</v>
      </c>
      <c r="B116" s="466"/>
      <c r="C116" s="366">
        <v>22</v>
      </c>
      <c r="D116" s="571" t="s">
        <v>447</v>
      </c>
      <c r="E116" s="335"/>
      <c r="F116" s="335"/>
      <c r="G116" s="336"/>
      <c r="H116" s="773" t="s">
        <v>23</v>
      </c>
      <c r="I116" s="1053"/>
      <c r="J116" s="762"/>
      <c r="K116" s="762"/>
      <c r="L116" s="762"/>
      <c r="M116" s="762"/>
      <c r="N116" s="783"/>
      <c r="O116" s="790"/>
      <c r="P116" s="565"/>
    </row>
    <row r="117" spans="1:16" ht="18" customHeight="1">
      <c r="A117" s="574">
        <v>108</v>
      </c>
      <c r="B117" s="466"/>
      <c r="C117" s="366"/>
      <c r="D117" s="1324" t="s">
        <v>283</v>
      </c>
      <c r="E117" s="335">
        <f>F117+G117+O120+P117</f>
        <v>55000</v>
      </c>
      <c r="F117" s="335"/>
      <c r="G117" s="336">
        <v>1680</v>
      </c>
      <c r="H117" s="773"/>
      <c r="I117" s="1053"/>
      <c r="J117" s="762"/>
      <c r="K117" s="762">
        <v>295</v>
      </c>
      <c r="L117" s="762"/>
      <c r="M117" s="762">
        <v>53025</v>
      </c>
      <c r="N117" s="783"/>
      <c r="O117" s="758">
        <f>SUM(I117:N117)</f>
        <v>53320</v>
      </c>
      <c r="P117" s="565"/>
    </row>
    <row r="118" spans="1:16" ht="18" customHeight="1">
      <c r="A118" s="574">
        <v>109</v>
      </c>
      <c r="B118" s="466"/>
      <c r="C118" s="366"/>
      <c r="D118" s="483" t="s">
        <v>938</v>
      </c>
      <c r="E118" s="335"/>
      <c r="F118" s="335"/>
      <c r="G118" s="336"/>
      <c r="H118" s="773"/>
      <c r="I118" s="1053"/>
      <c r="J118" s="762"/>
      <c r="K118" s="1018">
        <v>295</v>
      </c>
      <c r="L118" s="1018"/>
      <c r="M118" s="1018">
        <v>53025</v>
      </c>
      <c r="N118" s="335"/>
      <c r="O118" s="569">
        <f>SUM(I118:N118)</f>
        <v>53320</v>
      </c>
      <c r="P118" s="565"/>
    </row>
    <row r="119" spans="1:16" ht="18" customHeight="1">
      <c r="A119" s="574">
        <v>110</v>
      </c>
      <c r="B119" s="466"/>
      <c r="C119" s="366"/>
      <c r="D119" s="1146" t="s">
        <v>674</v>
      </c>
      <c r="E119" s="335"/>
      <c r="F119" s="335"/>
      <c r="G119" s="336"/>
      <c r="H119" s="773"/>
      <c r="I119" s="1053"/>
      <c r="J119" s="762"/>
      <c r="K119" s="762"/>
      <c r="L119" s="762"/>
      <c r="M119" s="762"/>
      <c r="N119" s="783"/>
      <c r="O119" s="1307">
        <f>SUM(I119:N119)</f>
        <v>0</v>
      </c>
      <c r="P119" s="565"/>
    </row>
    <row r="120" spans="1:16" ht="18" customHeight="1">
      <c r="A120" s="574">
        <v>111</v>
      </c>
      <c r="B120" s="466"/>
      <c r="C120" s="366"/>
      <c r="D120" s="483" t="s">
        <v>1091</v>
      </c>
      <c r="E120" s="335"/>
      <c r="F120" s="335"/>
      <c r="G120" s="336"/>
      <c r="H120" s="773"/>
      <c r="I120" s="1053"/>
      <c r="J120" s="762"/>
      <c r="K120" s="1018">
        <f>SUM(K118:K119)</f>
        <v>295</v>
      </c>
      <c r="L120" s="1018"/>
      <c r="M120" s="1018">
        <f>SUM(M118:M119)</f>
        <v>53025</v>
      </c>
      <c r="N120" s="783"/>
      <c r="O120" s="569">
        <f>SUM(I120:N120)</f>
        <v>53320</v>
      </c>
      <c r="P120" s="565"/>
    </row>
    <row r="121" spans="1:16" ht="53.25" customHeight="1">
      <c r="A121" s="574">
        <v>112</v>
      </c>
      <c r="B121" s="466"/>
      <c r="C121" s="327">
        <v>23</v>
      </c>
      <c r="D121" s="792" t="s">
        <v>448</v>
      </c>
      <c r="E121" s="335"/>
      <c r="F121" s="335"/>
      <c r="G121" s="336"/>
      <c r="H121" s="773" t="s">
        <v>23</v>
      </c>
      <c r="I121" s="1053"/>
      <c r="J121" s="762"/>
      <c r="K121" s="762"/>
      <c r="L121" s="762"/>
      <c r="M121" s="762"/>
      <c r="N121" s="783"/>
      <c r="O121" s="790"/>
      <c r="P121" s="565"/>
    </row>
    <row r="122" spans="1:16" ht="18" customHeight="1">
      <c r="A122" s="574">
        <v>113</v>
      </c>
      <c r="B122" s="466"/>
      <c r="C122" s="366"/>
      <c r="D122" s="1324" t="s">
        <v>283</v>
      </c>
      <c r="E122" s="335">
        <f>F122+G122+O125+P122</f>
        <v>17955</v>
      </c>
      <c r="F122" s="335"/>
      <c r="G122" s="336"/>
      <c r="H122" s="773"/>
      <c r="I122" s="1053"/>
      <c r="J122" s="762"/>
      <c r="K122" s="762">
        <v>19985</v>
      </c>
      <c r="L122" s="762"/>
      <c r="M122" s="762"/>
      <c r="N122" s="783"/>
      <c r="O122" s="758">
        <f>SUM(I122:N122)</f>
        <v>19985</v>
      </c>
      <c r="P122" s="565"/>
    </row>
    <row r="123" spans="1:16" ht="18" customHeight="1">
      <c r="A123" s="574">
        <v>114</v>
      </c>
      <c r="B123" s="466"/>
      <c r="C123" s="366"/>
      <c r="D123" s="483" t="s">
        <v>938</v>
      </c>
      <c r="E123" s="335"/>
      <c r="F123" s="335"/>
      <c r="G123" s="336"/>
      <c r="H123" s="773"/>
      <c r="I123" s="1053"/>
      <c r="J123" s="762"/>
      <c r="K123" s="1018">
        <v>19985</v>
      </c>
      <c r="L123" s="1018"/>
      <c r="M123" s="1018"/>
      <c r="N123" s="335"/>
      <c r="O123" s="569">
        <f>SUM(I123:N123)</f>
        <v>19985</v>
      </c>
      <c r="P123" s="565"/>
    </row>
    <row r="124" spans="1:16" ht="18" customHeight="1">
      <c r="A124" s="574">
        <v>115</v>
      </c>
      <c r="B124" s="466"/>
      <c r="C124" s="366"/>
      <c r="D124" s="1146" t="s">
        <v>689</v>
      </c>
      <c r="E124" s="335"/>
      <c r="F124" s="335"/>
      <c r="G124" s="336"/>
      <c r="H124" s="773"/>
      <c r="I124" s="1466">
        <v>1064</v>
      </c>
      <c r="J124" s="1380">
        <v>126</v>
      </c>
      <c r="K124" s="1380">
        <f>-1190-2030</f>
        <v>-3220</v>
      </c>
      <c r="L124" s="762"/>
      <c r="M124" s="762"/>
      <c r="N124" s="783"/>
      <c r="O124" s="1307">
        <f>SUM(I124:N124)</f>
        <v>-2030</v>
      </c>
      <c r="P124" s="565"/>
    </row>
    <row r="125" spans="1:16" ht="18" customHeight="1">
      <c r="A125" s="574">
        <v>116</v>
      </c>
      <c r="B125" s="466"/>
      <c r="C125" s="366"/>
      <c r="D125" s="483" t="s">
        <v>1091</v>
      </c>
      <c r="E125" s="335"/>
      <c r="F125" s="335"/>
      <c r="G125" s="336"/>
      <c r="H125" s="773"/>
      <c r="I125" s="1018">
        <f>SUM(I123:I124)</f>
        <v>1064</v>
      </c>
      <c r="J125" s="1018">
        <f>SUM(J123:J124)</f>
        <v>126</v>
      </c>
      <c r="K125" s="1018">
        <f>SUM(K123:K124)</f>
        <v>16765</v>
      </c>
      <c r="L125" s="762"/>
      <c r="M125" s="762"/>
      <c r="N125" s="783"/>
      <c r="O125" s="569">
        <f>SUM(I125:N125)</f>
        <v>17955</v>
      </c>
      <c r="P125" s="565"/>
    </row>
    <row r="126" spans="1:16" ht="22.5" customHeight="1">
      <c r="A126" s="574">
        <v>117</v>
      </c>
      <c r="B126" s="466"/>
      <c r="C126" s="366">
        <v>24</v>
      </c>
      <c r="D126" s="328" t="s">
        <v>449</v>
      </c>
      <c r="E126" s="335"/>
      <c r="F126" s="335"/>
      <c r="G126" s="336"/>
      <c r="H126" s="773" t="s">
        <v>23</v>
      </c>
      <c r="I126" s="1053"/>
      <c r="J126" s="762"/>
      <c r="K126" s="762"/>
      <c r="L126" s="762"/>
      <c r="M126" s="762"/>
      <c r="N126" s="783"/>
      <c r="O126" s="790"/>
      <c r="P126" s="565"/>
    </row>
    <row r="127" spans="1:16" ht="18" customHeight="1">
      <c r="A127" s="574">
        <v>118</v>
      </c>
      <c r="B127" s="466"/>
      <c r="C127" s="366"/>
      <c r="D127" s="1324" t="s">
        <v>283</v>
      </c>
      <c r="E127" s="335">
        <f>F127+G127+O130+P127</f>
        <v>50</v>
      </c>
      <c r="F127" s="335"/>
      <c r="G127" s="336"/>
      <c r="H127" s="773"/>
      <c r="I127" s="1053"/>
      <c r="J127" s="762"/>
      <c r="K127" s="762">
        <v>155</v>
      </c>
      <c r="L127" s="762">
        <v>400</v>
      </c>
      <c r="M127" s="762"/>
      <c r="N127" s="783"/>
      <c r="O127" s="758">
        <f>SUM(I127:N127)</f>
        <v>555</v>
      </c>
      <c r="P127" s="565"/>
    </row>
    <row r="128" spans="1:16" ht="18" customHeight="1">
      <c r="A128" s="574">
        <v>119</v>
      </c>
      <c r="B128" s="466"/>
      <c r="C128" s="366"/>
      <c r="D128" s="483" t="s">
        <v>938</v>
      </c>
      <c r="E128" s="335"/>
      <c r="F128" s="335"/>
      <c r="G128" s="336"/>
      <c r="H128" s="773"/>
      <c r="I128" s="1053"/>
      <c r="J128" s="762"/>
      <c r="K128" s="1018">
        <v>155</v>
      </c>
      <c r="L128" s="1018">
        <v>400</v>
      </c>
      <c r="M128" s="762"/>
      <c r="N128" s="783"/>
      <c r="O128" s="758">
        <f>SUM(I128:N128)</f>
        <v>555</v>
      </c>
      <c r="P128" s="565"/>
    </row>
    <row r="129" spans="1:16" ht="18" customHeight="1">
      <c r="A129" s="574">
        <v>120</v>
      </c>
      <c r="B129" s="466"/>
      <c r="C129" s="366"/>
      <c r="D129" s="1146" t="s">
        <v>674</v>
      </c>
      <c r="E129" s="335"/>
      <c r="F129" s="335"/>
      <c r="G129" s="336"/>
      <c r="H129" s="773"/>
      <c r="I129" s="1053"/>
      <c r="J129" s="762"/>
      <c r="K129" s="1380">
        <v>-105</v>
      </c>
      <c r="L129" s="1380">
        <v>-400</v>
      </c>
      <c r="M129" s="762"/>
      <c r="N129" s="783"/>
      <c r="O129" s="1307">
        <f>SUM(I129:N129)</f>
        <v>-505</v>
      </c>
      <c r="P129" s="565"/>
    </row>
    <row r="130" spans="1:16" ht="18" customHeight="1">
      <c r="A130" s="574">
        <v>121</v>
      </c>
      <c r="B130" s="466"/>
      <c r="C130" s="366"/>
      <c r="D130" s="483" t="s">
        <v>1091</v>
      </c>
      <c r="E130" s="335"/>
      <c r="F130" s="335"/>
      <c r="G130" s="336"/>
      <c r="H130" s="773"/>
      <c r="I130" s="1053"/>
      <c r="J130" s="762"/>
      <c r="K130" s="1018">
        <f>SUM(K128:K129)</f>
        <v>50</v>
      </c>
      <c r="L130" s="1018">
        <f>SUM(L128:L129)</f>
        <v>0</v>
      </c>
      <c r="M130" s="762"/>
      <c r="N130" s="783"/>
      <c r="O130" s="569">
        <f>SUM(I130:N130)</f>
        <v>50</v>
      </c>
      <c r="P130" s="565"/>
    </row>
    <row r="131" spans="1:16" ht="53.25" customHeight="1">
      <c r="A131" s="574">
        <v>122</v>
      </c>
      <c r="B131" s="466"/>
      <c r="C131" s="327">
        <v>25</v>
      </c>
      <c r="D131" s="328" t="s">
        <v>594</v>
      </c>
      <c r="E131" s="335"/>
      <c r="F131" s="335"/>
      <c r="G131" s="336"/>
      <c r="H131" s="773" t="s">
        <v>23</v>
      </c>
      <c r="I131" s="1053"/>
      <c r="J131" s="762"/>
      <c r="K131" s="762"/>
      <c r="L131" s="762"/>
      <c r="M131" s="762"/>
      <c r="N131" s="783"/>
      <c r="O131" s="790"/>
      <c r="P131" s="565"/>
    </row>
    <row r="132" spans="1:256" s="560" customFormat="1" ht="18" customHeight="1">
      <c r="A132" s="574">
        <v>123</v>
      </c>
      <c r="B132" s="568"/>
      <c r="C132" s="327"/>
      <c r="D132" s="1324" t="s">
        <v>283</v>
      </c>
      <c r="E132" s="335">
        <f>F132+G132+O135+P132</f>
        <v>1500</v>
      </c>
      <c r="F132" s="335"/>
      <c r="G132" s="336"/>
      <c r="H132" s="773"/>
      <c r="I132" s="1053"/>
      <c r="J132" s="762"/>
      <c r="K132" s="762">
        <v>1500</v>
      </c>
      <c r="L132" s="762"/>
      <c r="M132" s="762"/>
      <c r="N132" s="783"/>
      <c r="O132" s="758">
        <f>SUM(I132:N132)</f>
        <v>1500</v>
      </c>
      <c r="P132" s="565"/>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6"/>
      <c r="AY132" s="326"/>
      <c r="AZ132" s="326"/>
      <c r="BA132" s="326"/>
      <c r="BB132" s="326"/>
      <c r="BC132" s="326"/>
      <c r="BD132" s="326"/>
      <c r="BE132" s="326"/>
      <c r="BF132" s="326"/>
      <c r="BG132" s="326"/>
      <c r="BH132" s="326"/>
      <c r="BI132" s="326"/>
      <c r="BJ132" s="326"/>
      <c r="BK132" s="326"/>
      <c r="BL132" s="326"/>
      <c r="BM132" s="326"/>
      <c r="BN132" s="326"/>
      <c r="BO132" s="326"/>
      <c r="BP132" s="326"/>
      <c r="BQ132" s="326"/>
      <c r="BR132" s="326"/>
      <c r="BS132" s="326"/>
      <c r="BT132" s="326"/>
      <c r="BU132" s="326"/>
      <c r="BV132" s="326"/>
      <c r="BW132" s="326"/>
      <c r="BX132" s="326"/>
      <c r="BY132" s="326"/>
      <c r="BZ132" s="326"/>
      <c r="CA132" s="326"/>
      <c r="CB132" s="326"/>
      <c r="CC132" s="326"/>
      <c r="CD132" s="326"/>
      <c r="CE132" s="326"/>
      <c r="CF132" s="326"/>
      <c r="CG132" s="326"/>
      <c r="CH132" s="326"/>
      <c r="CI132" s="326"/>
      <c r="CJ132" s="326"/>
      <c r="CK132" s="326"/>
      <c r="CL132" s="326"/>
      <c r="CM132" s="326"/>
      <c r="CN132" s="326"/>
      <c r="CO132" s="326"/>
      <c r="CP132" s="326"/>
      <c r="CQ132" s="326"/>
      <c r="CR132" s="326"/>
      <c r="CS132" s="326"/>
      <c r="CT132" s="326"/>
      <c r="CU132" s="326"/>
      <c r="CV132" s="326"/>
      <c r="CW132" s="326"/>
      <c r="CX132" s="326"/>
      <c r="CY132" s="326"/>
      <c r="CZ132" s="326"/>
      <c r="DA132" s="326"/>
      <c r="DB132" s="326"/>
      <c r="DC132" s="326"/>
      <c r="DD132" s="326"/>
      <c r="DE132" s="326"/>
      <c r="DF132" s="326"/>
      <c r="DG132" s="326"/>
      <c r="DH132" s="326"/>
      <c r="DI132" s="326"/>
      <c r="DJ132" s="326"/>
      <c r="DK132" s="326"/>
      <c r="DL132" s="326"/>
      <c r="DM132" s="326"/>
      <c r="DN132" s="326"/>
      <c r="DO132" s="326"/>
      <c r="DP132" s="326"/>
      <c r="DQ132" s="326"/>
      <c r="DR132" s="326"/>
      <c r="DS132" s="326"/>
      <c r="DT132" s="326"/>
      <c r="DU132" s="326"/>
      <c r="DV132" s="326"/>
      <c r="DW132" s="326"/>
      <c r="DX132" s="326"/>
      <c r="DY132" s="326"/>
      <c r="DZ132" s="326"/>
      <c r="EA132" s="326"/>
      <c r="EB132" s="326"/>
      <c r="EC132" s="326"/>
      <c r="ED132" s="326"/>
      <c r="EE132" s="326"/>
      <c r="EF132" s="326"/>
      <c r="EG132" s="326"/>
      <c r="EH132" s="326"/>
      <c r="EI132" s="326"/>
      <c r="EJ132" s="326"/>
      <c r="EK132" s="326"/>
      <c r="EL132" s="326"/>
      <c r="EM132" s="326"/>
      <c r="EN132" s="326"/>
      <c r="EO132" s="326"/>
      <c r="EP132" s="326"/>
      <c r="EQ132" s="326"/>
      <c r="ER132" s="326"/>
      <c r="ES132" s="326"/>
      <c r="ET132" s="326"/>
      <c r="EU132" s="326"/>
      <c r="EV132" s="326"/>
      <c r="EW132" s="326"/>
      <c r="EX132" s="326"/>
      <c r="EY132" s="326"/>
      <c r="EZ132" s="326"/>
      <c r="FA132" s="326"/>
      <c r="FB132" s="326"/>
      <c r="FC132" s="326"/>
      <c r="FD132" s="326"/>
      <c r="FE132" s="326"/>
      <c r="FF132" s="326"/>
      <c r="FG132" s="326"/>
      <c r="FH132" s="326"/>
      <c r="FI132" s="326"/>
      <c r="FJ132" s="326"/>
      <c r="FK132" s="326"/>
      <c r="FL132" s="326"/>
      <c r="FM132" s="326"/>
      <c r="FN132" s="326"/>
      <c r="FO132" s="326"/>
      <c r="FP132" s="326"/>
      <c r="FQ132" s="326"/>
      <c r="FR132" s="326"/>
      <c r="FS132" s="326"/>
      <c r="FT132" s="326"/>
      <c r="FU132" s="326"/>
      <c r="FV132" s="326"/>
      <c r="FW132" s="326"/>
      <c r="FX132" s="326"/>
      <c r="FY132" s="326"/>
      <c r="FZ132" s="326"/>
      <c r="GA132" s="326"/>
      <c r="GB132" s="326"/>
      <c r="GC132" s="326"/>
      <c r="GD132" s="326"/>
      <c r="GE132" s="326"/>
      <c r="GF132" s="326"/>
      <c r="GG132" s="326"/>
      <c r="GH132" s="326"/>
      <c r="GI132" s="326"/>
      <c r="GJ132" s="326"/>
      <c r="GK132" s="326"/>
      <c r="GL132" s="326"/>
      <c r="GM132" s="326"/>
      <c r="GN132" s="326"/>
      <c r="GO132" s="326"/>
      <c r="GP132" s="326"/>
      <c r="GQ132" s="326"/>
      <c r="GR132" s="326"/>
      <c r="GS132" s="326"/>
      <c r="GT132" s="326"/>
      <c r="GU132" s="326"/>
      <c r="GV132" s="326"/>
      <c r="GW132" s="326"/>
      <c r="GX132" s="326"/>
      <c r="GY132" s="326"/>
      <c r="GZ132" s="326"/>
      <c r="HA132" s="326"/>
      <c r="HB132" s="326"/>
      <c r="HC132" s="326"/>
      <c r="HD132" s="326"/>
      <c r="HE132" s="326"/>
      <c r="HF132" s="326"/>
      <c r="HG132" s="326"/>
      <c r="HH132" s="326"/>
      <c r="HI132" s="326"/>
      <c r="HJ132" s="326"/>
      <c r="HK132" s="326"/>
      <c r="HL132" s="326"/>
      <c r="HM132" s="326"/>
      <c r="HN132" s="326"/>
      <c r="HO132" s="326"/>
      <c r="HP132" s="326"/>
      <c r="HQ132" s="326"/>
      <c r="HR132" s="326"/>
      <c r="HS132" s="326"/>
      <c r="HT132" s="326"/>
      <c r="HU132" s="326"/>
      <c r="HV132" s="326"/>
      <c r="HW132" s="326"/>
      <c r="HX132" s="326"/>
      <c r="HY132" s="326"/>
      <c r="HZ132" s="326"/>
      <c r="IA132" s="326"/>
      <c r="IB132" s="326"/>
      <c r="IC132" s="326"/>
      <c r="ID132" s="326"/>
      <c r="IE132" s="326"/>
      <c r="IF132" s="326"/>
      <c r="IG132" s="326"/>
      <c r="IH132" s="326"/>
      <c r="II132" s="326"/>
      <c r="IJ132" s="326"/>
      <c r="IK132" s="326"/>
      <c r="IL132" s="326"/>
      <c r="IM132" s="326"/>
      <c r="IN132" s="326"/>
      <c r="IO132" s="326"/>
      <c r="IP132" s="326"/>
      <c r="IQ132" s="326"/>
      <c r="IR132" s="326"/>
      <c r="IS132" s="326"/>
      <c r="IT132" s="326"/>
      <c r="IU132" s="326"/>
      <c r="IV132" s="326"/>
    </row>
    <row r="133" spans="1:256" s="560" customFormat="1" ht="18" customHeight="1">
      <c r="A133" s="574">
        <v>124</v>
      </c>
      <c r="B133" s="568"/>
      <c r="C133" s="327"/>
      <c r="D133" s="483" t="s">
        <v>938</v>
      </c>
      <c r="E133" s="335"/>
      <c r="F133" s="335"/>
      <c r="G133" s="1329"/>
      <c r="H133" s="773"/>
      <c r="I133" s="1053"/>
      <c r="J133" s="1053"/>
      <c r="K133" s="1020">
        <v>1500</v>
      </c>
      <c r="L133" s="1020"/>
      <c r="M133" s="1020"/>
      <c r="N133" s="1360"/>
      <c r="O133" s="569">
        <f>SUM(I133:N133)</f>
        <v>1500</v>
      </c>
      <c r="P133" s="565"/>
      <c r="Q133" s="326"/>
      <c r="R133" s="326"/>
      <c r="S133" s="326"/>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R133" s="326"/>
      <c r="AS133" s="326"/>
      <c r="AT133" s="326"/>
      <c r="AU133" s="326"/>
      <c r="AV133" s="326"/>
      <c r="AW133" s="326"/>
      <c r="AX133" s="326"/>
      <c r="AY133" s="326"/>
      <c r="AZ133" s="326"/>
      <c r="BA133" s="326"/>
      <c r="BB133" s="326"/>
      <c r="BC133" s="326"/>
      <c r="BD133" s="326"/>
      <c r="BE133" s="326"/>
      <c r="BF133" s="326"/>
      <c r="BG133" s="326"/>
      <c r="BH133" s="326"/>
      <c r="BI133" s="326"/>
      <c r="BJ133" s="326"/>
      <c r="BK133" s="326"/>
      <c r="BL133" s="326"/>
      <c r="BM133" s="326"/>
      <c r="BN133" s="326"/>
      <c r="BO133" s="326"/>
      <c r="BP133" s="326"/>
      <c r="BQ133" s="326"/>
      <c r="BR133" s="326"/>
      <c r="BS133" s="326"/>
      <c r="BT133" s="326"/>
      <c r="BU133" s="326"/>
      <c r="BV133" s="326"/>
      <c r="BW133" s="326"/>
      <c r="BX133" s="326"/>
      <c r="BY133" s="326"/>
      <c r="BZ133" s="326"/>
      <c r="CA133" s="326"/>
      <c r="CB133" s="326"/>
      <c r="CC133" s="326"/>
      <c r="CD133" s="326"/>
      <c r="CE133" s="326"/>
      <c r="CF133" s="326"/>
      <c r="CG133" s="326"/>
      <c r="CH133" s="326"/>
      <c r="CI133" s="326"/>
      <c r="CJ133" s="326"/>
      <c r="CK133" s="326"/>
      <c r="CL133" s="326"/>
      <c r="CM133" s="326"/>
      <c r="CN133" s="326"/>
      <c r="CO133" s="326"/>
      <c r="CP133" s="326"/>
      <c r="CQ133" s="326"/>
      <c r="CR133" s="326"/>
      <c r="CS133" s="326"/>
      <c r="CT133" s="326"/>
      <c r="CU133" s="326"/>
      <c r="CV133" s="326"/>
      <c r="CW133" s="326"/>
      <c r="CX133" s="326"/>
      <c r="CY133" s="326"/>
      <c r="CZ133" s="326"/>
      <c r="DA133" s="326"/>
      <c r="DB133" s="326"/>
      <c r="DC133" s="326"/>
      <c r="DD133" s="326"/>
      <c r="DE133" s="326"/>
      <c r="DF133" s="326"/>
      <c r="DG133" s="326"/>
      <c r="DH133" s="326"/>
      <c r="DI133" s="326"/>
      <c r="DJ133" s="326"/>
      <c r="DK133" s="326"/>
      <c r="DL133" s="326"/>
      <c r="DM133" s="326"/>
      <c r="DN133" s="326"/>
      <c r="DO133" s="326"/>
      <c r="DP133" s="326"/>
      <c r="DQ133" s="326"/>
      <c r="DR133" s="326"/>
      <c r="DS133" s="326"/>
      <c r="DT133" s="326"/>
      <c r="DU133" s="326"/>
      <c r="DV133" s="326"/>
      <c r="DW133" s="326"/>
      <c r="DX133" s="326"/>
      <c r="DY133" s="326"/>
      <c r="DZ133" s="326"/>
      <c r="EA133" s="326"/>
      <c r="EB133" s="326"/>
      <c r="EC133" s="326"/>
      <c r="ED133" s="326"/>
      <c r="EE133" s="326"/>
      <c r="EF133" s="326"/>
      <c r="EG133" s="326"/>
      <c r="EH133" s="326"/>
      <c r="EI133" s="326"/>
      <c r="EJ133" s="326"/>
      <c r="EK133" s="326"/>
      <c r="EL133" s="326"/>
      <c r="EM133" s="326"/>
      <c r="EN133" s="326"/>
      <c r="EO133" s="326"/>
      <c r="EP133" s="326"/>
      <c r="EQ133" s="326"/>
      <c r="ER133" s="326"/>
      <c r="ES133" s="326"/>
      <c r="ET133" s="326"/>
      <c r="EU133" s="326"/>
      <c r="EV133" s="326"/>
      <c r="EW133" s="326"/>
      <c r="EX133" s="326"/>
      <c r="EY133" s="326"/>
      <c r="EZ133" s="326"/>
      <c r="FA133" s="326"/>
      <c r="FB133" s="326"/>
      <c r="FC133" s="326"/>
      <c r="FD133" s="326"/>
      <c r="FE133" s="326"/>
      <c r="FF133" s="326"/>
      <c r="FG133" s="326"/>
      <c r="FH133" s="326"/>
      <c r="FI133" s="326"/>
      <c r="FJ133" s="326"/>
      <c r="FK133" s="326"/>
      <c r="FL133" s="326"/>
      <c r="FM133" s="326"/>
      <c r="FN133" s="326"/>
      <c r="FO133" s="326"/>
      <c r="FP133" s="326"/>
      <c r="FQ133" s="326"/>
      <c r="FR133" s="326"/>
      <c r="FS133" s="326"/>
      <c r="FT133" s="326"/>
      <c r="FU133" s="326"/>
      <c r="FV133" s="326"/>
      <c r="FW133" s="326"/>
      <c r="FX133" s="326"/>
      <c r="FY133" s="326"/>
      <c r="FZ133" s="326"/>
      <c r="GA133" s="326"/>
      <c r="GB133" s="326"/>
      <c r="GC133" s="326"/>
      <c r="GD133" s="326"/>
      <c r="GE133" s="326"/>
      <c r="GF133" s="326"/>
      <c r="GG133" s="326"/>
      <c r="GH133" s="326"/>
      <c r="GI133" s="326"/>
      <c r="GJ133" s="326"/>
      <c r="GK133" s="326"/>
      <c r="GL133" s="326"/>
      <c r="GM133" s="326"/>
      <c r="GN133" s="326"/>
      <c r="GO133" s="326"/>
      <c r="GP133" s="326"/>
      <c r="GQ133" s="326"/>
      <c r="GR133" s="326"/>
      <c r="GS133" s="326"/>
      <c r="GT133" s="326"/>
      <c r="GU133" s="326"/>
      <c r="GV133" s="326"/>
      <c r="GW133" s="326"/>
      <c r="GX133" s="326"/>
      <c r="GY133" s="326"/>
      <c r="GZ133" s="326"/>
      <c r="HA133" s="326"/>
      <c r="HB133" s="326"/>
      <c r="HC133" s="326"/>
      <c r="HD133" s="326"/>
      <c r="HE133" s="326"/>
      <c r="HF133" s="326"/>
      <c r="HG133" s="326"/>
      <c r="HH133" s="326"/>
      <c r="HI133" s="326"/>
      <c r="HJ133" s="326"/>
      <c r="HK133" s="326"/>
      <c r="HL133" s="326"/>
      <c r="HM133" s="326"/>
      <c r="HN133" s="326"/>
      <c r="HO133" s="326"/>
      <c r="HP133" s="326"/>
      <c r="HQ133" s="326"/>
      <c r="HR133" s="326"/>
      <c r="HS133" s="326"/>
      <c r="HT133" s="326"/>
      <c r="HU133" s="326"/>
      <c r="HV133" s="326"/>
      <c r="HW133" s="326"/>
      <c r="HX133" s="326"/>
      <c r="HY133" s="326"/>
      <c r="HZ133" s="326"/>
      <c r="IA133" s="326"/>
      <c r="IB133" s="326"/>
      <c r="IC133" s="326"/>
      <c r="ID133" s="326"/>
      <c r="IE133" s="326"/>
      <c r="IF133" s="326"/>
      <c r="IG133" s="326"/>
      <c r="IH133" s="326"/>
      <c r="II133" s="326"/>
      <c r="IJ133" s="326"/>
      <c r="IK133" s="326"/>
      <c r="IL133" s="326"/>
      <c r="IM133" s="326"/>
      <c r="IN133" s="326"/>
      <c r="IO133" s="326"/>
      <c r="IP133" s="326"/>
      <c r="IQ133" s="326"/>
      <c r="IR133" s="326"/>
      <c r="IS133" s="326"/>
      <c r="IT133" s="326"/>
      <c r="IU133" s="326"/>
      <c r="IV133" s="326"/>
    </row>
    <row r="134" spans="1:256" s="560" customFormat="1" ht="18" customHeight="1">
      <c r="A134" s="574">
        <v>125</v>
      </c>
      <c r="B134" s="568"/>
      <c r="C134" s="327"/>
      <c r="D134" s="1151" t="s">
        <v>674</v>
      </c>
      <c r="E134" s="335"/>
      <c r="F134" s="335"/>
      <c r="G134" s="1329"/>
      <c r="H134" s="773"/>
      <c r="I134" s="1053"/>
      <c r="J134" s="1053"/>
      <c r="K134" s="1053"/>
      <c r="L134" s="1053"/>
      <c r="M134" s="1053"/>
      <c r="N134" s="789"/>
      <c r="O134" s="1307">
        <f aca="true" t="shared" si="0" ref="O134:O139">SUM(I134:N134)</f>
        <v>0</v>
      </c>
      <c r="P134" s="565"/>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6"/>
      <c r="AY134" s="326"/>
      <c r="AZ134" s="326"/>
      <c r="BA134" s="326"/>
      <c r="BB134" s="326"/>
      <c r="BC134" s="326"/>
      <c r="BD134" s="326"/>
      <c r="BE134" s="326"/>
      <c r="BF134" s="326"/>
      <c r="BG134" s="326"/>
      <c r="BH134" s="326"/>
      <c r="BI134" s="326"/>
      <c r="BJ134" s="326"/>
      <c r="BK134" s="326"/>
      <c r="BL134" s="326"/>
      <c r="BM134" s="326"/>
      <c r="BN134" s="326"/>
      <c r="BO134" s="326"/>
      <c r="BP134" s="326"/>
      <c r="BQ134" s="326"/>
      <c r="BR134" s="326"/>
      <c r="BS134" s="326"/>
      <c r="BT134" s="326"/>
      <c r="BU134" s="326"/>
      <c r="BV134" s="326"/>
      <c r="BW134" s="326"/>
      <c r="BX134" s="326"/>
      <c r="BY134" s="326"/>
      <c r="BZ134" s="326"/>
      <c r="CA134" s="326"/>
      <c r="CB134" s="326"/>
      <c r="CC134" s="326"/>
      <c r="CD134" s="326"/>
      <c r="CE134" s="326"/>
      <c r="CF134" s="326"/>
      <c r="CG134" s="326"/>
      <c r="CH134" s="326"/>
      <c r="CI134" s="326"/>
      <c r="CJ134" s="326"/>
      <c r="CK134" s="326"/>
      <c r="CL134" s="326"/>
      <c r="CM134" s="326"/>
      <c r="CN134" s="326"/>
      <c r="CO134" s="326"/>
      <c r="CP134" s="326"/>
      <c r="CQ134" s="326"/>
      <c r="CR134" s="326"/>
      <c r="CS134" s="326"/>
      <c r="CT134" s="326"/>
      <c r="CU134" s="326"/>
      <c r="CV134" s="326"/>
      <c r="CW134" s="326"/>
      <c r="CX134" s="326"/>
      <c r="CY134" s="326"/>
      <c r="CZ134" s="326"/>
      <c r="DA134" s="326"/>
      <c r="DB134" s="326"/>
      <c r="DC134" s="326"/>
      <c r="DD134" s="326"/>
      <c r="DE134" s="326"/>
      <c r="DF134" s="326"/>
      <c r="DG134" s="326"/>
      <c r="DH134" s="326"/>
      <c r="DI134" s="326"/>
      <c r="DJ134" s="326"/>
      <c r="DK134" s="326"/>
      <c r="DL134" s="326"/>
      <c r="DM134" s="326"/>
      <c r="DN134" s="326"/>
      <c r="DO134" s="326"/>
      <c r="DP134" s="326"/>
      <c r="DQ134" s="326"/>
      <c r="DR134" s="326"/>
      <c r="DS134" s="326"/>
      <c r="DT134" s="326"/>
      <c r="DU134" s="326"/>
      <c r="DV134" s="326"/>
      <c r="DW134" s="326"/>
      <c r="DX134" s="326"/>
      <c r="DY134" s="326"/>
      <c r="DZ134" s="326"/>
      <c r="EA134" s="326"/>
      <c r="EB134" s="326"/>
      <c r="EC134" s="326"/>
      <c r="ED134" s="326"/>
      <c r="EE134" s="326"/>
      <c r="EF134" s="326"/>
      <c r="EG134" s="326"/>
      <c r="EH134" s="326"/>
      <c r="EI134" s="326"/>
      <c r="EJ134" s="326"/>
      <c r="EK134" s="326"/>
      <c r="EL134" s="326"/>
      <c r="EM134" s="326"/>
      <c r="EN134" s="326"/>
      <c r="EO134" s="326"/>
      <c r="EP134" s="326"/>
      <c r="EQ134" s="326"/>
      <c r="ER134" s="326"/>
      <c r="ES134" s="326"/>
      <c r="ET134" s="326"/>
      <c r="EU134" s="326"/>
      <c r="EV134" s="326"/>
      <c r="EW134" s="326"/>
      <c r="EX134" s="326"/>
      <c r="EY134" s="326"/>
      <c r="EZ134" s="326"/>
      <c r="FA134" s="326"/>
      <c r="FB134" s="326"/>
      <c r="FC134" s="326"/>
      <c r="FD134" s="326"/>
      <c r="FE134" s="326"/>
      <c r="FF134" s="326"/>
      <c r="FG134" s="326"/>
      <c r="FH134" s="326"/>
      <c r="FI134" s="326"/>
      <c r="FJ134" s="326"/>
      <c r="FK134" s="326"/>
      <c r="FL134" s="326"/>
      <c r="FM134" s="326"/>
      <c r="FN134" s="326"/>
      <c r="FO134" s="326"/>
      <c r="FP134" s="326"/>
      <c r="FQ134" s="326"/>
      <c r="FR134" s="326"/>
      <c r="FS134" s="326"/>
      <c r="FT134" s="326"/>
      <c r="FU134" s="326"/>
      <c r="FV134" s="326"/>
      <c r="FW134" s="326"/>
      <c r="FX134" s="326"/>
      <c r="FY134" s="326"/>
      <c r="FZ134" s="326"/>
      <c r="GA134" s="326"/>
      <c r="GB134" s="326"/>
      <c r="GC134" s="326"/>
      <c r="GD134" s="326"/>
      <c r="GE134" s="326"/>
      <c r="GF134" s="326"/>
      <c r="GG134" s="326"/>
      <c r="GH134" s="326"/>
      <c r="GI134" s="326"/>
      <c r="GJ134" s="326"/>
      <c r="GK134" s="326"/>
      <c r="GL134" s="326"/>
      <c r="GM134" s="326"/>
      <c r="GN134" s="326"/>
      <c r="GO134" s="326"/>
      <c r="GP134" s="326"/>
      <c r="GQ134" s="326"/>
      <c r="GR134" s="326"/>
      <c r="GS134" s="326"/>
      <c r="GT134" s="326"/>
      <c r="GU134" s="326"/>
      <c r="GV134" s="326"/>
      <c r="GW134" s="326"/>
      <c r="GX134" s="326"/>
      <c r="GY134" s="326"/>
      <c r="GZ134" s="326"/>
      <c r="HA134" s="326"/>
      <c r="HB134" s="326"/>
      <c r="HC134" s="326"/>
      <c r="HD134" s="326"/>
      <c r="HE134" s="326"/>
      <c r="HF134" s="326"/>
      <c r="HG134" s="326"/>
      <c r="HH134" s="326"/>
      <c r="HI134" s="326"/>
      <c r="HJ134" s="326"/>
      <c r="HK134" s="326"/>
      <c r="HL134" s="326"/>
      <c r="HM134" s="326"/>
      <c r="HN134" s="326"/>
      <c r="HO134" s="326"/>
      <c r="HP134" s="326"/>
      <c r="HQ134" s="326"/>
      <c r="HR134" s="326"/>
      <c r="HS134" s="326"/>
      <c r="HT134" s="326"/>
      <c r="HU134" s="326"/>
      <c r="HV134" s="326"/>
      <c r="HW134" s="326"/>
      <c r="HX134" s="326"/>
      <c r="HY134" s="326"/>
      <c r="HZ134" s="326"/>
      <c r="IA134" s="326"/>
      <c r="IB134" s="326"/>
      <c r="IC134" s="326"/>
      <c r="ID134" s="326"/>
      <c r="IE134" s="326"/>
      <c r="IF134" s="326"/>
      <c r="IG134" s="326"/>
      <c r="IH134" s="326"/>
      <c r="II134" s="326"/>
      <c r="IJ134" s="326"/>
      <c r="IK134" s="326"/>
      <c r="IL134" s="326"/>
      <c r="IM134" s="326"/>
      <c r="IN134" s="326"/>
      <c r="IO134" s="326"/>
      <c r="IP134" s="326"/>
      <c r="IQ134" s="326"/>
      <c r="IR134" s="326"/>
      <c r="IS134" s="326"/>
      <c r="IT134" s="326"/>
      <c r="IU134" s="326"/>
      <c r="IV134" s="326"/>
    </row>
    <row r="135" spans="1:256" s="560" customFormat="1" ht="18" customHeight="1">
      <c r="A135" s="574">
        <v>126</v>
      </c>
      <c r="B135" s="568"/>
      <c r="C135" s="327"/>
      <c r="D135" s="260" t="s">
        <v>1091</v>
      </c>
      <c r="E135" s="335"/>
      <c r="F135" s="335"/>
      <c r="G135" s="1329"/>
      <c r="H135" s="773"/>
      <c r="I135" s="1053"/>
      <c r="J135" s="1053"/>
      <c r="K135" s="1020">
        <f>SUM(K133:K134)</f>
        <v>1500</v>
      </c>
      <c r="L135" s="1053"/>
      <c r="M135" s="1053"/>
      <c r="N135" s="789"/>
      <c r="O135" s="569">
        <f t="shared" si="0"/>
        <v>1500</v>
      </c>
      <c r="P135" s="565"/>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6"/>
      <c r="AZ135" s="326"/>
      <c r="BA135" s="326"/>
      <c r="BB135" s="326"/>
      <c r="BC135" s="326"/>
      <c r="BD135" s="326"/>
      <c r="BE135" s="326"/>
      <c r="BF135" s="326"/>
      <c r="BG135" s="326"/>
      <c r="BH135" s="326"/>
      <c r="BI135" s="326"/>
      <c r="BJ135" s="326"/>
      <c r="BK135" s="326"/>
      <c r="BL135" s="326"/>
      <c r="BM135" s="326"/>
      <c r="BN135" s="326"/>
      <c r="BO135" s="326"/>
      <c r="BP135" s="326"/>
      <c r="BQ135" s="326"/>
      <c r="BR135" s="326"/>
      <c r="BS135" s="326"/>
      <c r="BT135" s="326"/>
      <c r="BU135" s="326"/>
      <c r="BV135" s="326"/>
      <c r="BW135" s="326"/>
      <c r="BX135" s="326"/>
      <c r="BY135" s="326"/>
      <c r="BZ135" s="326"/>
      <c r="CA135" s="326"/>
      <c r="CB135" s="326"/>
      <c r="CC135" s="326"/>
      <c r="CD135" s="326"/>
      <c r="CE135" s="326"/>
      <c r="CF135" s="326"/>
      <c r="CG135" s="326"/>
      <c r="CH135" s="326"/>
      <c r="CI135" s="326"/>
      <c r="CJ135" s="326"/>
      <c r="CK135" s="326"/>
      <c r="CL135" s="326"/>
      <c r="CM135" s="326"/>
      <c r="CN135" s="326"/>
      <c r="CO135" s="326"/>
      <c r="CP135" s="326"/>
      <c r="CQ135" s="326"/>
      <c r="CR135" s="326"/>
      <c r="CS135" s="326"/>
      <c r="CT135" s="326"/>
      <c r="CU135" s="326"/>
      <c r="CV135" s="326"/>
      <c r="CW135" s="326"/>
      <c r="CX135" s="326"/>
      <c r="CY135" s="326"/>
      <c r="CZ135" s="326"/>
      <c r="DA135" s="326"/>
      <c r="DB135" s="326"/>
      <c r="DC135" s="326"/>
      <c r="DD135" s="326"/>
      <c r="DE135" s="326"/>
      <c r="DF135" s="326"/>
      <c r="DG135" s="326"/>
      <c r="DH135" s="326"/>
      <c r="DI135" s="326"/>
      <c r="DJ135" s="326"/>
      <c r="DK135" s="326"/>
      <c r="DL135" s="326"/>
      <c r="DM135" s="326"/>
      <c r="DN135" s="326"/>
      <c r="DO135" s="326"/>
      <c r="DP135" s="326"/>
      <c r="DQ135" s="326"/>
      <c r="DR135" s="326"/>
      <c r="DS135" s="326"/>
      <c r="DT135" s="326"/>
      <c r="DU135" s="326"/>
      <c r="DV135" s="326"/>
      <c r="DW135" s="326"/>
      <c r="DX135" s="326"/>
      <c r="DY135" s="326"/>
      <c r="DZ135" s="326"/>
      <c r="EA135" s="326"/>
      <c r="EB135" s="326"/>
      <c r="EC135" s="326"/>
      <c r="ED135" s="326"/>
      <c r="EE135" s="326"/>
      <c r="EF135" s="326"/>
      <c r="EG135" s="326"/>
      <c r="EH135" s="326"/>
      <c r="EI135" s="326"/>
      <c r="EJ135" s="326"/>
      <c r="EK135" s="326"/>
      <c r="EL135" s="326"/>
      <c r="EM135" s="326"/>
      <c r="EN135" s="326"/>
      <c r="EO135" s="326"/>
      <c r="EP135" s="326"/>
      <c r="EQ135" s="326"/>
      <c r="ER135" s="326"/>
      <c r="ES135" s="326"/>
      <c r="ET135" s="326"/>
      <c r="EU135" s="326"/>
      <c r="EV135" s="326"/>
      <c r="EW135" s="326"/>
      <c r="EX135" s="326"/>
      <c r="EY135" s="326"/>
      <c r="EZ135" s="326"/>
      <c r="FA135" s="326"/>
      <c r="FB135" s="326"/>
      <c r="FC135" s="326"/>
      <c r="FD135" s="326"/>
      <c r="FE135" s="326"/>
      <c r="FF135" s="326"/>
      <c r="FG135" s="326"/>
      <c r="FH135" s="326"/>
      <c r="FI135" s="326"/>
      <c r="FJ135" s="326"/>
      <c r="FK135" s="326"/>
      <c r="FL135" s="326"/>
      <c r="FM135" s="326"/>
      <c r="FN135" s="326"/>
      <c r="FO135" s="326"/>
      <c r="FP135" s="326"/>
      <c r="FQ135" s="326"/>
      <c r="FR135" s="326"/>
      <c r="FS135" s="326"/>
      <c r="FT135" s="326"/>
      <c r="FU135" s="326"/>
      <c r="FV135" s="326"/>
      <c r="FW135" s="326"/>
      <c r="FX135" s="326"/>
      <c r="FY135" s="326"/>
      <c r="FZ135" s="326"/>
      <c r="GA135" s="326"/>
      <c r="GB135" s="326"/>
      <c r="GC135" s="326"/>
      <c r="GD135" s="326"/>
      <c r="GE135" s="326"/>
      <c r="GF135" s="326"/>
      <c r="GG135" s="326"/>
      <c r="GH135" s="326"/>
      <c r="GI135" s="326"/>
      <c r="GJ135" s="326"/>
      <c r="GK135" s="326"/>
      <c r="GL135" s="326"/>
      <c r="GM135" s="326"/>
      <c r="GN135" s="326"/>
      <c r="GO135" s="326"/>
      <c r="GP135" s="326"/>
      <c r="GQ135" s="326"/>
      <c r="GR135" s="326"/>
      <c r="GS135" s="326"/>
      <c r="GT135" s="326"/>
      <c r="GU135" s="326"/>
      <c r="GV135" s="326"/>
      <c r="GW135" s="326"/>
      <c r="GX135" s="326"/>
      <c r="GY135" s="326"/>
      <c r="GZ135" s="326"/>
      <c r="HA135" s="326"/>
      <c r="HB135" s="326"/>
      <c r="HC135" s="326"/>
      <c r="HD135" s="326"/>
      <c r="HE135" s="326"/>
      <c r="HF135" s="326"/>
      <c r="HG135" s="326"/>
      <c r="HH135" s="326"/>
      <c r="HI135" s="326"/>
      <c r="HJ135" s="326"/>
      <c r="HK135" s="326"/>
      <c r="HL135" s="326"/>
      <c r="HM135" s="326"/>
      <c r="HN135" s="326"/>
      <c r="HO135" s="326"/>
      <c r="HP135" s="326"/>
      <c r="HQ135" s="326"/>
      <c r="HR135" s="326"/>
      <c r="HS135" s="326"/>
      <c r="HT135" s="326"/>
      <c r="HU135" s="326"/>
      <c r="HV135" s="326"/>
      <c r="HW135" s="326"/>
      <c r="HX135" s="326"/>
      <c r="HY135" s="326"/>
      <c r="HZ135" s="326"/>
      <c r="IA135" s="326"/>
      <c r="IB135" s="326"/>
      <c r="IC135" s="326"/>
      <c r="ID135" s="326"/>
      <c r="IE135" s="326"/>
      <c r="IF135" s="326"/>
      <c r="IG135" s="326"/>
      <c r="IH135" s="326"/>
      <c r="II135" s="326"/>
      <c r="IJ135" s="326"/>
      <c r="IK135" s="326"/>
      <c r="IL135" s="326"/>
      <c r="IM135" s="326"/>
      <c r="IN135" s="326"/>
      <c r="IO135" s="326"/>
      <c r="IP135" s="326"/>
      <c r="IQ135" s="326"/>
      <c r="IR135" s="326"/>
      <c r="IS135" s="326"/>
      <c r="IT135" s="326"/>
      <c r="IU135" s="326"/>
      <c r="IV135" s="326"/>
    </row>
    <row r="136" spans="1:256" s="560" customFormat="1" ht="38.25" customHeight="1">
      <c r="A136" s="574">
        <v>127</v>
      </c>
      <c r="B136" s="568"/>
      <c r="C136" s="327">
        <v>26</v>
      </c>
      <c r="D136" s="792" t="s">
        <v>898</v>
      </c>
      <c r="E136" s="335">
        <f>F136+G136+O139+P137+4436</f>
        <v>28317</v>
      </c>
      <c r="F136" s="335"/>
      <c r="G136" s="1329"/>
      <c r="H136" s="773" t="s">
        <v>23</v>
      </c>
      <c r="I136" s="1053"/>
      <c r="J136" s="1053"/>
      <c r="K136" s="1020"/>
      <c r="L136" s="1053"/>
      <c r="M136" s="1053"/>
      <c r="N136" s="789"/>
      <c r="O136" s="1462"/>
      <c r="P136" s="565"/>
      <c r="Q136" s="326"/>
      <c r="R136" s="326"/>
      <c r="S136" s="326"/>
      <c r="T136" s="326"/>
      <c r="U136" s="326"/>
      <c r="V136" s="326"/>
      <c r="W136" s="326"/>
      <c r="X136" s="326"/>
      <c r="Y136" s="326"/>
      <c r="Z136" s="326"/>
      <c r="AA136" s="326"/>
      <c r="AB136" s="326"/>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c r="BB136" s="326"/>
      <c r="BC136" s="326"/>
      <c r="BD136" s="326"/>
      <c r="BE136" s="326"/>
      <c r="BF136" s="326"/>
      <c r="BG136" s="326"/>
      <c r="BH136" s="326"/>
      <c r="BI136" s="326"/>
      <c r="BJ136" s="326"/>
      <c r="BK136" s="326"/>
      <c r="BL136" s="326"/>
      <c r="BM136" s="326"/>
      <c r="BN136" s="326"/>
      <c r="BO136" s="326"/>
      <c r="BP136" s="326"/>
      <c r="BQ136" s="326"/>
      <c r="BR136" s="326"/>
      <c r="BS136" s="326"/>
      <c r="BT136" s="326"/>
      <c r="BU136" s="326"/>
      <c r="BV136" s="326"/>
      <c r="BW136" s="326"/>
      <c r="BX136" s="326"/>
      <c r="BY136" s="326"/>
      <c r="BZ136" s="326"/>
      <c r="CA136" s="326"/>
      <c r="CB136" s="326"/>
      <c r="CC136" s="326"/>
      <c r="CD136" s="326"/>
      <c r="CE136" s="326"/>
      <c r="CF136" s="326"/>
      <c r="CG136" s="326"/>
      <c r="CH136" s="326"/>
      <c r="CI136" s="326"/>
      <c r="CJ136" s="326"/>
      <c r="CK136" s="326"/>
      <c r="CL136" s="326"/>
      <c r="CM136" s="326"/>
      <c r="CN136" s="326"/>
      <c r="CO136" s="326"/>
      <c r="CP136" s="326"/>
      <c r="CQ136" s="326"/>
      <c r="CR136" s="326"/>
      <c r="CS136" s="326"/>
      <c r="CT136" s="326"/>
      <c r="CU136" s="326"/>
      <c r="CV136" s="326"/>
      <c r="CW136" s="326"/>
      <c r="CX136" s="326"/>
      <c r="CY136" s="326"/>
      <c r="CZ136" s="326"/>
      <c r="DA136" s="326"/>
      <c r="DB136" s="326"/>
      <c r="DC136" s="326"/>
      <c r="DD136" s="326"/>
      <c r="DE136" s="326"/>
      <c r="DF136" s="326"/>
      <c r="DG136" s="326"/>
      <c r="DH136" s="326"/>
      <c r="DI136" s="326"/>
      <c r="DJ136" s="326"/>
      <c r="DK136" s="326"/>
      <c r="DL136" s="326"/>
      <c r="DM136" s="326"/>
      <c r="DN136" s="326"/>
      <c r="DO136" s="326"/>
      <c r="DP136" s="326"/>
      <c r="DQ136" s="326"/>
      <c r="DR136" s="326"/>
      <c r="DS136" s="326"/>
      <c r="DT136" s="326"/>
      <c r="DU136" s="326"/>
      <c r="DV136" s="326"/>
      <c r="DW136" s="326"/>
      <c r="DX136" s="326"/>
      <c r="DY136" s="326"/>
      <c r="DZ136" s="326"/>
      <c r="EA136" s="326"/>
      <c r="EB136" s="326"/>
      <c r="EC136" s="326"/>
      <c r="ED136" s="326"/>
      <c r="EE136" s="326"/>
      <c r="EF136" s="326"/>
      <c r="EG136" s="326"/>
      <c r="EH136" s="326"/>
      <c r="EI136" s="326"/>
      <c r="EJ136" s="326"/>
      <c r="EK136" s="326"/>
      <c r="EL136" s="326"/>
      <c r="EM136" s="326"/>
      <c r="EN136" s="326"/>
      <c r="EO136" s="326"/>
      <c r="EP136" s="326"/>
      <c r="EQ136" s="326"/>
      <c r="ER136" s="326"/>
      <c r="ES136" s="326"/>
      <c r="ET136" s="326"/>
      <c r="EU136" s="326"/>
      <c r="EV136" s="326"/>
      <c r="EW136" s="326"/>
      <c r="EX136" s="326"/>
      <c r="EY136" s="326"/>
      <c r="EZ136" s="326"/>
      <c r="FA136" s="326"/>
      <c r="FB136" s="326"/>
      <c r="FC136" s="326"/>
      <c r="FD136" s="326"/>
      <c r="FE136" s="326"/>
      <c r="FF136" s="326"/>
      <c r="FG136" s="326"/>
      <c r="FH136" s="326"/>
      <c r="FI136" s="326"/>
      <c r="FJ136" s="326"/>
      <c r="FK136" s="326"/>
      <c r="FL136" s="326"/>
      <c r="FM136" s="326"/>
      <c r="FN136" s="326"/>
      <c r="FO136" s="326"/>
      <c r="FP136" s="326"/>
      <c r="FQ136" s="326"/>
      <c r="FR136" s="326"/>
      <c r="FS136" s="326"/>
      <c r="FT136" s="326"/>
      <c r="FU136" s="326"/>
      <c r="FV136" s="326"/>
      <c r="FW136" s="326"/>
      <c r="FX136" s="326"/>
      <c r="FY136" s="326"/>
      <c r="FZ136" s="326"/>
      <c r="GA136" s="326"/>
      <c r="GB136" s="326"/>
      <c r="GC136" s="326"/>
      <c r="GD136" s="326"/>
      <c r="GE136" s="326"/>
      <c r="GF136" s="326"/>
      <c r="GG136" s="326"/>
      <c r="GH136" s="326"/>
      <c r="GI136" s="326"/>
      <c r="GJ136" s="326"/>
      <c r="GK136" s="326"/>
      <c r="GL136" s="326"/>
      <c r="GM136" s="326"/>
      <c r="GN136" s="326"/>
      <c r="GO136" s="326"/>
      <c r="GP136" s="326"/>
      <c r="GQ136" s="326"/>
      <c r="GR136" s="326"/>
      <c r="GS136" s="326"/>
      <c r="GT136" s="326"/>
      <c r="GU136" s="326"/>
      <c r="GV136" s="326"/>
      <c r="GW136" s="326"/>
      <c r="GX136" s="326"/>
      <c r="GY136" s="326"/>
      <c r="GZ136" s="326"/>
      <c r="HA136" s="326"/>
      <c r="HB136" s="326"/>
      <c r="HC136" s="326"/>
      <c r="HD136" s="326"/>
      <c r="HE136" s="326"/>
      <c r="HF136" s="326"/>
      <c r="HG136" s="326"/>
      <c r="HH136" s="326"/>
      <c r="HI136" s="326"/>
      <c r="HJ136" s="326"/>
      <c r="HK136" s="326"/>
      <c r="HL136" s="326"/>
      <c r="HM136" s="326"/>
      <c r="HN136" s="326"/>
      <c r="HO136" s="326"/>
      <c r="HP136" s="326"/>
      <c r="HQ136" s="326"/>
      <c r="HR136" s="326"/>
      <c r="HS136" s="326"/>
      <c r="HT136" s="326"/>
      <c r="HU136" s="326"/>
      <c r="HV136" s="326"/>
      <c r="HW136" s="326"/>
      <c r="HX136" s="326"/>
      <c r="HY136" s="326"/>
      <c r="HZ136" s="326"/>
      <c r="IA136" s="326"/>
      <c r="IB136" s="326"/>
      <c r="IC136" s="326"/>
      <c r="ID136" s="326"/>
      <c r="IE136" s="326"/>
      <c r="IF136" s="326"/>
      <c r="IG136" s="326"/>
      <c r="IH136" s="326"/>
      <c r="II136" s="326"/>
      <c r="IJ136" s="326"/>
      <c r="IK136" s="326"/>
      <c r="IL136" s="326"/>
      <c r="IM136" s="326"/>
      <c r="IN136" s="326"/>
      <c r="IO136" s="326"/>
      <c r="IP136" s="326"/>
      <c r="IQ136" s="326"/>
      <c r="IR136" s="326"/>
      <c r="IS136" s="326"/>
      <c r="IT136" s="326"/>
      <c r="IU136" s="326"/>
      <c r="IV136" s="326"/>
    </row>
    <row r="137" spans="1:256" s="560" customFormat="1" ht="18" customHeight="1">
      <c r="A137" s="574">
        <v>128</v>
      </c>
      <c r="B137" s="568"/>
      <c r="C137" s="327"/>
      <c r="D137" s="483" t="s">
        <v>938</v>
      </c>
      <c r="E137" s="335"/>
      <c r="F137" s="335"/>
      <c r="G137" s="1329"/>
      <c r="H137" s="773"/>
      <c r="I137" s="1053"/>
      <c r="J137" s="1053"/>
      <c r="K137" s="1020">
        <v>4000</v>
      </c>
      <c r="L137" s="1053"/>
      <c r="M137" s="1053"/>
      <c r="N137" s="789"/>
      <c r="O137" s="569">
        <f t="shared" si="0"/>
        <v>4000</v>
      </c>
      <c r="P137" s="565">
        <v>19881</v>
      </c>
      <c r="Q137" s="326"/>
      <c r="R137" s="326"/>
      <c r="S137" s="326"/>
      <c r="T137" s="326"/>
      <c r="U137" s="326"/>
      <c r="V137" s="326"/>
      <c r="W137" s="326"/>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R137" s="326"/>
      <c r="AS137" s="326"/>
      <c r="AT137" s="326"/>
      <c r="AU137" s="326"/>
      <c r="AV137" s="326"/>
      <c r="AW137" s="326"/>
      <c r="AX137" s="326"/>
      <c r="AY137" s="326"/>
      <c r="AZ137" s="326"/>
      <c r="BA137" s="326"/>
      <c r="BB137" s="326"/>
      <c r="BC137" s="326"/>
      <c r="BD137" s="326"/>
      <c r="BE137" s="326"/>
      <c r="BF137" s="326"/>
      <c r="BG137" s="326"/>
      <c r="BH137" s="326"/>
      <c r="BI137" s="326"/>
      <c r="BJ137" s="326"/>
      <c r="BK137" s="326"/>
      <c r="BL137" s="326"/>
      <c r="BM137" s="326"/>
      <c r="BN137" s="326"/>
      <c r="BO137" s="326"/>
      <c r="BP137" s="326"/>
      <c r="BQ137" s="326"/>
      <c r="BR137" s="326"/>
      <c r="BS137" s="326"/>
      <c r="BT137" s="326"/>
      <c r="BU137" s="326"/>
      <c r="BV137" s="326"/>
      <c r="BW137" s="326"/>
      <c r="BX137" s="326"/>
      <c r="BY137" s="326"/>
      <c r="BZ137" s="326"/>
      <c r="CA137" s="326"/>
      <c r="CB137" s="326"/>
      <c r="CC137" s="326"/>
      <c r="CD137" s="326"/>
      <c r="CE137" s="326"/>
      <c r="CF137" s="326"/>
      <c r="CG137" s="326"/>
      <c r="CH137" s="326"/>
      <c r="CI137" s="326"/>
      <c r="CJ137" s="326"/>
      <c r="CK137" s="326"/>
      <c r="CL137" s="326"/>
      <c r="CM137" s="326"/>
      <c r="CN137" s="326"/>
      <c r="CO137" s="326"/>
      <c r="CP137" s="326"/>
      <c r="CQ137" s="326"/>
      <c r="CR137" s="326"/>
      <c r="CS137" s="326"/>
      <c r="CT137" s="326"/>
      <c r="CU137" s="326"/>
      <c r="CV137" s="326"/>
      <c r="CW137" s="326"/>
      <c r="CX137" s="326"/>
      <c r="CY137" s="326"/>
      <c r="CZ137" s="326"/>
      <c r="DA137" s="326"/>
      <c r="DB137" s="326"/>
      <c r="DC137" s="326"/>
      <c r="DD137" s="326"/>
      <c r="DE137" s="326"/>
      <c r="DF137" s="326"/>
      <c r="DG137" s="326"/>
      <c r="DH137" s="326"/>
      <c r="DI137" s="326"/>
      <c r="DJ137" s="326"/>
      <c r="DK137" s="326"/>
      <c r="DL137" s="326"/>
      <c r="DM137" s="326"/>
      <c r="DN137" s="326"/>
      <c r="DO137" s="326"/>
      <c r="DP137" s="326"/>
      <c r="DQ137" s="326"/>
      <c r="DR137" s="326"/>
      <c r="DS137" s="326"/>
      <c r="DT137" s="326"/>
      <c r="DU137" s="326"/>
      <c r="DV137" s="326"/>
      <c r="DW137" s="326"/>
      <c r="DX137" s="326"/>
      <c r="DY137" s="326"/>
      <c r="DZ137" s="326"/>
      <c r="EA137" s="326"/>
      <c r="EB137" s="326"/>
      <c r="EC137" s="326"/>
      <c r="ED137" s="326"/>
      <c r="EE137" s="326"/>
      <c r="EF137" s="326"/>
      <c r="EG137" s="326"/>
      <c r="EH137" s="326"/>
      <c r="EI137" s="326"/>
      <c r="EJ137" s="326"/>
      <c r="EK137" s="326"/>
      <c r="EL137" s="326"/>
      <c r="EM137" s="326"/>
      <c r="EN137" s="326"/>
      <c r="EO137" s="326"/>
      <c r="EP137" s="326"/>
      <c r="EQ137" s="326"/>
      <c r="ER137" s="326"/>
      <c r="ES137" s="326"/>
      <c r="ET137" s="326"/>
      <c r="EU137" s="326"/>
      <c r="EV137" s="326"/>
      <c r="EW137" s="326"/>
      <c r="EX137" s="326"/>
      <c r="EY137" s="326"/>
      <c r="EZ137" s="326"/>
      <c r="FA137" s="326"/>
      <c r="FB137" s="326"/>
      <c r="FC137" s="326"/>
      <c r="FD137" s="326"/>
      <c r="FE137" s="326"/>
      <c r="FF137" s="326"/>
      <c r="FG137" s="326"/>
      <c r="FH137" s="326"/>
      <c r="FI137" s="326"/>
      <c r="FJ137" s="326"/>
      <c r="FK137" s="326"/>
      <c r="FL137" s="326"/>
      <c r="FM137" s="326"/>
      <c r="FN137" s="326"/>
      <c r="FO137" s="326"/>
      <c r="FP137" s="326"/>
      <c r="FQ137" s="326"/>
      <c r="FR137" s="326"/>
      <c r="FS137" s="326"/>
      <c r="FT137" s="326"/>
      <c r="FU137" s="326"/>
      <c r="FV137" s="326"/>
      <c r="FW137" s="326"/>
      <c r="FX137" s="326"/>
      <c r="FY137" s="326"/>
      <c r="FZ137" s="326"/>
      <c r="GA137" s="326"/>
      <c r="GB137" s="326"/>
      <c r="GC137" s="326"/>
      <c r="GD137" s="326"/>
      <c r="GE137" s="326"/>
      <c r="GF137" s="326"/>
      <c r="GG137" s="326"/>
      <c r="GH137" s="326"/>
      <c r="GI137" s="326"/>
      <c r="GJ137" s="326"/>
      <c r="GK137" s="326"/>
      <c r="GL137" s="326"/>
      <c r="GM137" s="326"/>
      <c r="GN137" s="326"/>
      <c r="GO137" s="326"/>
      <c r="GP137" s="326"/>
      <c r="GQ137" s="326"/>
      <c r="GR137" s="326"/>
      <c r="GS137" s="326"/>
      <c r="GT137" s="326"/>
      <c r="GU137" s="326"/>
      <c r="GV137" s="326"/>
      <c r="GW137" s="326"/>
      <c r="GX137" s="326"/>
      <c r="GY137" s="326"/>
      <c r="GZ137" s="326"/>
      <c r="HA137" s="326"/>
      <c r="HB137" s="326"/>
      <c r="HC137" s="326"/>
      <c r="HD137" s="326"/>
      <c r="HE137" s="326"/>
      <c r="HF137" s="326"/>
      <c r="HG137" s="326"/>
      <c r="HH137" s="326"/>
      <c r="HI137" s="326"/>
      <c r="HJ137" s="326"/>
      <c r="HK137" s="326"/>
      <c r="HL137" s="326"/>
      <c r="HM137" s="326"/>
      <c r="HN137" s="326"/>
      <c r="HO137" s="326"/>
      <c r="HP137" s="326"/>
      <c r="HQ137" s="326"/>
      <c r="HR137" s="326"/>
      <c r="HS137" s="326"/>
      <c r="HT137" s="326"/>
      <c r="HU137" s="326"/>
      <c r="HV137" s="326"/>
      <c r="HW137" s="326"/>
      <c r="HX137" s="326"/>
      <c r="HY137" s="326"/>
      <c r="HZ137" s="326"/>
      <c r="IA137" s="326"/>
      <c r="IB137" s="326"/>
      <c r="IC137" s="326"/>
      <c r="ID137" s="326"/>
      <c r="IE137" s="326"/>
      <c r="IF137" s="326"/>
      <c r="IG137" s="326"/>
      <c r="IH137" s="326"/>
      <c r="II137" s="326"/>
      <c r="IJ137" s="326"/>
      <c r="IK137" s="326"/>
      <c r="IL137" s="326"/>
      <c r="IM137" s="326"/>
      <c r="IN137" s="326"/>
      <c r="IO137" s="326"/>
      <c r="IP137" s="326"/>
      <c r="IQ137" s="326"/>
      <c r="IR137" s="326"/>
      <c r="IS137" s="326"/>
      <c r="IT137" s="326"/>
      <c r="IU137" s="326"/>
      <c r="IV137" s="326"/>
    </row>
    <row r="138" spans="1:256" s="560" customFormat="1" ht="18" customHeight="1">
      <c r="A138" s="574">
        <v>129</v>
      </c>
      <c r="B138" s="568"/>
      <c r="C138" s="327"/>
      <c r="D138" s="1151" t="s">
        <v>725</v>
      </c>
      <c r="E138" s="335"/>
      <c r="F138" s="335"/>
      <c r="G138" s="1329"/>
      <c r="H138" s="773"/>
      <c r="I138" s="1053"/>
      <c r="J138" s="1053"/>
      <c r="K138" s="1466"/>
      <c r="L138" s="1053"/>
      <c r="M138" s="1466"/>
      <c r="N138" s="789"/>
      <c r="O138" s="1327">
        <f t="shared" si="0"/>
        <v>0</v>
      </c>
      <c r="P138" s="565"/>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6"/>
      <c r="BP138" s="326"/>
      <c r="BQ138" s="326"/>
      <c r="BR138" s="326"/>
      <c r="BS138" s="326"/>
      <c r="BT138" s="326"/>
      <c r="BU138" s="326"/>
      <c r="BV138" s="326"/>
      <c r="BW138" s="326"/>
      <c r="BX138" s="326"/>
      <c r="BY138" s="326"/>
      <c r="BZ138" s="326"/>
      <c r="CA138" s="326"/>
      <c r="CB138" s="326"/>
      <c r="CC138" s="326"/>
      <c r="CD138" s="326"/>
      <c r="CE138" s="326"/>
      <c r="CF138" s="326"/>
      <c r="CG138" s="326"/>
      <c r="CH138" s="326"/>
      <c r="CI138" s="326"/>
      <c r="CJ138" s="326"/>
      <c r="CK138" s="326"/>
      <c r="CL138" s="326"/>
      <c r="CM138" s="326"/>
      <c r="CN138" s="326"/>
      <c r="CO138" s="326"/>
      <c r="CP138" s="326"/>
      <c r="CQ138" s="326"/>
      <c r="CR138" s="326"/>
      <c r="CS138" s="326"/>
      <c r="CT138" s="326"/>
      <c r="CU138" s="326"/>
      <c r="CV138" s="326"/>
      <c r="CW138" s="326"/>
      <c r="CX138" s="326"/>
      <c r="CY138" s="326"/>
      <c r="CZ138" s="326"/>
      <c r="DA138" s="326"/>
      <c r="DB138" s="326"/>
      <c r="DC138" s="326"/>
      <c r="DD138" s="326"/>
      <c r="DE138" s="326"/>
      <c r="DF138" s="326"/>
      <c r="DG138" s="326"/>
      <c r="DH138" s="326"/>
      <c r="DI138" s="326"/>
      <c r="DJ138" s="326"/>
      <c r="DK138" s="326"/>
      <c r="DL138" s="326"/>
      <c r="DM138" s="326"/>
      <c r="DN138" s="326"/>
      <c r="DO138" s="326"/>
      <c r="DP138" s="326"/>
      <c r="DQ138" s="326"/>
      <c r="DR138" s="326"/>
      <c r="DS138" s="326"/>
      <c r="DT138" s="326"/>
      <c r="DU138" s="326"/>
      <c r="DV138" s="326"/>
      <c r="DW138" s="326"/>
      <c r="DX138" s="326"/>
      <c r="DY138" s="326"/>
      <c r="DZ138" s="326"/>
      <c r="EA138" s="326"/>
      <c r="EB138" s="326"/>
      <c r="EC138" s="326"/>
      <c r="ED138" s="326"/>
      <c r="EE138" s="326"/>
      <c r="EF138" s="326"/>
      <c r="EG138" s="326"/>
      <c r="EH138" s="326"/>
      <c r="EI138" s="326"/>
      <c r="EJ138" s="326"/>
      <c r="EK138" s="326"/>
      <c r="EL138" s="326"/>
      <c r="EM138" s="326"/>
      <c r="EN138" s="326"/>
      <c r="EO138" s="326"/>
      <c r="EP138" s="326"/>
      <c r="EQ138" s="326"/>
      <c r="ER138" s="326"/>
      <c r="ES138" s="326"/>
      <c r="ET138" s="326"/>
      <c r="EU138" s="326"/>
      <c r="EV138" s="326"/>
      <c r="EW138" s="326"/>
      <c r="EX138" s="326"/>
      <c r="EY138" s="326"/>
      <c r="EZ138" s="326"/>
      <c r="FA138" s="326"/>
      <c r="FB138" s="326"/>
      <c r="FC138" s="326"/>
      <c r="FD138" s="326"/>
      <c r="FE138" s="326"/>
      <c r="FF138" s="326"/>
      <c r="FG138" s="326"/>
      <c r="FH138" s="326"/>
      <c r="FI138" s="326"/>
      <c r="FJ138" s="326"/>
      <c r="FK138" s="326"/>
      <c r="FL138" s="326"/>
      <c r="FM138" s="326"/>
      <c r="FN138" s="326"/>
      <c r="FO138" s="326"/>
      <c r="FP138" s="326"/>
      <c r="FQ138" s="326"/>
      <c r="FR138" s="326"/>
      <c r="FS138" s="326"/>
      <c r="FT138" s="326"/>
      <c r="FU138" s="326"/>
      <c r="FV138" s="326"/>
      <c r="FW138" s="326"/>
      <c r="FX138" s="326"/>
      <c r="FY138" s="326"/>
      <c r="FZ138" s="326"/>
      <c r="GA138" s="326"/>
      <c r="GB138" s="326"/>
      <c r="GC138" s="326"/>
      <c r="GD138" s="326"/>
      <c r="GE138" s="326"/>
      <c r="GF138" s="326"/>
      <c r="GG138" s="326"/>
      <c r="GH138" s="326"/>
      <c r="GI138" s="326"/>
      <c r="GJ138" s="326"/>
      <c r="GK138" s="326"/>
      <c r="GL138" s="326"/>
      <c r="GM138" s="326"/>
      <c r="GN138" s="326"/>
      <c r="GO138" s="326"/>
      <c r="GP138" s="326"/>
      <c r="GQ138" s="326"/>
      <c r="GR138" s="326"/>
      <c r="GS138" s="326"/>
      <c r="GT138" s="326"/>
      <c r="GU138" s="326"/>
      <c r="GV138" s="326"/>
      <c r="GW138" s="326"/>
      <c r="GX138" s="326"/>
      <c r="GY138" s="326"/>
      <c r="GZ138" s="326"/>
      <c r="HA138" s="326"/>
      <c r="HB138" s="326"/>
      <c r="HC138" s="326"/>
      <c r="HD138" s="326"/>
      <c r="HE138" s="326"/>
      <c r="HF138" s="326"/>
      <c r="HG138" s="326"/>
      <c r="HH138" s="326"/>
      <c r="HI138" s="326"/>
      <c r="HJ138" s="326"/>
      <c r="HK138" s="326"/>
      <c r="HL138" s="326"/>
      <c r="HM138" s="326"/>
      <c r="HN138" s="326"/>
      <c r="HO138" s="326"/>
      <c r="HP138" s="326"/>
      <c r="HQ138" s="326"/>
      <c r="HR138" s="326"/>
      <c r="HS138" s="326"/>
      <c r="HT138" s="326"/>
      <c r="HU138" s="326"/>
      <c r="HV138" s="326"/>
      <c r="HW138" s="326"/>
      <c r="HX138" s="326"/>
      <c r="HY138" s="326"/>
      <c r="HZ138" s="326"/>
      <c r="IA138" s="326"/>
      <c r="IB138" s="326"/>
      <c r="IC138" s="326"/>
      <c r="ID138" s="326"/>
      <c r="IE138" s="326"/>
      <c r="IF138" s="326"/>
      <c r="IG138" s="326"/>
      <c r="IH138" s="326"/>
      <c r="II138" s="326"/>
      <c r="IJ138" s="326"/>
      <c r="IK138" s="326"/>
      <c r="IL138" s="326"/>
      <c r="IM138" s="326"/>
      <c r="IN138" s="326"/>
      <c r="IO138" s="326"/>
      <c r="IP138" s="326"/>
      <c r="IQ138" s="326"/>
      <c r="IR138" s="326"/>
      <c r="IS138" s="326"/>
      <c r="IT138" s="326"/>
      <c r="IU138" s="326"/>
      <c r="IV138" s="326"/>
    </row>
    <row r="139" spans="1:256" s="560" customFormat="1" ht="18" customHeight="1" thickBot="1">
      <c r="A139" s="574">
        <v>130</v>
      </c>
      <c r="B139" s="1463"/>
      <c r="C139" s="1464"/>
      <c r="D139" s="260" t="s">
        <v>1091</v>
      </c>
      <c r="E139" s="1465"/>
      <c r="F139" s="1465"/>
      <c r="G139" s="1972"/>
      <c r="H139" s="1301"/>
      <c r="I139" s="1302"/>
      <c r="J139" s="1302"/>
      <c r="K139" s="1016">
        <f>SUM(K137:K138)</f>
        <v>4000</v>
      </c>
      <c r="L139" s="1302"/>
      <c r="M139" s="1302"/>
      <c r="N139" s="1303"/>
      <c r="O139" s="569">
        <f t="shared" si="0"/>
        <v>4000</v>
      </c>
      <c r="P139" s="1304"/>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6"/>
      <c r="BM139" s="326"/>
      <c r="BN139" s="326"/>
      <c r="BO139" s="326"/>
      <c r="BP139" s="326"/>
      <c r="BQ139" s="326"/>
      <c r="BR139" s="326"/>
      <c r="BS139" s="326"/>
      <c r="BT139" s="326"/>
      <c r="BU139" s="326"/>
      <c r="BV139" s="326"/>
      <c r="BW139" s="326"/>
      <c r="BX139" s="326"/>
      <c r="BY139" s="326"/>
      <c r="BZ139" s="326"/>
      <c r="CA139" s="326"/>
      <c r="CB139" s="326"/>
      <c r="CC139" s="326"/>
      <c r="CD139" s="326"/>
      <c r="CE139" s="326"/>
      <c r="CF139" s="326"/>
      <c r="CG139" s="326"/>
      <c r="CH139" s="326"/>
      <c r="CI139" s="326"/>
      <c r="CJ139" s="326"/>
      <c r="CK139" s="326"/>
      <c r="CL139" s="326"/>
      <c r="CM139" s="326"/>
      <c r="CN139" s="326"/>
      <c r="CO139" s="326"/>
      <c r="CP139" s="326"/>
      <c r="CQ139" s="326"/>
      <c r="CR139" s="326"/>
      <c r="CS139" s="326"/>
      <c r="CT139" s="326"/>
      <c r="CU139" s="326"/>
      <c r="CV139" s="326"/>
      <c r="CW139" s="326"/>
      <c r="CX139" s="326"/>
      <c r="CY139" s="326"/>
      <c r="CZ139" s="326"/>
      <c r="DA139" s="326"/>
      <c r="DB139" s="326"/>
      <c r="DC139" s="326"/>
      <c r="DD139" s="326"/>
      <c r="DE139" s="326"/>
      <c r="DF139" s="326"/>
      <c r="DG139" s="326"/>
      <c r="DH139" s="326"/>
      <c r="DI139" s="326"/>
      <c r="DJ139" s="326"/>
      <c r="DK139" s="326"/>
      <c r="DL139" s="326"/>
      <c r="DM139" s="326"/>
      <c r="DN139" s="326"/>
      <c r="DO139" s="326"/>
      <c r="DP139" s="326"/>
      <c r="DQ139" s="326"/>
      <c r="DR139" s="326"/>
      <c r="DS139" s="326"/>
      <c r="DT139" s="326"/>
      <c r="DU139" s="326"/>
      <c r="DV139" s="326"/>
      <c r="DW139" s="326"/>
      <c r="DX139" s="326"/>
      <c r="DY139" s="326"/>
      <c r="DZ139" s="326"/>
      <c r="EA139" s="326"/>
      <c r="EB139" s="326"/>
      <c r="EC139" s="326"/>
      <c r="ED139" s="326"/>
      <c r="EE139" s="326"/>
      <c r="EF139" s="326"/>
      <c r="EG139" s="326"/>
      <c r="EH139" s="326"/>
      <c r="EI139" s="326"/>
      <c r="EJ139" s="326"/>
      <c r="EK139" s="326"/>
      <c r="EL139" s="326"/>
      <c r="EM139" s="326"/>
      <c r="EN139" s="326"/>
      <c r="EO139" s="326"/>
      <c r="EP139" s="326"/>
      <c r="EQ139" s="326"/>
      <c r="ER139" s="326"/>
      <c r="ES139" s="326"/>
      <c r="ET139" s="326"/>
      <c r="EU139" s="326"/>
      <c r="EV139" s="326"/>
      <c r="EW139" s="326"/>
      <c r="EX139" s="326"/>
      <c r="EY139" s="326"/>
      <c r="EZ139" s="326"/>
      <c r="FA139" s="326"/>
      <c r="FB139" s="326"/>
      <c r="FC139" s="326"/>
      <c r="FD139" s="326"/>
      <c r="FE139" s="326"/>
      <c r="FF139" s="326"/>
      <c r="FG139" s="326"/>
      <c r="FH139" s="326"/>
      <c r="FI139" s="326"/>
      <c r="FJ139" s="326"/>
      <c r="FK139" s="326"/>
      <c r="FL139" s="326"/>
      <c r="FM139" s="326"/>
      <c r="FN139" s="326"/>
      <c r="FO139" s="326"/>
      <c r="FP139" s="326"/>
      <c r="FQ139" s="326"/>
      <c r="FR139" s="326"/>
      <c r="FS139" s="326"/>
      <c r="FT139" s="326"/>
      <c r="FU139" s="326"/>
      <c r="FV139" s="326"/>
      <c r="FW139" s="326"/>
      <c r="FX139" s="326"/>
      <c r="FY139" s="326"/>
      <c r="FZ139" s="326"/>
      <c r="GA139" s="326"/>
      <c r="GB139" s="326"/>
      <c r="GC139" s="326"/>
      <c r="GD139" s="326"/>
      <c r="GE139" s="326"/>
      <c r="GF139" s="326"/>
      <c r="GG139" s="326"/>
      <c r="GH139" s="326"/>
      <c r="GI139" s="326"/>
      <c r="GJ139" s="326"/>
      <c r="GK139" s="326"/>
      <c r="GL139" s="326"/>
      <c r="GM139" s="326"/>
      <c r="GN139" s="326"/>
      <c r="GO139" s="326"/>
      <c r="GP139" s="326"/>
      <c r="GQ139" s="326"/>
      <c r="GR139" s="326"/>
      <c r="GS139" s="326"/>
      <c r="GT139" s="326"/>
      <c r="GU139" s="326"/>
      <c r="GV139" s="326"/>
      <c r="GW139" s="326"/>
      <c r="GX139" s="326"/>
      <c r="GY139" s="326"/>
      <c r="GZ139" s="326"/>
      <c r="HA139" s="326"/>
      <c r="HB139" s="326"/>
      <c r="HC139" s="326"/>
      <c r="HD139" s="326"/>
      <c r="HE139" s="326"/>
      <c r="HF139" s="326"/>
      <c r="HG139" s="326"/>
      <c r="HH139" s="326"/>
      <c r="HI139" s="326"/>
      <c r="HJ139" s="326"/>
      <c r="HK139" s="326"/>
      <c r="HL139" s="326"/>
      <c r="HM139" s="326"/>
      <c r="HN139" s="326"/>
      <c r="HO139" s="326"/>
      <c r="HP139" s="326"/>
      <c r="HQ139" s="326"/>
      <c r="HR139" s="326"/>
      <c r="HS139" s="326"/>
      <c r="HT139" s="326"/>
      <c r="HU139" s="326"/>
      <c r="HV139" s="326"/>
      <c r="HW139" s="326"/>
      <c r="HX139" s="326"/>
      <c r="HY139" s="326"/>
      <c r="HZ139" s="326"/>
      <c r="IA139" s="326"/>
      <c r="IB139" s="326"/>
      <c r="IC139" s="326"/>
      <c r="ID139" s="326"/>
      <c r="IE139" s="326"/>
      <c r="IF139" s="326"/>
      <c r="IG139" s="326"/>
      <c r="IH139" s="326"/>
      <c r="II139" s="326"/>
      <c r="IJ139" s="326"/>
      <c r="IK139" s="326"/>
      <c r="IL139" s="326"/>
      <c r="IM139" s="326"/>
      <c r="IN139" s="326"/>
      <c r="IO139" s="326"/>
      <c r="IP139" s="326"/>
      <c r="IQ139" s="326"/>
      <c r="IR139" s="326"/>
      <c r="IS139" s="326"/>
      <c r="IT139" s="326"/>
      <c r="IU139" s="326"/>
      <c r="IV139" s="326"/>
    </row>
    <row r="140" spans="1:16" s="330" customFormat="1" ht="19.5" customHeight="1">
      <c r="A140" s="574">
        <v>131</v>
      </c>
      <c r="B140" s="2291" t="s">
        <v>13</v>
      </c>
      <c r="C140" s="2292"/>
      <c r="D140" s="2292"/>
      <c r="E140" s="2292"/>
      <c r="F140" s="2292"/>
      <c r="G140" s="2293"/>
      <c r="H140" s="1320"/>
      <c r="I140" s="1530"/>
      <c r="J140" s="1530"/>
      <c r="K140" s="1530"/>
      <c r="L140" s="1530"/>
      <c r="M140" s="1530"/>
      <c r="N140" s="1530"/>
      <c r="O140" s="1530"/>
      <c r="P140" s="1400"/>
    </row>
    <row r="141" spans="1:16" s="330" customFormat="1" ht="19.5" customHeight="1">
      <c r="A141" s="574">
        <v>132</v>
      </c>
      <c r="B141" s="1525"/>
      <c r="C141" s="1526"/>
      <c r="D141" s="2297" t="s">
        <v>283</v>
      </c>
      <c r="E141" s="2298"/>
      <c r="F141" s="2298"/>
      <c r="G141" s="2299"/>
      <c r="H141" s="1531"/>
      <c r="I141" s="1529">
        <f>I132+I127+I122+I117+I112+I107+I102+I97+I92+I87+I82+I77+I72+I67+I62+I57+I52+I47+I42+I37+I32+I27+I22+I17+I12</f>
        <v>0</v>
      </c>
      <c r="J141" s="1529">
        <f>J132+J127+J122+J117+J112+J107+J102+J97+J92+J87+J82+J77+J72+J67+J62+J57+J52+J47+J42+J37+J32+J27+J22+J17+J12</f>
        <v>46</v>
      </c>
      <c r="K141" s="1529">
        <f>K132+K127+K122+K117+K112+K107+K102+K97+K92+K87+K82+K77+K72+K67+K62+K57+K52+K47+K42+K37+K32+K27+K22+K17+K12</f>
        <v>190656</v>
      </c>
      <c r="L141" s="1529">
        <f>L132+L127+L122+L117+L112+L107+L102+L97+L92+L87+L82+L77+L72+L67+L62+L57+L52+L47+L42+L37+L32+L27+L22+L17+L12</f>
        <v>18309</v>
      </c>
      <c r="M141" s="1529">
        <f>M132+M127+M122+M117+M112+M107+M102+M97+M92+M87+M82+M77+M72+M67+M62+M57+M52+M47+M42+M37+M32+M27+M22+M17+M12</f>
        <v>8298320</v>
      </c>
      <c r="N141" s="1529">
        <f>N132+N127+N122+N117+N112+N107+N102+N97+N92+N87+N82+N77+N72+N67+N62+N57+N52+N47+N42+N37+N32+N27+N22+N17+N12</f>
        <v>0</v>
      </c>
      <c r="O141" s="1532">
        <f>SUM(I141:N141)</f>
        <v>8507331</v>
      </c>
      <c r="P141" s="1533">
        <f>SUM(P10:P140)</f>
        <v>149595</v>
      </c>
    </row>
    <row r="142" spans="1:16" s="330" customFormat="1" ht="19.5" customHeight="1">
      <c r="A142" s="574">
        <v>133</v>
      </c>
      <c r="B142" s="1525"/>
      <c r="C142" s="1526"/>
      <c r="D142" s="2059" t="s">
        <v>938</v>
      </c>
      <c r="E142" s="2194"/>
      <c r="F142" s="2194"/>
      <c r="G142" s="2195"/>
      <c r="H142" s="1531"/>
      <c r="I142" s="1671">
        <f>I133+I128+I123+I118+I113+I108+I103+I98+I93+I88+I83+I78+I73+I68+I63+I58+I53+I48+I43+I38+I33+I28+I23+I18+I13+I137</f>
        <v>880</v>
      </c>
      <c r="J142" s="1671">
        <f>J133+J128+J123+J118+J113+J108+J103+J98+J93+J88+J83+J78+J73+J68+J63+J58+J53+J48+J43+J38+J33+J28+J23+J18+J13+J137</f>
        <v>123</v>
      </c>
      <c r="K142" s="1671">
        <f>K133+K128+K123+K118+K113+K108+K103+K98+K93+K88+K83+K78+K73+K68+K63+K58+K53+K48+K43+K38+K33+K28+K23+K18+K13+K137</f>
        <v>188718</v>
      </c>
      <c r="L142" s="1671">
        <f>L133+L128+L123+L118+L113+L108+L103+L98+L93+L88+L83+L78+L73+L68+L63+L58+L53+L48+L43+L38+L33+L28+L23+L18+L13+L137</f>
        <v>18309</v>
      </c>
      <c r="M142" s="1671">
        <f>M133+M128+M123+M118+M113+M108+M103+M98+M93+M88+M83+M78+M73+M68+M63+M58+M53+M48+M43+M38+M33+M28+M23+M18+M13+M137</f>
        <v>8276804</v>
      </c>
      <c r="N142" s="1671">
        <f>N133+N128+N123+N118+N113+N108+N103+N98+N93+N88+N83+N78+N73+N68+N63+N58+N53+N48+N43+N38+N33+N28+N23+N18+N13+N137</f>
        <v>0</v>
      </c>
      <c r="O142" s="1672">
        <f>SUM(I142:N142)</f>
        <v>8484834</v>
      </c>
      <c r="P142" s="1533"/>
    </row>
    <row r="143" spans="1:16" s="330" customFormat="1" ht="19.5" customHeight="1">
      <c r="A143" s="574">
        <v>134</v>
      </c>
      <c r="B143" s="1312"/>
      <c r="C143" s="1310"/>
      <c r="D143" s="2300" t="s">
        <v>674</v>
      </c>
      <c r="E143" s="2301"/>
      <c r="F143" s="2301"/>
      <c r="G143" s="2302"/>
      <c r="H143" s="1321"/>
      <c r="I143" s="1311">
        <f>I134+I129+I124+I119+I114+I109+I104+I99+I94+I89+I84+I79+I74+I69+I64+I59+I54+I49+I44+I39+I34+I29+I24+I19+I14+I138</f>
        <v>1064</v>
      </c>
      <c r="J143" s="1311">
        <f>J134+J129+J124+J119+J114+J109+J104+J99+J94+J89+J84+J79+J74+J69+J64+J59+J54+J49+J44+J39+J34+J29+J24+J19+J14+J138</f>
        <v>126</v>
      </c>
      <c r="K143" s="1311">
        <f>K134+K129+K124+K119+K114+K109+K104+K99+K94+K89+K84+K79+K74+K69+K64+K59+K54+K49+K44+K39+K34+K29+K24+K19+K14+K138</f>
        <v>-3065</v>
      </c>
      <c r="L143" s="1311">
        <f>L134+L129+L124+L119+L114+L109+L104+L99+L94+L89+L84+L79+L74+L69+L64+L59+L54+L49+L44+L39+L34+L29+L24+L19+L14+L138</f>
        <v>-400</v>
      </c>
      <c r="M143" s="1311">
        <f>M134+M129+M124+M119+M114+M109+M104+M99+M94+M89+M84+M79+M74+M69+M64+M59+M54+M49+M44+M39+M34+M29+M24+M19+M14+M138</f>
        <v>-15260</v>
      </c>
      <c r="N143" s="1311">
        <f>N134+N129+N124+N119+N114+N109+N104+N99+N94+N89+N84+N79+N74+N69+N64+N59+N54+N49+N44+N39+N34+N29+N24+N19+N14+N138</f>
        <v>0</v>
      </c>
      <c r="O143" s="1318">
        <f>SUM(I143:N143)</f>
        <v>-17535</v>
      </c>
      <c r="P143" s="1316"/>
    </row>
    <row r="144" spans="1:16" s="330" customFormat="1" ht="19.5" customHeight="1" thickBot="1">
      <c r="A144" s="574">
        <v>135</v>
      </c>
      <c r="B144" s="1313"/>
      <c r="C144" s="1314"/>
      <c r="D144" s="2288" t="s">
        <v>1091</v>
      </c>
      <c r="E144" s="2289"/>
      <c r="F144" s="2289"/>
      <c r="G144" s="2290"/>
      <c r="H144" s="1322"/>
      <c r="I144" s="1315">
        <f>SUM(I142:I143)</f>
        <v>1944</v>
      </c>
      <c r="J144" s="1315">
        <f>SUM(J142:J143)</f>
        <v>249</v>
      </c>
      <c r="K144" s="1315">
        <f>SUM(K142:K143)</f>
        <v>185653</v>
      </c>
      <c r="L144" s="1315">
        <f>SUM(L142:L143)</f>
        <v>17909</v>
      </c>
      <c r="M144" s="1315">
        <f>SUM(M142:M143)</f>
        <v>8261544</v>
      </c>
      <c r="N144" s="1315">
        <f>SUM(N142:N143)</f>
        <v>0</v>
      </c>
      <c r="O144" s="1319">
        <f>SUM(O142:O143)</f>
        <v>8467299</v>
      </c>
      <c r="P144" s="1317"/>
    </row>
    <row r="145" spans="2:15" ht="18" customHeight="1">
      <c r="B145" s="566" t="s">
        <v>26</v>
      </c>
      <c r="C145" s="567"/>
      <c r="D145" s="566"/>
      <c r="E145" s="337"/>
      <c r="F145" s="338"/>
      <c r="G145" s="337"/>
      <c r="H145" s="553"/>
      <c r="I145" s="337"/>
      <c r="J145" s="337"/>
      <c r="K145" s="337"/>
      <c r="L145" s="337"/>
      <c r="M145" s="337"/>
      <c r="N145" s="337"/>
      <c r="O145" s="576"/>
    </row>
    <row r="146" spans="2:15" ht="18" customHeight="1">
      <c r="B146" s="566" t="s">
        <v>27</v>
      </c>
      <c r="C146" s="567"/>
      <c r="D146" s="566"/>
      <c r="E146" s="470"/>
      <c r="F146" s="338"/>
      <c r="G146" s="337"/>
      <c r="H146" s="553"/>
      <c r="I146" s="337"/>
      <c r="J146" s="337"/>
      <c r="K146" s="337"/>
      <c r="L146" s="337"/>
      <c r="M146" s="337"/>
      <c r="N146" s="337"/>
      <c r="O146" s="576"/>
    </row>
    <row r="147" spans="2:15" ht="18" customHeight="1">
      <c r="B147" s="566" t="s">
        <v>28</v>
      </c>
      <c r="C147" s="567"/>
      <c r="D147" s="566"/>
      <c r="E147" s="470"/>
      <c r="F147" s="338"/>
      <c r="G147" s="337"/>
      <c r="H147" s="553"/>
      <c r="I147" s="337"/>
      <c r="J147" s="337"/>
      <c r="K147" s="337"/>
      <c r="L147" s="337"/>
      <c r="M147" s="337"/>
      <c r="N147" s="337"/>
      <c r="O147" s="576"/>
    </row>
    <row r="148" spans="2:3" ht="17.25">
      <c r="B148" s="334" t="s">
        <v>417</v>
      </c>
      <c r="C148" s="334"/>
    </row>
  </sheetData>
  <sheetProtection/>
  <mergeCells count="22">
    <mergeCell ref="Q7:R7"/>
    <mergeCell ref="I2:P2"/>
    <mergeCell ref="B7:B9"/>
    <mergeCell ref="E7:E9"/>
    <mergeCell ref="A3:P3"/>
    <mergeCell ref="A4:P4"/>
    <mergeCell ref="D7:D9"/>
    <mergeCell ref="F7:F9"/>
    <mergeCell ref="G7:G9"/>
    <mergeCell ref="I7:O7"/>
    <mergeCell ref="P7:P9"/>
    <mergeCell ref="I8:L8"/>
    <mergeCell ref="M8:N8"/>
    <mergeCell ref="O8:O9"/>
    <mergeCell ref="B1:M1"/>
    <mergeCell ref="D144:G144"/>
    <mergeCell ref="B140:G140"/>
    <mergeCell ref="C7:C9"/>
    <mergeCell ref="H7:H9"/>
    <mergeCell ref="D141:G141"/>
    <mergeCell ref="D143:G143"/>
    <mergeCell ref="D142:G142"/>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57" r:id="rId3"/>
  <headerFooter>
    <oddFooter>&amp;C- &amp;P -</oddFooter>
  </headerFooter>
  <legacyDrawing r:id="rId2"/>
</worksheet>
</file>

<file path=xl/worksheets/sheet13.xml><?xml version="1.0" encoding="utf-8"?>
<worksheet xmlns="http://schemas.openxmlformats.org/spreadsheetml/2006/main" xmlns:r="http://schemas.openxmlformats.org/officeDocument/2006/relationships">
  <dimension ref="A1:IV110"/>
  <sheetViews>
    <sheetView view="pageBreakPreview" zoomScaleSheetLayoutView="100" zoomScalePageLayoutView="0" workbookViewId="0" topLeftCell="B1">
      <selection activeCell="B1" sqref="B1:M1"/>
    </sheetView>
  </sheetViews>
  <sheetFormatPr defaultColWidth="9.125" defaultRowHeight="12.75"/>
  <cols>
    <col min="1" max="1" width="3.75390625" style="552" customWidth="1"/>
    <col min="2" max="3" width="5.75390625" style="681" customWidth="1"/>
    <col min="4" max="4" width="62.75390625" style="326" customWidth="1"/>
    <col min="5" max="5" width="12.75390625" style="680" customWidth="1"/>
    <col min="6" max="6" width="10.75390625" style="680" customWidth="1"/>
    <col min="7" max="7" width="10.75390625" style="1489" customWidth="1"/>
    <col min="8" max="8" width="6.75390625" style="555" customWidth="1"/>
    <col min="9" max="14" width="14.875" style="680" customWidth="1"/>
    <col min="15" max="15" width="15.75390625" style="575" customWidth="1"/>
    <col min="16" max="16" width="13.875" style="680" customWidth="1"/>
    <col min="17" max="16384" width="9.125" style="326" customWidth="1"/>
  </cols>
  <sheetData>
    <row r="1" spans="2:16" ht="17.25">
      <c r="B1" s="2039" t="s">
        <v>1107</v>
      </c>
      <c r="C1" s="2039"/>
      <c r="D1" s="2039"/>
      <c r="E1" s="2039"/>
      <c r="F1" s="2039"/>
      <c r="G1" s="2039"/>
      <c r="H1" s="2039"/>
      <c r="I1" s="2039"/>
      <c r="J1" s="2039"/>
      <c r="K1" s="2039"/>
      <c r="L1" s="2039"/>
      <c r="M1" s="2039"/>
      <c r="N1" s="1472"/>
      <c r="P1" s="1472"/>
    </row>
    <row r="2" spans="1:250" ht="18" customHeight="1">
      <c r="A2" s="326"/>
      <c r="B2" s="1473" t="s">
        <v>735</v>
      </c>
      <c r="C2" s="1473"/>
      <c r="D2" s="1473"/>
      <c r="E2" s="470"/>
      <c r="F2" s="470"/>
      <c r="G2" s="470"/>
      <c r="H2" s="553"/>
      <c r="I2" s="2270"/>
      <c r="J2" s="2270"/>
      <c r="K2" s="2270"/>
      <c r="L2" s="2270"/>
      <c r="M2" s="2270"/>
      <c r="N2" s="2270"/>
      <c r="O2" s="2270"/>
      <c r="P2" s="2270"/>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c r="BW2" s="554"/>
      <c r="BX2" s="554"/>
      <c r="BY2" s="554"/>
      <c r="BZ2" s="554"/>
      <c r="CA2" s="554"/>
      <c r="CB2" s="554"/>
      <c r="CC2" s="554"/>
      <c r="CD2" s="554"/>
      <c r="CE2" s="554"/>
      <c r="CF2" s="554"/>
      <c r="CG2" s="554"/>
      <c r="CH2" s="554"/>
      <c r="CI2" s="554"/>
      <c r="CJ2" s="554"/>
      <c r="CK2" s="554"/>
      <c r="CL2" s="554"/>
      <c r="CM2" s="554"/>
      <c r="CN2" s="554"/>
      <c r="CO2" s="554"/>
      <c r="CP2" s="554"/>
      <c r="CQ2" s="554"/>
      <c r="CR2" s="554"/>
      <c r="CS2" s="554"/>
      <c r="CT2" s="554"/>
      <c r="CU2" s="554"/>
      <c r="CV2" s="554"/>
      <c r="CW2" s="554"/>
      <c r="CX2" s="554"/>
      <c r="CY2" s="554"/>
      <c r="CZ2" s="554"/>
      <c r="DA2" s="554"/>
      <c r="DB2" s="554"/>
      <c r="DC2" s="554"/>
      <c r="DD2" s="554"/>
      <c r="DE2" s="554"/>
      <c r="DF2" s="554"/>
      <c r="DG2" s="554"/>
      <c r="DH2" s="554"/>
      <c r="DI2" s="554"/>
      <c r="DJ2" s="554"/>
      <c r="DK2" s="554"/>
      <c r="DL2" s="554"/>
      <c r="DM2" s="554"/>
      <c r="DN2" s="554"/>
      <c r="DO2" s="554"/>
      <c r="DP2" s="554"/>
      <c r="DQ2" s="554"/>
      <c r="DR2" s="554"/>
      <c r="DS2" s="554"/>
      <c r="DT2" s="554"/>
      <c r="DU2" s="554"/>
      <c r="DV2" s="554"/>
      <c r="DW2" s="554"/>
      <c r="DX2" s="554"/>
      <c r="DY2" s="554"/>
      <c r="DZ2" s="554"/>
      <c r="EA2" s="554"/>
      <c r="EB2" s="554"/>
      <c r="EC2" s="554"/>
      <c r="ED2" s="554"/>
      <c r="EE2" s="554"/>
      <c r="EF2" s="554"/>
      <c r="EG2" s="554"/>
      <c r="EH2" s="554"/>
      <c r="EI2" s="554"/>
      <c r="EJ2" s="554"/>
      <c r="EK2" s="554"/>
      <c r="EL2" s="554"/>
      <c r="EM2" s="554"/>
      <c r="EN2" s="554"/>
      <c r="EO2" s="554"/>
      <c r="EP2" s="554"/>
      <c r="EQ2" s="554"/>
      <c r="ER2" s="554"/>
      <c r="ES2" s="554"/>
      <c r="ET2" s="554"/>
      <c r="EU2" s="554"/>
      <c r="EV2" s="554"/>
      <c r="EW2" s="554"/>
      <c r="EX2" s="554"/>
      <c r="EY2" s="554"/>
      <c r="EZ2" s="554"/>
      <c r="FA2" s="554"/>
      <c r="FB2" s="554"/>
      <c r="FC2" s="554"/>
      <c r="FD2" s="554"/>
      <c r="FE2" s="554"/>
      <c r="FF2" s="554"/>
      <c r="FG2" s="554"/>
      <c r="FH2" s="554"/>
      <c r="FI2" s="554"/>
      <c r="FJ2" s="554"/>
      <c r="FK2" s="554"/>
      <c r="FL2" s="554"/>
      <c r="FM2" s="554"/>
      <c r="FN2" s="554"/>
      <c r="FO2" s="554"/>
      <c r="FP2" s="554"/>
      <c r="FQ2" s="554"/>
      <c r="FR2" s="554"/>
      <c r="FS2" s="554"/>
      <c r="FT2" s="554"/>
      <c r="FU2" s="554"/>
      <c r="FV2" s="554"/>
      <c r="FW2" s="554"/>
      <c r="FX2" s="554"/>
      <c r="FY2" s="554"/>
      <c r="FZ2" s="554"/>
      <c r="GA2" s="554"/>
      <c r="GB2" s="554"/>
      <c r="GC2" s="554"/>
      <c r="GD2" s="554"/>
      <c r="GE2" s="554"/>
      <c r="GF2" s="554"/>
      <c r="GG2" s="554"/>
      <c r="GH2" s="554"/>
      <c r="GI2" s="554"/>
      <c r="GJ2" s="554"/>
      <c r="GK2" s="554"/>
      <c r="GL2" s="554"/>
      <c r="GM2" s="554"/>
      <c r="GN2" s="554"/>
      <c r="GO2" s="554"/>
      <c r="GP2" s="554"/>
      <c r="GQ2" s="554"/>
      <c r="GR2" s="554"/>
      <c r="GS2" s="554"/>
      <c r="GT2" s="554"/>
      <c r="GU2" s="554"/>
      <c r="GV2" s="554"/>
      <c r="GW2" s="554"/>
      <c r="GX2" s="554"/>
      <c r="GY2" s="554"/>
      <c r="GZ2" s="554"/>
      <c r="HA2" s="554"/>
      <c r="HB2" s="554"/>
      <c r="HC2" s="554"/>
      <c r="HD2" s="554"/>
      <c r="HE2" s="554"/>
      <c r="HF2" s="554"/>
      <c r="HG2" s="554"/>
      <c r="HH2" s="554"/>
      <c r="HI2" s="554"/>
      <c r="HJ2" s="554"/>
      <c r="HK2" s="554"/>
      <c r="HL2" s="554"/>
      <c r="HM2" s="554"/>
      <c r="HN2" s="554"/>
      <c r="HO2" s="554"/>
      <c r="HP2" s="554"/>
      <c r="HQ2" s="554"/>
      <c r="HR2" s="554"/>
      <c r="HS2" s="554"/>
      <c r="HT2" s="554"/>
      <c r="HU2" s="554"/>
      <c r="HV2" s="554"/>
      <c r="HW2" s="554"/>
      <c r="HX2" s="554"/>
      <c r="HY2" s="554"/>
      <c r="HZ2" s="554"/>
      <c r="IA2" s="554"/>
      <c r="IB2" s="554"/>
      <c r="IC2" s="554"/>
      <c r="ID2" s="554"/>
      <c r="IE2" s="554"/>
      <c r="IF2" s="554"/>
      <c r="IG2" s="554"/>
      <c r="IH2" s="554"/>
      <c r="II2" s="554"/>
      <c r="IJ2" s="554"/>
      <c r="IK2" s="554"/>
      <c r="IL2" s="554"/>
      <c r="IM2" s="554"/>
      <c r="IN2" s="554"/>
      <c r="IO2" s="554"/>
      <c r="IP2" s="554"/>
    </row>
    <row r="3" spans="1:16" ht="24.75" customHeight="1">
      <c r="A3" s="2241" t="s">
        <v>14</v>
      </c>
      <c r="B3" s="2241"/>
      <c r="C3" s="2241"/>
      <c r="D3" s="2241"/>
      <c r="E3" s="2241"/>
      <c r="F3" s="2241"/>
      <c r="G3" s="2241"/>
      <c r="H3" s="2241"/>
      <c r="I3" s="2241"/>
      <c r="J3" s="2241"/>
      <c r="K3" s="2241"/>
      <c r="L3" s="2241"/>
      <c r="M3" s="2241"/>
      <c r="N3" s="2241"/>
      <c r="O3" s="2241"/>
      <c r="P3" s="2241"/>
    </row>
    <row r="4" spans="1:16" ht="24.75" customHeight="1">
      <c r="A4" s="2310" t="s">
        <v>595</v>
      </c>
      <c r="B4" s="2310"/>
      <c r="C4" s="2310"/>
      <c r="D4" s="2310"/>
      <c r="E4" s="2310"/>
      <c r="F4" s="2310"/>
      <c r="G4" s="2310"/>
      <c r="H4" s="2310"/>
      <c r="I4" s="2310"/>
      <c r="J4" s="2310"/>
      <c r="K4" s="2310"/>
      <c r="L4" s="2310"/>
      <c r="M4" s="2310"/>
      <c r="N4" s="2310"/>
      <c r="O4" s="2310"/>
      <c r="P4" s="2310"/>
    </row>
    <row r="5" spans="1:16" s="745" customFormat="1" ht="18" customHeight="1">
      <c r="A5" s="552"/>
      <c r="B5" s="552"/>
      <c r="C5" s="552"/>
      <c r="E5" s="511"/>
      <c r="F5" s="511"/>
      <c r="G5" s="511"/>
      <c r="H5" s="746"/>
      <c r="I5" s="511"/>
      <c r="J5" s="511"/>
      <c r="K5" s="511"/>
      <c r="L5" s="511"/>
      <c r="M5" s="511"/>
      <c r="N5" s="511"/>
      <c r="O5" s="747"/>
      <c r="P5" s="517" t="s">
        <v>0</v>
      </c>
    </row>
    <row r="6" spans="1:250" s="751" customFormat="1" ht="18" customHeight="1" thickBot="1">
      <c r="A6" s="748"/>
      <c r="B6" s="749" t="s">
        <v>1</v>
      </c>
      <c r="C6" s="750" t="s">
        <v>3</v>
      </c>
      <c r="D6" s="750" t="s">
        <v>2</v>
      </c>
      <c r="E6" s="750" t="s">
        <v>4</v>
      </c>
      <c r="F6" s="750" t="s">
        <v>5</v>
      </c>
      <c r="G6" s="750" t="s">
        <v>15</v>
      </c>
      <c r="H6" s="750" t="s">
        <v>16</v>
      </c>
      <c r="I6" s="750" t="s">
        <v>17</v>
      </c>
      <c r="J6" s="750" t="s">
        <v>33</v>
      </c>
      <c r="K6" s="750" t="s">
        <v>29</v>
      </c>
      <c r="L6" s="750" t="s">
        <v>22</v>
      </c>
      <c r="M6" s="750" t="s">
        <v>34</v>
      </c>
      <c r="N6" s="750" t="s">
        <v>35</v>
      </c>
      <c r="O6" s="750" t="s">
        <v>145</v>
      </c>
      <c r="P6" s="750" t="s">
        <v>146</v>
      </c>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8"/>
      <c r="BJ6" s="748"/>
      <c r="BK6" s="748"/>
      <c r="BL6" s="748"/>
      <c r="BM6" s="748"/>
      <c r="BN6" s="748"/>
      <c r="BO6" s="748"/>
      <c r="BP6" s="748"/>
      <c r="BQ6" s="748"/>
      <c r="BR6" s="748"/>
      <c r="BS6" s="748"/>
      <c r="BT6" s="748"/>
      <c r="BU6" s="748"/>
      <c r="BV6" s="748"/>
      <c r="BW6" s="748"/>
      <c r="BX6" s="748"/>
      <c r="BY6" s="748"/>
      <c r="BZ6" s="748"/>
      <c r="CA6" s="748"/>
      <c r="CB6" s="748"/>
      <c r="CC6" s="748"/>
      <c r="CD6" s="748"/>
      <c r="CE6" s="748"/>
      <c r="CF6" s="748"/>
      <c r="CG6" s="748"/>
      <c r="CH6" s="748"/>
      <c r="CI6" s="748"/>
      <c r="CJ6" s="748"/>
      <c r="CK6" s="748"/>
      <c r="CL6" s="748"/>
      <c r="CM6" s="748"/>
      <c r="CN6" s="748"/>
      <c r="CO6" s="748"/>
      <c r="CP6" s="748"/>
      <c r="CQ6" s="748"/>
      <c r="CR6" s="748"/>
      <c r="CS6" s="748"/>
      <c r="CT6" s="748"/>
      <c r="CU6" s="748"/>
      <c r="CV6" s="748"/>
      <c r="CW6" s="748"/>
      <c r="CX6" s="748"/>
      <c r="CY6" s="748"/>
      <c r="CZ6" s="748"/>
      <c r="DA6" s="748"/>
      <c r="DB6" s="748"/>
      <c r="DC6" s="748"/>
      <c r="DD6" s="748"/>
      <c r="DE6" s="748"/>
      <c r="DF6" s="748"/>
      <c r="DG6" s="748"/>
      <c r="DH6" s="748"/>
      <c r="DI6" s="748"/>
      <c r="DJ6" s="748"/>
      <c r="DK6" s="748"/>
      <c r="DL6" s="748"/>
      <c r="DM6" s="748"/>
      <c r="DN6" s="748"/>
      <c r="DO6" s="748"/>
      <c r="DP6" s="748"/>
      <c r="DQ6" s="748"/>
      <c r="DR6" s="748"/>
      <c r="DS6" s="748"/>
      <c r="DT6" s="748"/>
      <c r="DU6" s="748"/>
      <c r="DV6" s="748"/>
      <c r="DW6" s="748"/>
      <c r="DX6" s="748"/>
      <c r="DY6" s="748"/>
      <c r="DZ6" s="748"/>
      <c r="EA6" s="748"/>
      <c r="EB6" s="748"/>
      <c r="EC6" s="748"/>
      <c r="ED6" s="748"/>
      <c r="EE6" s="748"/>
      <c r="EF6" s="748"/>
      <c r="EG6" s="748"/>
      <c r="EH6" s="748"/>
      <c r="EI6" s="748"/>
      <c r="EJ6" s="748"/>
      <c r="EK6" s="748"/>
      <c r="EL6" s="748"/>
      <c r="EM6" s="748"/>
      <c r="EN6" s="748"/>
      <c r="EO6" s="748"/>
      <c r="EP6" s="748"/>
      <c r="EQ6" s="748"/>
      <c r="ER6" s="748"/>
      <c r="ES6" s="748"/>
      <c r="ET6" s="748"/>
      <c r="EU6" s="748"/>
      <c r="EV6" s="748"/>
      <c r="EW6" s="748"/>
      <c r="EX6" s="748"/>
      <c r="EY6" s="748"/>
      <c r="EZ6" s="748"/>
      <c r="FA6" s="748"/>
      <c r="FB6" s="748"/>
      <c r="FC6" s="748"/>
      <c r="FD6" s="748"/>
      <c r="FE6" s="748"/>
      <c r="FF6" s="748"/>
      <c r="FG6" s="748"/>
      <c r="FH6" s="748"/>
      <c r="FI6" s="748"/>
      <c r="FJ6" s="748"/>
      <c r="FK6" s="748"/>
      <c r="FL6" s="748"/>
      <c r="FM6" s="748"/>
      <c r="FN6" s="748"/>
      <c r="FO6" s="748"/>
      <c r="FP6" s="748"/>
      <c r="FQ6" s="748"/>
      <c r="FR6" s="748"/>
      <c r="FS6" s="748"/>
      <c r="FT6" s="748"/>
      <c r="FU6" s="748"/>
      <c r="FV6" s="748"/>
      <c r="FW6" s="748"/>
      <c r="FX6" s="748"/>
      <c r="FY6" s="748"/>
      <c r="FZ6" s="748"/>
      <c r="GA6" s="748"/>
      <c r="GB6" s="748"/>
      <c r="GC6" s="748"/>
      <c r="GD6" s="748"/>
      <c r="GE6" s="748"/>
      <c r="GF6" s="748"/>
      <c r="GG6" s="748"/>
      <c r="GH6" s="748"/>
      <c r="GI6" s="748"/>
      <c r="GJ6" s="748"/>
      <c r="GK6" s="748"/>
      <c r="GL6" s="748"/>
      <c r="GM6" s="748"/>
      <c r="GN6" s="748"/>
      <c r="GO6" s="748"/>
      <c r="GP6" s="748"/>
      <c r="GQ6" s="748"/>
      <c r="GR6" s="748"/>
      <c r="GS6" s="748"/>
      <c r="GT6" s="748"/>
      <c r="GU6" s="748"/>
      <c r="GV6" s="748"/>
      <c r="GW6" s="748"/>
      <c r="GX6" s="748"/>
      <c r="GY6" s="748"/>
      <c r="GZ6" s="748"/>
      <c r="HA6" s="748"/>
      <c r="HB6" s="748"/>
      <c r="HC6" s="748"/>
      <c r="HD6" s="748"/>
      <c r="HE6" s="748"/>
      <c r="HF6" s="748"/>
      <c r="HG6" s="748"/>
      <c r="HH6" s="748"/>
      <c r="HI6" s="748"/>
      <c r="HJ6" s="748"/>
      <c r="HK6" s="748"/>
      <c r="HL6" s="748"/>
      <c r="HM6" s="748"/>
      <c r="HN6" s="748"/>
      <c r="HO6" s="748"/>
      <c r="HP6" s="748"/>
      <c r="HQ6" s="748"/>
      <c r="HR6" s="748"/>
      <c r="HS6" s="748"/>
      <c r="HT6" s="748"/>
      <c r="HU6" s="748"/>
      <c r="HV6" s="748"/>
      <c r="HW6" s="748"/>
      <c r="HX6" s="748"/>
      <c r="HY6" s="748"/>
      <c r="HZ6" s="748"/>
      <c r="IA6" s="748"/>
      <c r="IB6" s="748"/>
      <c r="IC6" s="748"/>
      <c r="ID6" s="748"/>
      <c r="IE6" s="748"/>
      <c r="IF6" s="748"/>
      <c r="IG6" s="748"/>
      <c r="IH6" s="748"/>
      <c r="II6" s="748"/>
      <c r="IJ6" s="748"/>
      <c r="IK6" s="748"/>
      <c r="IL6" s="748"/>
      <c r="IM6" s="748"/>
      <c r="IN6" s="748"/>
      <c r="IO6" s="748"/>
      <c r="IP6" s="748"/>
    </row>
    <row r="7" spans="2:18" ht="22.5" customHeight="1">
      <c r="B7" s="2304" t="s">
        <v>18</v>
      </c>
      <c r="C7" s="2294" t="s">
        <v>19</v>
      </c>
      <c r="D7" s="2311" t="s">
        <v>6</v>
      </c>
      <c r="E7" s="2307" t="s">
        <v>416</v>
      </c>
      <c r="F7" s="2307" t="s">
        <v>596</v>
      </c>
      <c r="G7" s="2314" t="s">
        <v>741</v>
      </c>
      <c r="H7" s="2264" t="s">
        <v>20</v>
      </c>
      <c r="I7" s="2317" t="s">
        <v>537</v>
      </c>
      <c r="J7" s="2307"/>
      <c r="K7" s="2307"/>
      <c r="L7" s="2307"/>
      <c r="M7" s="2307"/>
      <c r="N7" s="2307"/>
      <c r="O7" s="2318"/>
      <c r="P7" s="2319" t="s">
        <v>589</v>
      </c>
      <c r="Q7" s="2303"/>
      <c r="R7" s="2303"/>
    </row>
    <row r="8" spans="2:16" ht="33" customHeight="1">
      <c r="B8" s="2305"/>
      <c r="C8" s="2295"/>
      <c r="D8" s="2312"/>
      <c r="E8" s="2308"/>
      <c r="F8" s="2308"/>
      <c r="G8" s="2315"/>
      <c r="H8" s="2265"/>
      <c r="I8" s="2322" t="s">
        <v>418</v>
      </c>
      <c r="J8" s="2323"/>
      <c r="K8" s="2324"/>
      <c r="L8" s="2324"/>
      <c r="M8" s="2325" t="s">
        <v>148</v>
      </c>
      <c r="N8" s="2325"/>
      <c r="O8" s="2326" t="s">
        <v>115</v>
      </c>
      <c r="P8" s="2320"/>
    </row>
    <row r="9" spans="2:16" ht="53.25" customHeight="1" thickBot="1">
      <c r="B9" s="2306"/>
      <c r="C9" s="2296"/>
      <c r="D9" s="2313"/>
      <c r="E9" s="2309"/>
      <c r="F9" s="2309"/>
      <c r="G9" s="2316"/>
      <c r="H9" s="2266"/>
      <c r="I9" s="768" t="s">
        <v>37</v>
      </c>
      <c r="J9" s="556" t="s">
        <v>413</v>
      </c>
      <c r="K9" s="557" t="s">
        <v>39</v>
      </c>
      <c r="L9" s="557" t="s">
        <v>415</v>
      </c>
      <c r="M9" s="556" t="s">
        <v>213</v>
      </c>
      <c r="N9" s="556" t="s">
        <v>149</v>
      </c>
      <c r="O9" s="2327"/>
      <c r="P9" s="2321"/>
    </row>
    <row r="10" spans="1:256" s="560" customFormat="1" ht="22.5" customHeight="1">
      <c r="A10" s="574">
        <v>1</v>
      </c>
      <c r="B10" s="558">
        <v>18</v>
      </c>
      <c r="C10" s="570" t="s">
        <v>14</v>
      </c>
      <c r="D10" s="757"/>
      <c r="E10" s="333"/>
      <c r="F10" s="331"/>
      <c r="G10" s="332"/>
      <c r="H10" s="772"/>
      <c r="I10" s="769"/>
      <c r="J10" s="577"/>
      <c r="K10" s="577"/>
      <c r="L10" s="577"/>
      <c r="M10" s="577"/>
      <c r="N10" s="577"/>
      <c r="O10" s="559"/>
      <c r="P10" s="562"/>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326"/>
      <c r="FK10" s="326"/>
      <c r="FL10" s="326"/>
      <c r="FM10" s="326"/>
      <c r="FN10" s="326"/>
      <c r="FO10" s="326"/>
      <c r="FP10" s="326"/>
      <c r="FQ10" s="326"/>
      <c r="FR10" s="326"/>
      <c r="FS10" s="326"/>
      <c r="FT10" s="326"/>
      <c r="FU10" s="326"/>
      <c r="FV10" s="326"/>
      <c r="FW10" s="326"/>
      <c r="FX10" s="326"/>
      <c r="FY10" s="326"/>
      <c r="FZ10" s="326"/>
      <c r="GA10" s="326"/>
      <c r="GB10" s="326"/>
      <c r="GC10" s="326"/>
      <c r="GD10" s="326"/>
      <c r="GE10" s="326"/>
      <c r="GF10" s="326"/>
      <c r="GG10" s="326"/>
      <c r="GH10" s="326"/>
      <c r="GI10" s="326"/>
      <c r="GJ10" s="326"/>
      <c r="GK10" s="326"/>
      <c r="GL10" s="326"/>
      <c r="GM10" s="326"/>
      <c r="GN10" s="326"/>
      <c r="GO10" s="326"/>
      <c r="GP10" s="326"/>
      <c r="GQ10" s="326"/>
      <c r="GR10" s="326"/>
      <c r="GS10" s="326"/>
      <c r="GT10" s="326"/>
      <c r="GU10" s="326"/>
      <c r="GV10" s="326"/>
      <c r="GW10" s="326"/>
      <c r="GX10" s="326"/>
      <c r="GY10" s="326"/>
      <c r="GZ10" s="326"/>
      <c r="HA10" s="326"/>
      <c r="HB10" s="326"/>
      <c r="HC10" s="326"/>
      <c r="HD10" s="326"/>
      <c r="HE10" s="326"/>
      <c r="HF10" s="326"/>
      <c r="HG10" s="326"/>
      <c r="HH10" s="326"/>
      <c r="HI10" s="326"/>
      <c r="HJ10" s="326"/>
      <c r="HK10" s="326"/>
      <c r="HL10" s="326"/>
      <c r="HM10" s="326"/>
      <c r="HN10" s="326"/>
      <c r="HO10" s="326"/>
      <c r="HP10" s="326"/>
      <c r="HQ10" s="326"/>
      <c r="HR10" s="326"/>
      <c r="HS10" s="326"/>
      <c r="HT10" s="326"/>
      <c r="HU10" s="326"/>
      <c r="HV10" s="326"/>
      <c r="HW10" s="326"/>
      <c r="HX10" s="326"/>
      <c r="HY10" s="326"/>
      <c r="HZ10" s="326"/>
      <c r="IA10" s="326"/>
      <c r="IB10" s="326"/>
      <c r="IC10" s="326"/>
      <c r="ID10" s="326"/>
      <c r="IE10" s="326"/>
      <c r="IF10" s="326"/>
      <c r="IG10" s="326"/>
      <c r="IH10" s="326"/>
      <c r="II10" s="326"/>
      <c r="IJ10" s="326"/>
      <c r="IK10" s="326"/>
      <c r="IL10" s="326"/>
      <c r="IM10" s="326"/>
      <c r="IN10" s="326"/>
      <c r="IO10" s="326"/>
      <c r="IP10" s="326"/>
      <c r="IQ10" s="326"/>
      <c r="IR10" s="326"/>
      <c r="IS10" s="326"/>
      <c r="IT10" s="326"/>
      <c r="IU10" s="326"/>
      <c r="IV10" s="326"/>
    </row>
    <row r="11" spans="1:256" s="560" customFormat="1" ht="22.5" customHeight="1">
      <c r="A11" s="574">
        <v>2</v>
      </c>
      <c r="B11" s="568"/>
      <c r="C11" s="366">
        <v>1</v>
      </c>
      <c r="D11" s="563" t="s">
        <v>450</v>
      </c>
      <c r="E11" s="335"/>
      <c r="F11" s="564"/>
      <c r="G11" s="336"/>
      <c r="H11" s="773" t="s">
        <v>23</v>
      </c>
      <c r="I11" s="788"/>
      <c r="J11" s="784"/>
      <c r="K11" s="784"/>
      <c r="L11" s="784"/>
      <c r="M11" s="784"/>
      <c r="N11" s="784"/>
      <c r="O11" s="569"/>
      <c r="P11" s="565"/>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326"/>
      <c r="DP11" s="326"/>
      <c r="DQ11" s="326"/>
      <c r="DR11" s="326"/>
      <c r="DS11" s="326"/>
      <c r="DT11" s="326"/>
      <c r="DU11" s="326"/>
      <c r="DV11" s="326"/>
      <c r="DW11" s="326"/>
      <c r="DX11" s="326"/>
      <c r="DY11" s="326"/>
      <c r="DZ11" s="326"/>
      <c r="EA11" s="326"/>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326"/>
      <c r="FK11" s="326"/>
      <c r="FL11" s="326"/>
      <c r="FM11" s="326"/>
      <c r="FN11" s="326"/>
      <c r="FO11" s="326"/>
      <c r="FP11" s="326"/>
      <c r="FQ11" s="326"/>
      <c r="FR11" s="326"/>
      <c r="FS11" s="326"/>
      <c r="FT11" s="326"/>
      <c r="FU11" s="326"/>
      <c r="FV11" s="326"/>
      <c r="FW11" s="326"/>
      <c r="FX11" s="326"/>
      <c r="FY11" s="326"/>
      <c r="FZ11" s="326"/>
      <c r="GA11" s="326"/>
      <c r="GB11" s="326"/>
      <c r="GC11" s="326"/>
      <c r="GD11" s="326"/>
      <c r="GE11" s="326"/>
      <c r="GF11" s="326"/>
      <c r="GG11" s="326"/>
      <c r="GH11" s="326"/>
      <c r="GI11" s="326"/>
      <c r="GJ11" s="326"/>
      <c r="GK11" s="326"/>
      <c r="GL11" s="326"/>
      <c r="GM11" s="326"/>
      <c r="GN11" s="326"/>
      <c r="GO11" s="326"/>
      <c r="GP11" s="326"/>
      <c r="GQ11" s="326"/>
      <c r="GR11" s="326"/>
      <c r="GS11" s="326"/>
      <c r="GT11" s="326"/>
      <c r="GU11" s="326"/>
      <c r="GV11" s="326"/>
      <c r="GW11" s="326"/>
      <c r="GX11" s="326"/>
      <c r="GY11" s="326"/>
      <c r="GZ11" s="326"/>
      <c r="HA11" s="326"/>
      <c r="HB11" s="326"/>
      <c r="HC11" s="326"/>
      <c r="HD11" s="326"/>
      <c r="HE11" s="326"/>
      <c r="HF11" s="326"/>
      <c r="HG11" s="326"/>
      <c r="HH11" s="326"/>
      <c r="HI11" s="326"/>
      <c r="HJ11" s="326"/>
      <c r="HK11" s="326"/>
      <c r="HL11" s="326"/>
      <c r="HM11" s="326"/>
      <c r="HN11" s="326"/>
      <c r="HO11" s="326"/>
      <c r="HP11" s="326"/>
      <c r="HQ11" s="326"/>
      <c r="HR11" s="326"/>
      <c r="HS11" s="326"/>
      <c r="HT11" s="326"/>
      <c r="HU11" s="326"/>
      <c r="HV11" s="326"/>
      <c r="HW11" s="326"/>
      <c r="HX11" s="326"/>
      <c r="HY11" s="326"/>
      <c r="HZ11" s="326"/>
      <c r="IA11" s="326"/>
      <c r="IB11" s="326"/>
      <c r="IC11" s="326"/>
      <c r="ID11" s="326"/>
      <c r="IE11" s="326"/>
      <c r="IF11" s="326"/>
      <c r="IG11" s="326"/>
      <c r="IH11" s="326"/>
      <c r="II11" s="326"/>
      <c r="IJ11" s="326"/>
      <c r="IK11" s="326"/>
      <c r="IL11" s="326"/>
      <c r="IM11" s="326"/>
      <c r="IN11" s="326"/>
      <c r="IO11" s="326"/>
      <c r="IP11" s="326"/>
      <c r="IQ11" s="326"/>
      <c r="IR11" s="326"/>
      <c r="IS11" s="326"/>
      <c r="IT11" s="326"/>
      <c r="IU11" s="326"/>
      <c r="IV11" s="326"/>
    </row>
    <row r="12" spans="1:17" s="766" customFormat="1" ht="18" customHeight="1">
      <c r="A12" s="574">
        <v>3</v>
      </c>
      <c r="B12" s="759"/>
      <c r="C12" s="760"/>
      <c r="D12" s="1974" t="s">
        <v>283</v>
      </c>
      <c r="E12" s="335">
        <f>F12+G12+O15+P12</f>
        <v>8822998</v>
      </c>
      <c r="F12" s="564">
        <v>106200</v>
      </c>
      <c r="G12" s="336">
        <v>145324</v>
      </c>
      <c r="H12" s="774"/>
      <c r="I12" s="788"/>
      <c r="J12" s="784"/>
      <c r="K12" s="784">
        <v>165993</v>
      </c>
      <c r="L12" s="784"/>
      <c r="M12" s="784">
        <v>8405481</v>
      </c>
      <c r="N12" s="784"/>
      <c r="O12" s="758">
        <f>SUM(I12:N12)</f>
        <v>8571474</v>
      </c>
      <c r="P12" s="565"/>
      <c r="Q12" s="793"/>
    </row>
    <row r="13" spans="1:17" s="766" customFormat="1" ht="18" customHeight="1">
      <c r="A13" s="574">
        <v>4</v>
      </c>
      <c r="B13" s="759"/>
      <c r="C13" s="760"/>
      <c r="D13" s="483" t="s">
        <v>938</v>
      </c>
      <c r="E13" s="335"/>
      <c r="F13" s="564"/>
      <c r="G13" s="336"/>
      <c r="H13" s="774"/>
      <c r="I13" s="788"/>
      <c r="J13" s="784"/>
      <c r="K13" s="561">
        <v>165993</v>
      </c>
      <c r="L13" s="561"/>
      <c r="M13" s="561">
        <v>8405481</v>
      </c>
      <c r="N13" s="784"/>
      <c r="O13" s="758">
        <f>SUM(I13:N13)</f>
        <v>8571474</v>
      </c>
      <c r="P13" s="565"/>
      <c r="Q13" s="793"/>
    </row>
    <row r="14" spans="1:17" s="766" customFormat="1" ht="18" customHeight="1">
      <c r="A14" s="574">
        <v>5</v>
      </c>
      <c r="B14" s="759"/>
      <c r="C14" s="760"/>
      <c r="D14" s="1146" t="s">
        <v>674</v>
      </c>
      <c r="E14" s="335"/>
      <c r="F14" s="564"/>
      <c r="G14" s="336"/>
      <c r="H14" s="774"/>
      <c r="I14" s="1325"/>
      <c r="J14" s="1326"/>
      <c r="K14" s="1326"/>
      <c r="L14" s="1326"/>
      <c r="M14" s="1326"/>
      <c r="N14" s="1326"/>
      <c r="O14" s="1327">
        <f>SUM(I14:N14)</f>
        <v>0</v>
      </c>
      <c r="P14" s="565"/>
      <c r="Q14" s="793"/>
    </row>
    <row r="15" spans="1:17" s="766" customFormat="1" ht="18" customHeight="1">
      <c r="A15" s="574">
        <v>6</v>
      </c>
      <c r="B15" s="759"/>
      <c r="C15" s="760"/>
      <c r="D15" s="483" t="s">
        <v>1091</v>
      </c>
      <c r="E15" s="335"/>
      <c r="F15" s="564"/>
      <c r="G15" s="336"/>
      <c r="H15" s="774"/>
      <c r="I15" s="788"/>
      <c r="J15" s="784"/>
      <c r="K15" s="561">
        <f>SUM(K13:K14)</f>
        <v>165993</v>
      </c>
      <c r="L15" s="561"/>
      <c r="M15" s="561">
        <f>SUM(M13:M14)</f>
        <v>8405481</v>
      </c>
      <c r="N15" s="784"/>
      <c r="O15" s="569">
        <f>SUM(I15:N15)</f>
        <v>8571474</v>
      </c>
      <c r="P15" s="565"/>
      <c r="Q15" s="793"/>
    </row>
    <row r="16" spans="1:256" s="560" customFormat="1" ht="22.5" customHeight="1">
      <c r="A16" s="574">
        <v>7</v>
      </c>
      <c r="B16" s="568"/>
      <c r="C16" s="366">
        <v>2</v>
      </c>
      <c r="D16" s="563" t="s">
        <v>451</v>
      </c>
      <c r="E16" s="335"/>
      <c r="F16" s="564"/>
      <c r="G16" s="336"/>
      <c r="H16" s="773" t="s">
        <v>23</v>
      </c>
      <c r="I16" s="788"/>
      <c r="J16" s="784"/>
      <c r="K16" s="784"/>
      <c r="L16" s="784"/>
      <c r="M16" s="784"/>
      <c r="N16" s="784"/>
      <c r="O16" s="569"/>
      <c r="P16" s="565"/>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326"/>
      <c r="HD16" s="326"/>
      <c r="HE16" s="326"/>
      <c r="HF16" s="326"/>
      <c r="HG16" s="326"/>
      <c r="HH16" s="326"/>
      <c r="HI16" s="326"/>
      <c r="HJ16" s="326"/>
      <c r="HK16" s="326"/>
      <c r="HL16" s="326"/>
      <c r="HM16" s="326"/>
      <c r="HN16" s="326"/>
      <c r="HO16" s="326"/>
      <c r="HP16" s="326"/>
      <c r="HQ16" s="326"/>
      <c r="HR16" s="326"/>
      <c r="HS16" s="326"/>
      <c r="HT16" s="326"/>
      <c r="HU16" s="326"/>
      <c r="HV16" s="326"/>
      <c r="HW16" s="326"/>
      <c r="HX16" s="326"/>
      <c r="HY16" s="326"/>
      <c r="HZ16" s="326"/>
      <c r="IA16" s="326"/>
      <c r="IB16" s="326"/>
      <c r="IC16" s="326"/>
      <c r="ID16" s="326"/>
      <c r="IE16" s="326"/>
      <c r="IF16" s="326"/>
      <c r="IG16" s="326"/>
      <c r="IH16" s="326"/>
      <c r="II16" s="326"/>
      <c r="IJ16" s="326"/>
      <c r="IK16" s="326"/>
      <c r="IL16" s="326"/>
      <c r="IM16" s="326"/>
      <c r="IN16" s="326"/>
      <c r="IO16" s="326"/>
      <c r="IP16" s="326"/>
      <c r="IQ16" s="326"/>
      <c r="IR16" s="326"/>
      <c r="IS16" s="326"/>
      <c r="IT16" s="326"/>
      <c r="IU16" s="326"/>
      <c r="IV16" s="326"/>
    </row>
    <row r="17" spans="1:17" s="766" customFormat="1" ht="18" customHeight="1">
      <c r="A17" s="574">
        <v>8</v>
      </c>
      <c r="B17" s="759"/>
      <c r="C17" s="760"/>
      <c r="D17" s="1974" t="s">
        <v>283</v>
      </c>
      <c r="E17" s="335">
        <f>F17+G17+O20+P17</f>
        <v>14460580</v>
      </c>
      <c r="F17" s="564">
        <f>324476+484396</f>
        <v>808872</v>
      </c>
      <c r="G17" s="336">
        <v>427002</v>
      </c>
      <c r="H17" s="774"/>
      <c r="I17" s="788"/>
      <c r="J17" s="784"/>
      <c r="K17" s="784"/>
      <c r="L17" s="784"/>
      <c r="M17" s="784">
        <v>3444126</v>
      </c>
      <c r="N17" s="784"/>
      <c r="O17" s="758">
        <f>SUM(I17:N17)</f>
        <v>3444126</v>
      </c>
      <c r="P17" s="565">
        <v>9780580</v>
      </c>
      <c r="Q17" s="793"/>
    </row>
    <row r="18" spans="1:17" s="766" customFormat="1" ht="18" customHeight="1">
      <c r="A18" s="574">
        <v>9</v>
      </c>
      <c r="B18" s="759"/>
      <c r="C18" s="760"/>
      <c r="D18" s="483" t="s">
        <v>938</v>
      </c>
      <c r="E18" s="335"/>
      <c r="F18" s="564"/>
      <c r="G18" s="336"/>
      <c r="H18" s="774"/>
      <c r="I18" s="788"/>
      <c r="J18" s="784"/>
      <c r="K18" s="561">
        <v>90</v>
      </c>
      <c r="L18" s="784"/>
      <c r="M18" s="561">
        <v>3444036</v>
      </c>
      <c r="N18" s="784"/>
      <c r="O18" s="569">
        <f>SUM(I18:N18)</f>
        <v>3444126</v>
      </c>
      <c r="P18" s="565"/>
      <c r="Q18" s="793"/>
    </row>
    <row r="19" spans="1:17" s="766" customFormat="1" ht="18" customHeight="1">
      <c r="A19" s="574">
        <v>10</v>
      </c>
      <c r="B19" s="759"/>
      <c r="C19" s="760"/>
      <c r="D19" s="1146" t="s">
        <v>689</v>
      </c>
      <c r="E19" s="335"/>
      <c r="F19" s="564"/>
      <c r="G19" s="336"/>
      <c r="H19" s="774"/>
      <c r="I19" s="788"/>
      <c r="J19" s="784"/>
      <c r="K19" s="1306">
        <v>6743</v>
      </c>
      <c r="L19" s="1306"/>
      <c r="M19" s="1306">
        <v>-6743</v>
      </c>
      <c r="N19" s="784"/>
      <c r="O19" s="1327">
        <f>SUM(I19:N19)</f>
        <v>0</v>
      </c>
      <c r="P19" s="565"/>
      <c r="Q19" s="793"/>
    </row>
    <row r="20" spans="1:17" s="766" customFormat="1" ht="18" customHeight="1">
      <c r="A20" s="574">
        <v>11</v>
      </c>
      <c r="B20" s="759"/>
      <c r="C20" s="760"/>
      <c r="D20" s="483" t="s">
        <v>1091</v>
      </c>
      <c r="E20" s="335"/>
      <c r="F20" s="564"/>
      <c r="G20" s="336"/>
      <c r="H20" s="774"/>
      <c r="I20" s="788"/>
      <c r="J20" s="784"/>
      <c r="K20" s="561">
        <f>SUM(K18:K19)</f>
        <v>6833</v>
      </c>
      <c r="L20" s="784"/>
      <c r="M20" s="561">
        <f>SUM(M18:M19)</f>
        <v>3437293</v>
      </c>
      <c r="N20" s="784"/>
      <c r="O20" s="569">
        <f>SUM(I20:N20)</f>
        <v>3444126</v>
      </c>
      <c r="P20" s="565"/>
      <c r="Q20" s="793"/>
    </row>
    <row r="21" spans="1:256" s="560" customFormat="1" ht="22.5" customHeight="1">
      <c r="A21" s="574">
        <v>12</v>
      </c>
      <c r="B21" s="568"/>
      <c r="C21" s="366">
        <v>3</v>
      </c>
      <c r="D21" s="930" t="s">
        <v>452</v>
      </c>
      <c r="E21" s="335"/>
      <c r="F21" s="564"/>
      <c r="G21" s="336"/>
      <c r="H21" s="773" t="s">
        <v>23</v>
      </c>
      <c r="I21" s="788"/>
      <c r="J21" s="784"/>
      <c r="K21" s="784"/>
      <c r="L21" s="784"/>
      <c r="M21" s="784"/>
      <c r="N21" s="784"/>
      <c r="O21" s="569"/>
      <c r="P21" s="565"/>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326"/>
      <c r="DL21" s="326"/>
      <c r="DM21" s="326"/>
      <c r="DN21" s="326"/>
      <c r="DO21" s="326"/>
      <c r="DP21" s="326"/>
      <c r="DQ21" s="326"/>
      <c r="DR21" s="326"/>
      <c r="DS21" s="326"/>
      <c r="DT21" s="326"/>
      <c r="DU21" s="326"/>
      <c r="DV21" s="326"/>
      <c r="DW21" s="326"/>
      <c r="DX21" s="326"/>
      <c r="DY21" s="326"/>
      <c r="DZ21" s="326"/>
      <c r="EA21" s="326"/>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326"/>
      <c r="FK21" s="326"/>
      <c r="FL21" s="326"/>
      <c r="FM21" s="326"/>
      <c r="FN21" s="326"/>
      <c r="FO21" s="326"/>
      <c r="FP21" s="326"/>
      <c r="FQ21" s="326"/>
      <c r="FR21" s="326"/>
      <c r="FS21" s="326"/>
      <c r="FT21" s="326"/>
      <c r="FU21" s="326"/>
      <c r="FV21" s="326"/>
      <c r="FW21" s="326"/>
      <c r="FX21" s="326"/>
      <c r="FY21" s="326"/>
      <c r="FZ21" s="326"/>
      <c r="GA21" s="326"/>
      <c r="GB21" s="326"/>
      <c r="GC21" s="326"/>
      <c r="GD21" s="326"/>
      <c r="GE21" s="326"/>
      <c r="GF21" s="326"/>
      <c r="GG21" s="326"/>
      <c r="GH21" s="326"/>
      <c r="GI21" s="326"/>
      <c r="GJ21" s="326"/>
      <c r="GK21" s="326"/>
      <c r="GL21" s="326"/>
      <c r="GM21" s="326"/>
      <c r="GN21" s="326"/>
      <c r="GO21" s="326"/>
      <c r="GP21" s="326"/>
      <c r="GQ21" s="326"/>
      <c r="GR21" s="326"/>
      <c r="GS21" s="326"/>
      <c r="GT21" s="326"/>
      <c r="GU21" s="326"/>
      <c r="GV21" s="326"/>
      <c r="GW21" s="326"/>
      <c r="GX21" s="326"/>
      <c r="GY21" s="326"/>
      <c r="GZ21" s="326"/>
      <c r="HA21" s="326"/>
      <c r="HB21" s="326"/>
      <c r="HC21" s="326"/>
      <c r="HD21" s="326"/>
      <c r="HE21" s="326"/>
      <c r="HF21" s="326"/>
      <c r="HG21" s="326"/>
      <c r="HH21" s="326"/>
      <c r="HI21" s="326"/>
      <c r="HJ21" s="326"/>
      <c r="HK21" s="326"/>
      <c r="HL21" s="326"/>
      <c r="HM21" s="326"/>
      <c r="HN21" s="326"/>
      <c r="HO21" s="326"/>
      <c r="HP21" s="326"/>
      <c r="HQ21" s="326"/>
      <c r="HR21" s="326"/>
      <c r="HS21" s="326"/>
      <c r="HT21" s="326"/>
      <c r="HU21" s="326"/>
      <c r="HV21" s="326"/>
      <c r="HW21" s="326"/>
      <c r="HX21" s="326"/>
      <c r="HY21" s="326"/>
      <c r="HZ21" s="326"/>
      <c r="IA21" s="326"/>
      <c r="IB21" s="326"/>
      <c r="IC21" s="326"/>
      <c r="ID21" s="326"/>
      <c r="IE21" s="326"/>
      <c r="IF21" s="326"/>
      <c r="IG21" s="326"/>
      <c r="IH21" s="326"/>
      <c r="II21" s="326"/>
      <c r="IJ21" s="326"/>
      <c r="IK21" s="326"/>
      <c r="IL21" s="326"/>
      <c r="IM21" s="326"/>
      <c r="IN21" s="326"/>
      <c r="IO21" s="326"/>
      <c r="IP21" s="326"/>
      <c r="IQ21" s="326"/>
      <c r="IR21" s="326"/>
      <c r="IS21" s="326"/>
      <c r="IT21" s="326"/>
      <c r="IU21" s="326"/>
      <c r="IV21" s="326"/>
    </row>
    <row r="22" spans="1:17" s="766" customFormat="1" ht="18" customHeight="1">
      <c r="A22" s="574">
        <v>13</v>
      </c>
      <c r="B22" s="759"/>
      <c r="C22" s="760"/>
      <c r="D22" s="1974" t="s">
        <v>283</v>
      </c>
      <c r="E22" s="335">
        <f>F22+G22+O25+P22</f>
        <v>1793189</v>
      </c>
      <c r="F22" s="564">
        <f>1281902+1692</f>
        <v>1283594</v>
      </c>
      <c r="G22" s="336">
        <v>494913</v>
      </c>
      <c r="H22" s="774"/>
      <c r="I22" s="788"/>
      <c r="J22" s="784"/>
      <c r="K22" s="784">
        <v>482</v>
      </c>
      <c r="L22" s="784"/>
      <c r="M22" s="784">
        <v>14200</v>
      </c>
      <c r="N22" s="784"/>
      <c r="O22" s="758">
        <f>SUM(I22:N22)</f>
        <v>14682</v>
      </c>
      <c r="P22" s="565"/>
      <c r="Q22" s="793"/>
    </row>
    <row r="23" spans="1:17" s="766" customFormat="1" ht="18" customHeight="1">
      <c r="A23" s="574">
        <v>14</v>
      </c>
      <c r="B23" s="759"/>
      <c r="C23" s="760"/>
      <c r="D23" s="483" t="s">
        <v>938</v>
      </c>
      <c r="E23" s="335"/>
      <c r="F23" s="564"/>
      <c r="G23" s="336"/>
      <c r="H23" s="774"/>
      <c r="I23" s="788"/>
      <c r="J23" s="784"/>
      <c r="K23" s="561">
        <v>57</v>
      </c>
      <c r="L23" s="561">
        <v>425</v>
      </c>
      <c r="M23" s="561">
        <v>12630</v>
      </c>
      <c r="N23" s="784">
        <v>1570</v>
      </c>
      <c r="O23" s="569">
        <f>SUM(I23:N23)</f>
        <v>14682</v>
      </c>
      <c r="P23" s="565"/>
      <c r="Q23" s="793"/>
    </row>
    <row r="24" spans="1:17" s="766" customFormat="1" ht="18" customHeight="1">
      <c r="A24" s="574">
        <v>15</v>
      </c>
      <c r="B24" s="759"/>
      <c r="C24" s="760"/>
      <c r="D24" s="1146" t="s">
        <v>725</v>
      </c>
      <c r="E24" s="335"/>
      <c r="F24" s="564"/>
      <c r="G24" s="336"/>
      <c r="H24" s="774"/>
      <c r="I24" s="788"/>
      <c r="J24" s="784"/>
      <c r="K24" s="1306"/>
      <c r="L24" s="1306"/>
      <c r="M24" s="1306"/>
      <c r="N24" s="1306"/>
      <c r="O24" s="1327">
        <f>SUM(I24:N24)</f>
        <v>0</v>
      </c>
      <c r="P24" s="565"/>
      <c r="Q24" s="793"/>
    </row>
    <row r="25" spans="1:17" s="766" customFormat="1" ht="18" customHeight="1">
      <c r="A25" s="574">
        <v>16</v>
      </c>
      <c r="B25" s="759"/>
      <c r="C25" s="760"/>
      <c r="D25" s="483" t="s">
        <v>1091</v>
      </c>
      <c r="E25" s="335"/>
      <c r="F25" s="564"/>
      <c r="G25" s="336"/>
      <c r="H25" s="774"/>
      <c r="I25" s="788"/>
      <c r="J25" s="784"/>
      <c r="K25" s="561">
        <f>SUM(K23:K24)</f>
        <v>57</v>
      </c>
      <c r="L25" s="561">
        <f>SUM(L23:L24)</f>
        <v>425</v>
      </c>
      <c r="M25" s="561">
        <f>SUM(M23:M24)</f>
        <v>12630</v>
      </c>
      <c r="N25" s="561">
        <f>SUM(N23:N24)</f>
        <v>1570</v>
      </c>
      <c r="O25" s="569">
        <f>SUM(I25:N25)</f>
        <v>14682</v>
      </c>
      <c r="P25" s="565"/>
      <c r="Q25" s="793"/>
    </row>
    <row r="26" spans="1:256" s="560" customFormat="1" ht="49.5" customHeight="1">
      <c r="A26" s="574">
        <v>17</v>
      </c>
      <c r="B26" s="568"/>
      <c r="C26" s="327">
        <v>4</v>
      </c>
      <c r="D26" s="791" t="s">
        <v>453</v>
      </c>
      <c r="E26" s="335"/>
      <c r="F26" s="564"/>
      <c r="G26" s="336"/>
      <c r="H26" s="773" t="s">
        <v>23</v>
      </c>
      <c r="I26" s="788"/>
      <c r="J26" s="784"/>
      <c r="K26" s="784"/>
      <c r="L26" s="784"/>
      <c r="M26" s="784"/>
      <c r="N26" s="784"/>
      <c r="O26" s="569"/>
      <c r="P26" s="565"/>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c r="IU26" s="326"/>
      <c r="IV26" s="326"/>
    </row>
    <row r="27" spans="1:17" s="766" customFormat="1" ht="18" customHeight="1">
      <c r="A27" s="574">
        <v>18</v>
      </c>
      <c r="B27" s="759"/>
      <c r="C27" s="760"/>
      <c r="D27" s="1324" t="s">
        <v>283</v>
      </c>
      <c r="E27" s="335">
        <f>F27+G27+O30+P27</f>
        <v>1658925</v>
      </c>
      <c r="F27" s="564">
        <f>7043+16169</f>
        <v>23212</v>
      </c>
      <c r="G27" s="336">
        <v>7859</v>
      </c>
      <c r="H27" s="774"/>
      <c r="I27" s="788"/>
      <c r="J27" s="784"/>
      <c r="K27" s="784">
        <v>18280</v>
      </c>
      <c r="L27" s="784"/>
      <c r="M27" s="784">
        <v>1609574</v>
      </c>
      <c r="N27" s="784"/>
      <c r="O27" s="758">
        <f>SUM(I27:N27)</f>
        <v>1627854</v>
      </c>
      <c r="P27" s="565"/>
      <c r="Q27" s="793"/>
    </row>
    <row r="28" spans="1:17" s="766" customFormat="1" ht="18" customHeight="1">
      <c r="A28" s="574">
        <v>19</v>
      </c>
      <c r="B28" s="759"/>
      <c r="C28" s="760"/>
      <c r="D28" s="483" t="s">
        <v>938</v>
      </c>
      <c r="E28" s="335"/>
      <c r="F28" s="564"/>
      <c r="G28" s="336"/>
      <c r="H28" s="774"/>
      <c r="I28" s="788"/>
      <c r="J28" s="784"/>
      <c r="K28" s="561">
        <v>10765</v>
      </c>
      <c r="L28" s="561"/>
      <c r="M28" s="561">
        <v>1617089</v>
      </c>
      <c r="N28" s="561"/>
      <c r="O28" s="569">
        <f>SUM(I28:N28)</f>
        <v>1627854</v>
      </c>
      <c r="P28" s="565"/>
      <c r="Q28" s="793"/>
    </row>
    <row r="29" spans="1:17" s="766" customFormat="1" ht="18" customHeight="1">
      <c r="A29" s="574">
        <v>20</v>
      </c>
      <c r="B29" s="759"/>
      <c r="C29" s="760"/>
      <c r="D29" s="1146" t="s">
        <v>725</v>
      </c>
      <c r="E29" s="335"/>
      <c r="F29" s="564"/>
      <c r="G29" s="336"/>
      <c r="H29" s="774"/>
      <c r="I29" s="788"/>
      <c r="J29" s="784"/>
      <c r="K29" s="1306"/>
      <c r="L29" s="1306"/>
      <c r="M29" s="1306"/>
      <c r="N29" s="784"/>
      <c r="O29" s="1327">
        <f>SUM(I29:N29)</f>
        <v>0</v>
      </c>
      <c r="P29" s="565"/>
      <c r="Q29" s="793"/>
    </row>
    <row r="30" spans="1:17" s="766" customFormat="1" ht="18" customHeight="1">
      <c r="A30" s="574">
        <v>21</v>
      </c>
      <c r="B30" s="759"/>
      <c r="C30" s="760"/>
      <c r="D30" s="483" t="s">
        <v>1091</v>
      </c>
      <c r="E30" s="335"/>
      <c r="F30" s="564"/>
      <c r="G30" s="336"/>
      <c r="H30" s="774"/>
      <c r="I30" s="788"/>
      <c r="J30" s="784"/>
      <c r="K30" s="561">
        <f>SUM(K28:K29)</f>
        <v>10765</v>
      </c>
      <c r="L30" s="561"/>
      <c r="M30" s="561">
        <f>SUM(M28:M29)</f>
        <v>1617089</v>
      </c>
      <c r="N30" s="784"/>
      <c r="O30" s="569">
        <f>SUM(I30:N30)</f>
        <v>1627854</v>
      </c>
      <c r="P30" s="565"/>
      <c r="Q30" s="793"/>
    </row>
    <row r="31" spans="1:256" s="560" customFormat="1" ht="22.5" customHeight="1">
      <c r="A31" s="574">
        <v>22</v>
      </c>
      <c r="B31" s="568"/>
      <c r="C31" s="366">
        <v>5</v>
      </c>
      <c r="D31" s="563" t="s">
        <v>454</v>
      </c>
      <c r="E31" s="335"/>
      <c r="F31" s="335"/>
      <c r="G31" s="336"/>
      <c r="H31" s="773" t="s">
        <v>23</v>
      </c>
      <c r="I31" s="789"/>
      <c r="J31" s="783"/>
      <c r="K31" s="783"/>
      <c r="L31" s="783"/>
      <c r="M31" s="783"/>
      <c r="N31" s="783"/>
      <c r="O31" s="573"/>
      <c r="P31" s="565"/>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6"/>
      <c r="DE31" s="326"/>
      <c r="DF31" s="326"/>
      <c r="DG31" s="326"/>
      <c r="DH31" s="326"/>
      <c r="DI31" s="326"/>
      <c r="DJ31" s="326"/>
      <c r="DK31" s="326"/>
      <c r="DL31" s="326"/>
      <c r="DM31" s="326"/>
      <c r="DN31" s="326"/>
      <c r="DO31" s="326"/>
      <c r="DP31" s="326"/>
      <c r="DQ31" s="326"/>
      <c r="DR31" s="326"/>
      <c r="DS31" s="326"/>
      <c r="DT31" s="326"/>
      <c r="DU31" s="326"/>
      <c r="DV31" s="326"/>
      <c r="DW31" s="326"/>
      <c r="DX31" s="326"/>
      <c r="DY31" s="326"/>
      <c r="DZ31" s="326"/>
      <c r="EA31" s="326"/>
      <c r="EB31" s="326"/>
      <c r="EC31" s="326"/>
      <c r="ED31" s="326"/>
      <c r="EE31" s="326"/>
      <c r="EF31" s="326"/>
      <c r="EG31" s="326"/>
      <c r="EH31" s="326"/>
      <c r="EI31" s="326"/>
      <c r="EJ31" s="326"/>
      <c r="EK31" s="326"/>
      <c r="EL31" s="326"/>
      <c r="EM31" s="326"/>
      <c r="EN31" s="326"/>
      <c r="EO31" s="326"/>
      <c r="EP31" s="326"/>
      <c r="EQ31" s="326"/>
      <c r="ER31" s="326"/>
      <c r="ES31" s="326"/>
      <c r="ET31" s="326"/>
      <c r="EU31" s="326"/>
      <c r="EV31" s="326"/>
      <c r="EW31" s="326"/>
      <c r="EX31" s="326"/>
      <c r="EY31" s="326"/>
      <c r="EZ31" s="326"/>
      <c r="FA31" s="326"/>
      <c r="FB31" s="326"/>
      <c r="FC31" s="326"/>
      <c r="FD31" s="326"/>
      <c r="FE31" s="326"/>
      <c r="FF31" s="326"/>
      <c r="FG31" s="326"/>
      <c r="FH31" s="326"/>
      <c r="FI31" s="326"/>
      <c r="FJ31" s="326"/>
      <c r="FK31" s="326"/>
      <c r="FL31" s="326"/>
      <c r="FM31" s="326"/>
      <c r="FN31" s="326"/>
      <c r="FO31" s="326"/>
      <c r="FP31" s="326"/>
      <c r="FQ31" s="326"/>
      <c r="FR31" s="326"/>
      <c r="FS31" s="326"/>
      <c r="FT31" s="326"/>
      <c r="FU31" s="326"/>
      <c r="FV31" s="326"/>
      <c r="FW31" s="326"/>
      <c r="FX31" s="326"/>
      <c r="FY31" s="326"/>
      <c r="FZ31" s="326"/>
      <c r="GA31" s="326"/>
      <c r="GB31" s="326"/>
      <c r="GC31" s="326"/>
      <c r="GD31" s="326"/>
      <c r="GE31" s="326"/>
      <c r="GF31" s="326"/>
      <c r="GG31" s="326"/>
      <c r="GH31" s="326"/>
      <c r="GI31" s="326"/>
      <c r="GJ31" s="326"/>
      <c r="GK31" s="326"/>
      <c r="GL31" s="326"/>
      <c r="GM31" s="326"/>
      <c r="GN31" s="326"/>
      <c r="GO31" s="326"/>
      <c r="GP31" s="326"/>
      <c r="GQ31" s="326"/>
      <c r="GR31" s="326"/>
      <c r="GS31" s="326"/>
      <c r="GT31" s="326"/>
      <c r="GU31" s="326"/>
      <c r="GV31" s="326"/>
      <c r="GW31" s="326"/>
      <c r="GX31" s="326"/>
      <c r="GY31" s="326"/>
      <c r="GZ31" s="326"/>
      <c r="HA31" s="326"/>
      <c r="HB31" s="326"/>
      <c r="HC31" s="326"/>
      <c r="HD31" s="326"/>
      <c r="HE31" s="326"/>
      <c r="HF31" s="326"/>
      <c r="HG31" s="326"/>
      <c r="HH31" s="326"/>
      <c r="HI31" s="326"/>
      <c r="HJ31" s="326"/>
      <c r="HK31" s="326"/>
      <c r="HL31" s="326"/>
      <c r="HM31" s="326"/>
      <c r="HN31" s="326"/>
      <c r="HO31" s="326"/>
      <c r="HP31" s="326"/>
      <c r="HQ31" s="326"/>
      <c r="HR31" s="326"/>
      <c r="HS31" s="326"/>
      <c r="HT31" s="326"/>
      <c r="HU31" s="326"/>
      <c r="HV31" s="326"/>
      <c r="HW31" s="326"/>
      <c r="HX31" s="326"/>
      <c r="HY31" s="326"/>
      <c r="HZ31" s="326"/>
      <c r="IA31" s="326"/>
      <c r="IB31" s="326"/>
      <c r="IC31" s="326"/>
      <c r="ID31" s="326"/>
      <c r="IE31" s="326"/>
      <c r="IF31" s="326"/>
      <c r="IG31" s="326"/>
      <c r="IH31" s="326"/>
      <c r="II31" s="326"/>
      <c r="IJ31" s="326"/>
      <c r="IK31" s="326"/>
      <c r="IL31" s="326"/>
      <c r="IM31" s="326"/>
      <c r="IN31" s="326"/>
      <c r="IO31" s="326"/>
      <c r="IP31" s="326"/>
      <c r="IQ31" s="326"/>
      <c r="IR31" s="326"/>
      <c r="IS31" s="326"/>
      <c r="IT31" s="326"/>
      <c r="IU31" s="326"/>
      <c r="IV31" s="326"/>
    </row>
    <row r="32" spans="1:16" ht="18" customHeight="1">
      <c r="A32" s="574">
        <v>23</v>
      </c>
      <c r="B32" s="466"/>
      <c r="C32" s="366"/>
      <c r="D32" s="1324" t="s">
        <v>283</v>
      </c>
      <c r="E32" s="335">
        <f>F32+G32+O35+P32</f>
        <v>76282</v>
      </c>
      <c r="F32" s="335">
        <v>10737</v>
      </c>
      <c r="G32" s="336">
        <v>25052</v>
      </c>
      <c r="H32" s="773"/>
      <c r="I32" s="789"/>
      <c r="J32" s="783"/>
      <c r="K32" s="783"/>
      <c r="L32" s="783"/>
      <c r="M32" s="783"/>
      <c r="N32" s="783">
        <v>40493</v>
      </c>
      <c r="O32" s="758">
        <f>SUM(I32:N32)</f>
        <v>40493</v>
      </c>
      <c r="P32" s="565"/>
    </row>
    <row r="33" spans="1:16" ht="18" customHeight="1">
      <c r="A33" s="574">
        <v>24</v>
      </c>
      <c r="B33" s="466"/>
      <c r="C33" s="366"/>
      <c r="D33" s="483" t="s">
        <v>938</v>
      </c>
      <c r="E33" s="335"/>
      <c r="F33" s="335"/>
      <c r="G33" s="336"/>
      <c r="H33" s="773"/>
      <c r="I33" s="789"/>
      <c r="J33" s="783"/>
      <c r="K33" s="783"/>
      <c r="L33" s="783"/>
      <c r="M33" s="783"/>
      <c r="N33" s="335">
        <v>40493</v>
      </c>
      <c r="O33" s="758">
        <f>SUM(I33:N33)</f>
        <v>40493</v>
      </c>
      <c r="P33" s="565"/>
    </row>
    <row r="34" spans="1:16" ht="18" customHeight="1">
      <c r="A34" s="574">
        <v>25</v>
      </c>
      <c r="B34" s="466"/>
      <c r="C34" s="366"/>
      <c r="D34" s="1146" t="s">
        <v>674</v>
      </c>
      <c r="E34" s="335"/>
      <c r="F34" s="335"/>
      <c r="G34" s="336"/>
      <c r="H34" s="773"/>
      <c r="I34" s="789"/>
      <c r="J34" s="783"/>
      <c r="K34" s="783"/>
      <c r="L34" s="783"/>
      <c r="M34" s="783"/>
      <c r="N34" s="783"/>
      <c r="O34" s="1327">
        <f>SUM(I34:N34)</f>
        <v>0</v>
      </c>
      <c r="P34" s="565"/>
    </row>
    <row r="35" spans="1:16" ht="18" customHeight="1">
      <c r="A35" s="574">
        <v>26</v>
      </c>
      <c r="B35" s="466"/>
      <c r="C35" s="366"/>
      <c r="D35" s="483" t="s">
        <v>1091</v>
      </c>
      <c r="E35" s="335"/>
      <c r="F35" s="335"/>
      <c r="G35" s="336"/>
      <c r="H35" s="773"/>
      <c r="I35" s="789"/>
      <c r="J35" s="783"/>
      <c r="K35" s="783"/>
      <c r="L35" s="783"/>
      <c r="M35" s="783"/>
      <c r="N35" s="335">
        <f>SUM(N33:N34)</f>
        <v>40493</v>
      </c>
      <c r="O35" s="569">
        <f>SUM(I35:N35)</f>
        <v>40493</v>
      </c>
      <c r="P35" s="565"/>
    </row>
    <row r="36" spans="1:256" s="560" customFormat="1" ht="22.5" customHeight="1">
      <c r="A36" s="574">
        <v>27</v>
      </c>
      <c r="B36" s="568"/>
      <c r="C36" s="366">
        <v>6</v>
      </c>
      <c r="D36" s="328" t="s">
        <v>455</v>
      </c>
      <c r="E36" s="335"/>
      <c r="F36" s="564"/>
      <c r="G36" s="336"/>
      <c r="H36" s="773" t="s">
        <v>23</v>
      </c>
      <c r="I36" s="788"/>
      <c r="J36" s="784"/>
      <c r="K36" s="784"/>
      <c r="L36" s="784"/>
      <c r="M36" s="784"/>
      <c r="N36" s="784"/>
      <c r="O36" s="569"/>
      <c r="P36" s="565"/>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326"/>
      <c r="DI36" s="326"/>
      <c r="DJ36" s="326"/>
      <c r="DK36" s="326"/>
      <c r="DL36" s="326"/>
      <c r="DM36" s="326"/>
      <c r="DN36" s="326"/>
      <c r="DO36" s="326"/>
      <c r="DP36" s="326"/>
      <c r="DQ36" s="326"/>
      <c r="DR36" s="326"/>
      <c r="DS36" s="326"/>
      <c r="DT36" s="326"/>
      <c r="DU36" s="326"/>
      <c r="DV36" s="326"/>
      <c r="DW36" s="326"/>
      <c r="DX36" s="326"/>
      <c r="DY36" s="326"/>
      <c r="DZ36" s="326"/>
      <c r="EA36" s="326"/>
      <c r="EB36" s="326"/>
      <c r="EC36" s="326"/>
      <c r="ED36" s="326"/>
      <c r="EE36" s="326"/>
      <c r="EF36" s="326"/>
      <c r="EG36" s="326"/>
      <c r="EH36" s="326"/>
      <c r="EI36" s="326"/>
      <c r="EJ36" s="326"/>
      <c r="EK36" s="326"/>
      <c r="EL36" s="326"/>
      <c r="EM36" s="326"/>
      <c r="EN36" s="326"/>
      <c r="EO36" s="326"/>
      <c r="EP36" s="326"/>
      <c r="EQ36" s="326"/>
      <c r="ER36" s="326"/>
      <c r="ES36" s="326"/>
      <c r="ET36" s="326"/>
      <c r="EU36" s="326"/>
      <c r="EV36" s="326"/>
      <c r="EW36" s="326"/>
      <c r="EX36" s="326"/>
      <c r="EY36" s="326"/>
      <c r="EZ36" s="326"/>
      <c r="FA36" s="326"/>
      <c r="FB36" s="326"/>
      <c r="FC36" s="326"/>
      <c r="FD36" s="326"/>
      <c r="FE36" s="326"/>
      <c r="FF36" s="326"/>
      <c r="FG36" s="326"/>
      <c r="FH36" s="326"/>
      <c r="FI36" s="326"/>
      <c r="FJ36" s="326"/>
      <c r="FK36" s="326"/>
      <c r="FL36" s="326"/>
      <c r="FM36" s="326"/>
      <c r="FN36" s="326"/>
      <c r="FO36" s="326"/>
      <c r="FP36" s="326"/>
      <c r="FQ36" s="326"/>
      <c r="FR36" s="326"/>
      <c r="FS36" s="326"/>
      <c r="FT36" s="326"/>
      <c r="FU36" s="326"/>
      <c r="FV36" s="326"/>
      <c r="FW36" s="326"/>
      <c r="FX36" s="326"/>
      <c r="FY36" s="326"/>
      <c r="FZ36" s="326"/>
      <c r="GA36" s="326"/>
      <c r="GB36" s="326"/>
      <c r="GC36" s="326"/>
      <c r="GD36" s="326"/>
      <c r="GE36" s="326"/>
      <c r="GF36" s="326"/>
      <c r="GG36" s="326"/>
      <c r="GH36" s="326"/>
      <c r="GI36" s="326"/>
      <c r="GJ36" s="326"/>
      <c r="GK36" s="326"/>
      <c r="GL36" s="326"/>
      <c r="GM36" s="326"/>
      <c r="GN36" s="326"/>
      <c r="GO36" s="326"/>
      <c r="GP36" s="326"/>
      <c r="GQ36" s="326"/>
      <c r="GR36" s="326"/>
      <c r="GS36" s="326"/>
      <c r="GT36" s="326"/>
      <c r="GU36" s="326"/>
      <c r="GV36" s="326"/>
      <c r="GW36" s="326"/>
      <c r="GX36" s="326"/>
      <c r="GY36" s="326"/>
      <c r="GZ36" s="326"/>
      <c r="HA36" s="326"/>
      <c r="HB36" s="326"/>
      <c r="HC36" s="326"/>
      <c r="HD36" s="326"/>
      <c r="HE36" s="326"/>
      <c r="HF36" s="326"/>
      <c r="HG36" s="326"/>
      <c r="HH36" s="326"/>
      <c r="HI36" s="326"/>
      <c r="HJ36" s="326"/>
      <c r="HK36" s="326"/>
      <c r="HL36" s="326"/>
      <c r="HM36" s="326"/>
      <c r="HN36" s="326"/>
      <c r="HO36" s="326"/>
      <c r="HP36" s="326"/>
      <c r="HQ36" s="326"/>
      <c r="HR36" s="326"/>
      <c r="HS36" s="326"/>
      <c r="HT36" s="326"/>
      <c r="HU36" s="326"/>
      <c r="HV36" s="326"/>
      <c r="HW36" s="326"/>
      <c r="HX36" s="326"/>
      <c r="HY36" s="326"/>
      <c r="HZ36" s="326"/>
      <c r="IA36" s="326"/>
      <c r="IB36" s="326"/>
      <c r="IC36" s="326"/>
      <c r="ID36" s="326"/>
      <c r="IE36" s="326"/>
      <c r="IF36" s="326"/>
      <c r="IG36" s="326"/>
      <c r="IH36" s="326"/>
      <c r="II36" s="326"/>
      <c r="IJ36" s="326"/>
      <c r="IK36" s="326"/>
      <c r="IL36" s="326"/>
      <c r="IM36" s="326"/>
      <c r="IN36" s="326"/>
      <c r="IO36" s="326"/>
      <c r="IP36" s="326"/>
      <c r="IQ36" s="326"/>
      <c r="IR36" s="326"/>
      <c r="IS36" s="326"/>
      <c r="IT36" s="326"/>
      <c r="IU36" s="326"/>
      <c r="IV36" s="326"/>
    </row>
    <row r="37" spans="1:16" ht="18" customHeight="1">
      <c r="A37" s="574">
        <v>28</v>
      </c>
      <c r="B37" s="466"/>
      <c r="C37" s="366"/>
      <c r="D37" s="1324" t="s">
        <v>283</v>
      </c>
      <c r="E37" s="335">
        <f>F37+G37+O40+P37</f>
        <v>250000</v>
      </c>
      <c r="F37" s="564"/>
      <c r="G37" s="336">
        <v>99177</v>
      </c>
      <c r="H37" s="773"/>
      <c r="I37" s="788"/>
      <c r="J37" s="784"/>
      <c r="K37" s="784">
        <v>500</v>
      </c>
      <c r="L37" s="784"/>
      <c r="M37" s="784">
        <v>150323</v>
      </c>
      <c r="N37" s="784"/>
      <c r="O37" s="758">
        <f>SUM(I37:N37)</f>
        <v>150823</v>
      </c>
      <c r="P37" s="565"/>
    </row>
    <row r="38" spans="1:16" ht="18" customHeight="1">
      <c r="A38" s="574">
        <v>29</v>
      </c>
      <c r="B38" s="466"/>
      <c r="C38" s="366"/>
      <c r="D38" s="483" t="s">
        <v>938</v>
      </c>
      <c r="E38" s="335"/>
      <c r="F38" s="564"/>
      <c r="G38" s="336"/>
      <c r="H38" s="773"/>
      <c r="I38" s="788"/>
      <c r="J38" s="784"/>
      <c r="K38" s="561">
        <v>0</v>
      </c>
      <c r="L38" s="561"/>
      <c r="M38" s="561">
        <v>150823</v>
      </c>
      <c r="N38" s="561"/>
      <c r="O38" s="569">
        <f>SUM(I38:N38)</f>
        <v>150823</v>
      </c>
      <c r="P38" s="565"/>
    </row>
    <row r="39" spans="1:16" ht="18" customHeight="1">
      <c r="A39" s="574">
        <v>30</v>
      </c>
      <c r="B39" s="466"/>
      <c r="C39" s="366"/>
      <c r="D39" s="1146" t="s">
        <v>725</v>
      </c>
      <c r="E39" s="335"/>
      <c r="F39" s="564"/>
      <c r="G39" s="336"/>
      <c r="H39" s="773"/>
      <c r="I39" s="788"/>
      <c r="J39" s="784"/>
      <c r="K39" s="1306"/>
      <c r="L39" s="1306"/>
      <c r="M39" s="1306"/>
      <c r="N39" s="784"/>
      <c r="O39" s="1327">
        <f>SUM(I39:N39)</f>
        <v>0</v>
      </c>
      <c r="P39" s="565"/>
    </row>
    <row r="40" spans="1:16" ht="18" customHeight="1">
      <c r="A40" s="574">
        <v>31</v>
      </c>
      <c r="B40" s="466"/>
      <c r="C40" s="366"/>
      <c r="D40" s="483" t="s">
        <v>1091</v>
      </c>
      <c r="E40" s="335"/>
      <c r="F40" s="564"/>
      <c r="G40" s="336"/>
      <c r="H40" s="773"/>
      <c r="I40" s="788"/>
      <c r="J40" s="784"/>
      <c r="K40" s="561">
        <f>SUM(K38:K39)</f>
        <v>0</v>
      </c>
      <c r="L40" s="561"/>
      <c r="M40" s="561">
        <f>SUM(M38:M39)</f>
        <v>150823</v>
      </c>
      <c r="N40" s="784"/>
      <c r="O40" s="569">
        <f>SUM(I40:N40)</f>
        <v>150823</v>
      </c>
      <c r="P40" s="565"/>
    </row>
    <row r="41" spans="1:16" ht="22.5" customHeight="1">
      <c r="A41" s="574">
        <v>32</v>
      </c>
      <c r="B41" s="466"/>
      <c r="C41" s="366">
        <v>7</v>
      </c>
      <c r="D41" s="572" t="s">
        <v>456</v>
      </c>
      <c r="E41" s="335"/>
      <c r="F41" s="564"/>
      <c r="G41" s="336"/>
      <c r="H41" s="773" t="s">
        <v>23</v>
      </c>
      <c r="I41" s="788"/>
      <c r="J41" s="784"/>
      <c r="K41" s="784"/>
      <c r="L41" s="784"/>
      <c r="M41" s="784"/>
      <c r="N41" s="784"/>
      <c r="O41" s="569"/>
      <c r="P41" s="565"/>
    </row>
    <row r="42" spans="1:256" s="560" customFormat="1" ht="18" customHeight="1">
      <c r="A42" s="574">
        <v>33</v>
      </c>
      <c r="B42" s="568"/>
      <c r="C42" s="327"/>
      <c r="D42" s="1324" t="s">
        <v>283</v>
      </c>
      <c r="E42" s="335">
        <f>F42+G42+O45+P42</f>
        <v>957296</v>
      </c>
      <c r="F42" s="564">
        <v>820</v>
      </c>
      <c r="G42" s="336">
        <v>202384</v>
      </c>
      <c r="H42" s="773"/>
      <c r="I42" s="788"/>
      <c r="J42" s="784"/>
      <c r="K42" s="784">
        <v>564</v>
      </c>
      <c r="L42" s="784"/>
      <c r="M42" s="784">
        <v>753528</v>
      </c>
      <c r="N42" s="784"/>
      <c r="O42" s="758">
        <f>SUM(I42:N42)</f>
        <v>754092</v>
      </c>
      <c r="P42" s="565"/>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c r="DY42" s="326"/>
      <c r="DZ42" s="326"/>
      <c r="EA42" s="326"/>
      <c r="EB42" s="326"/>
      <c r="EC42" s="326"/>
      <c r="ED42" s="326"/>
      <c r="EE42" s="326"/>
      <c r="EF42" s="326"/>
      <c r="EG42" s="326"/>
      <c r="EH42" s="326"/>
      <c r="EI42" s="326"/>
      <c r="EJ42" s="326"/>
      <c r="EK42" s="326"/>
      <c r="EL42" s="326"/>
      <c r="EM42" s="326"/>
      <c r="EN42" s="326"/>
      <c r="EO42" s="326"/>
      <c r="EP42" s="326"/>
      <c r="EQ42" s="326"/>
      <c r="ER42" s="326"/>
      <c r="ES42" s="326"/>
      <c r="ET42" s="326"/>
      <c r="EU42" s="326"/>
      <c r="EV42" s="326"/>
      <c r="EW42" s="326"/>
      <c r="EX42" s="326"/>
      <c r="EY42" s="326"/>
      <c r="EZ42" s="326"/>
      <c r="FA42" s="326"/>
      <c r="FB42" s="326"/>
      <c r="FC42" s="326"/>
      <c r="FD42" s="326"/>
      <c r="FE42" s="326"/>
      <c r="FF42" s="326"/>
      <c r="FG42" s="326"/>
      <c r="FH42" s="326"/>
      <c r="FI42" s="326"/>
      <c r="FJ42" s="326"/>
      <c r="FK42" s="326"/>
      <c r="FL42" s="326"/>
      <c r="FM42" s="326"/>
      <c r="FN42" s="326"/>
      <c r="FO42" s="326"/>
      <c r="FP42" s="326"/>
      <c r="FQ42" s="326"/>
      <c r="FR42" s="326"/>
      <c r="FS42" s="326"/>
      <c r="FT42" s="326"/>
      <c r="FU42" s="326"/>
      <c r="FV42" s="326"/>
      <c r="FW42" s="326"/>
      <c r="FX42" s="326"/>
      <c r="FY42" s="326"/>
      <c r="FZ42" s="326"/>
      <c r="GA42" s="326"/>
      <c r="GB42" s="326"/>
      <c r="GC42" s="326"/>
      <c r="GD42" s="326"/>
      <c r="GE42" s="326"/>
      <c r="GF42" s="326"/>
      <c r="GG42" s="326"/>
      <c r="GH42" s="326"/>
      <c r="GI42" s="326"/>
      <c r="GJ42" s="326"/>
      <c r="GK42" s="326"/>
      <c r="GL42" s="326"/>
      <c r="GM42" s="326"/>
      <c r="GN42" s="326"/>
      <c r="GO42" s="326"/>
      <c r="GP42" s="326"/>
      <c r="GQ42" s="326"/>
      <c r="GR42" s="326"/>
      <c r="GS42" s="326"/>
      <c r="GT42" s="326"/>
      <c r="GU42" s="326"/>
      <c r="GV42" s="326"/>
      <c r="GW42" s="326"/>
      <c r="GX42" s="326"/>
      <c r="GY42" s="326"/>
      <c r="GZ42" s="326"/>
      <c r="HA42" s="326"/>
      <c r="HB42" s="326"/>
      <c r="HC42" s="326"/>
      <c r="HD42" s="326"/>
      <c r="HE42" s="326"/>
      <c r="HF42" s="326"/>
      <c r="HG42" s="326"/>
      <c r="HH42" s="326"/>
      <c r="HI42" s="326"/>
      <c r="HJ42" s="326"/>
      <c r="HK42" s="326"/>
      <c r="HL42" s="326"/>
      <c r="HM42" s="326"/>
      <c r="HN42" s="326"/>
      <c r="HO42" s="326"/>
      <c r="HP42" s="326"/>
      <c r="HQ42" s="326"/>
      <c r="HR42" s="326"/>
      <c r="HS42" s="326"/>
      <c r="HT42" s="326"/>
      <c r="HU42" s="326"/>
      <c r="HV42" s="326"/>
      <c r="HW42" s="326"/>
      <c r="HX42" s="326"/>
      <c r="HY42" s="326"/>
      <c r="HZ42" s="326"/>
      <c r="IA42" s="326"/>
      <c r="IB42" s="326"/>
      <c r="IC42" s="326"/>
      <c r="ID42" s="326"/>
      <c r="IE42" s="326"/>
      <c r="IF42" s="326"/>
      <c r="IG42" s="326"/>
      <c r="IH42" s="326"/>
      <c r="II42" s="326"/>
      <c r="IJ42" s="326"/>
      <c r="IK42" s="326"/>
      <c r="IL42" s="326"/>
      <c r="IM42" s="326"/>
      <c r="IN42" s="326"/>
      <c r="IO42" s="326"/>
      <c r="IP42" s="326"/>
      <c r="IQ42" s="326"/>
      <c r="IR42" s="326"/>
      <c r="IS42" s="326"/>
      <c r="IT42" s="326"/>
      <c r="IU42" s="326"/>
      <c r="IV42" s="326"/>
    </row>
    <row r="43" spans="1:256" s="560" customFormat="1" ht="18" customHeight="1">
      <c r="A43" s="574">
        <v>34</v>
      </c>
      <c r="B43" s="568"/>
      <c r="C43" s="327"/>
      <c r="D43" s="483" t="s">
        <v>938</v>
      </c>
      <c r="E43" s="335"/>
      <c r="F43" s="564"/>
      <c r="G43" s="336"/>
      <c r="H43" s="773"/>
      <c r="I43" s="788"/>
      <c r="J43" s="784"/>
      <c r="K43" s="561">
        <v>564</v>
      </c>
      <c r="L43" s="561"/>
      <c r="M43" s="561">
        <v>753528</v>
      </c>
      <c r="N43" s="561"/>
      <c r="O43" s="569">
        <f>SUM(I43:N43)</f>
        <v>754092</v>
      </c>
      <c r="P43" s="565"/>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6"/>
      <c r="BZ43" s="326"/>
      <c r="CA43" s="326"/>
      <c r="CB43" s="326"/>
      <c r="CC43" s="326"/>
      <c r="CD43" s="326"/>
      <c r="CE43" s="326"/>
      <c r="CF43" s="326"/>
      <c r="CG43" s="326"/>
      <c r="CH43" s="326"/>
      <c r="CI43" s="326"/>
      <c r="CJ43" s="326"/>
      <c r="CK43" s="326"/>
      <c r="CL43" s="326"/>
      <c r="CM43" s="326"/>
      <c r="CN43" s="326"/>
      <c r="CO43" s="326"/>
      <c r="CP43" s="326"/>
      <c r="CQ43" s="326"/>
      <c r="CR43" s="326"/>
      <c r="CS43" s="326"/>
      <c r="CT43" s="326"/>
      <c r="CU43" s="326"/>
      <c r="CV43" s="326"/>
      <c r="CW43" s="326"/>
      <c r="CX43" s="326"/>
      <c r="CY43" s="326"/>
      <c r="CZ43" s="326"/>
      <c r="DA43" s="326"/>
      <c r="DB43" s="326"/>
      <c r="DC43" s="326"/>
      <c r="DD43" s="326"/>
      <c r="DE43" s="326"/>
      <c r="DF43" s="326"/>
      <c r="DG43" s="326"/>
      <c r="DH43" s="326"/>
      <c r="DI43" s="326"/>
      <c r="DJ43" s="326"/>
      <c r="DK43" s="326"/>
      <c r="DL43" s="326"/>
      <c r="DM43" s="326"/>
      <c r="DN43" s="326"/>
      <c r="DO43" s="326"/>
      <c r="DP43" s="326"/>
      <c r="DQ43" s="326"/>
      <c r="DR43" s="326"/>
      <c r="DS43" s="326"/>
      <c r="DT43" s="326"/>
      <c r="DU43" s="326"/>
      <c r="DV43" s="326"/>
      <c r="DW43" s="326"/>
      <c r="DX43" s="326"/>
      <c r="DY43" s="326"/>
      <c r="DZ43" s="326"/>
      <c r="EA43" s="326"/>
      <c r="EB43" s="326"/>
      <c r="EC43" s="326"/>
      <c r="ED43" s="326"/>
      <c r="EE43" s="326"/>
      <c r="EF43" s="326"/>
      <c r="EG43" s="326"/>
      <c r="EH43" s="326"/>
      <c r="EI43" s="326"/>
      <c r="EJ43" s="326"/>
      <c r="EK43" s="326"/>
      <c r="EL43" s="326"/>
      <c r="EM43" s="326"/>
      <c r="EN43" s="326"/>
      <c r="EO43" s="326"/>
      <c r="EP43" s="326"/>
      <c r="EQ43" s="326"/>
      <c r="ER43" s="326"/>
      <c r="ES43" s="326"/>
      <c r="ET43" s="326"/>
      <c r="EU43" s="326"/>
      <c r="EV43" s="326"/>
      <c r="EW43" s="326"/>
      <c r="EX43" s="326"/>
      <c r="EY43" s="326"/>
      <c r="EZ43" s="326"/>
      <c r="FA43" s="326"/>
      <c r="FB43" s="326"/>
      <c r="FC43" s="326"/>
      <c r="FD43" s="326"/>
      <c r="FE43" s="326"/>
      <c r="FF43" s="326"/>
      <c r="FG43" s="326"/>
      <c r="FH43" s="326"/>
      <c r="FI43" s="326"/>
      <c r="FJ43" s="326"/>
      <c r="FK43" s="326"/>
      <c r="FL43" s="326"/>
      <c r="FM43" s="326"/>
      <c r="FN43" s="326"/>
      <c r="FO43" s="326"/>
      <c r="FP43" s="326"/>
      <c r="FQ43" s="326"/>
      <c r="FR43" s="326"/>
      <c r="FS43" s="326"/>
      <c r="FT43" s="326"/>
      <c r="FU43" s="326"/>
      <c r="FV43" s="326"/>
      <c r="FW43" s="326"/>
      <c r="FX43" s="326"/>
      <c r="FY43" s="326"/>
      <c r="FZ43" s="326"/>
      <c r="GA43" s="326"/>
      <c r="GB43" s="326"/>
      <c r="GC43" s="326"/>
      <c r="GD43" s="326"/>
      <c r="GE43" s="326"/>
      <c r="GF43" s="326"/>
      <c r="GG43" s="326"/>
      <c r="GH43" s="326"/>
      <c r="GI43" s="326"/>
      <c r="GJ43" s="326"/>
      <c r="GK43" s="326"/>
      <c r="GL43" s="326"/>
      <c r="GM43" s="326"/>
      <c r="GN43" s="326"/>
      <c r="GO43" s="326"/>
      <c r="GP43" s="326"/>
      <c r="GQ43" s="326"/>
      <c r="GR43" s="326"/>
      <c r="GS43" s="326"/>
      <c r="GT43" s="326"/>
      <c r="GU43" s="326"/>
      <c r="GV43" s="326"/>
      <c r="GW43" s="326"/>
      <c r="GX43" s="326"/>
      <c r="GY43" s="326"/>
      <c r="GZ43" s="326"/>
      <c r="HA43" s="326"/>
      <c r="HB43" s="326"/>
      <c r="HC43" s="326"/>
      <c r="HD43" s="326"/>
      <c r="HE43" s="326"/>
      <c r="HF43" s="326"/>
      <c r="HG43" s="326"/>
      <c r="HH43" s="326"/>
      <c r="HI43" s="326"/>
      <c r="HJ43" s="326"/>
      <c r="HK43" s="326"/>
      <c r="HL43" s="326"/>
      <c r="HM43" s="326"/>
      <c r="HN43" s="326"/>
      <c r="HO43" s="326"/>
      <c r="HP43" s="326"/>
      <c r="HQ43" s="326"/>
      <c r="HR43" s="326"/>
      <c r="HS43" s="326"/>
      <c r="HT43" s="326"/>
      <c r="HU43" s="326"/>
      <c r="HV43" s="326"/>
      <c r="HW43" s="326"/>
      <c r="HX43" s="326"/>
      <c r="HY43" s="326"/>
      <c r="HZ43" s="326"/>
      <c r="IA43" s="326"/>
      <c r="IB43" s="326"/>
      <c r="IC43" s="326"/>
      <c r="ID43" s="326"/>
      <c r="IE43" s="326"/>
      <c r="IF43" s="326"/>
      <c r="IG43" s="326"/>
      <c r="IH43" s="326"/>
      <c r="II43" s="326"/>
      <c r="IJ43" s="326"/>
      <c r="IK43" s="326"/>
      <c r="IL43" s="326"/>
      <c r="IM43" s="326"/>
      <c r="IN43" s="326"/>
      <c r="IO43" s="326"/>
      <c r="IP43" s="326"/>
      <c r="IQ43" s="326"/>
      <c r="IR43" s="326"/>
      <c r="IS43" s="326"/>
      <c r="IT43" s="326"/>
      <c r="IU43" s="326"/>
      <c r="IV43" s="326"/>
    </row>
    <row r="44" spans="1:256" s="560" customFormat="1" ht="18" customHeight="1">
      <c r="A44" s="574">
        <v>35</v>
      </c>
      <c r="B44" s="568"/>
      <c r="C44" s="327"/>
      <c r="D44" s="1146" t="s">
        <v>674</v>
      </c>
      <c r="E44" s="335"/>
      <c r="F44" s="564"/>
      <c r="G44" s="336"/>
      <c r="H44" s="773"/>
      <c r="I44" s="788"/>
      <c r="J44" s="784"/>
      <c r="K44" s="784"/>
      <c r="L44" s="784"/>
      <c r="M44" s="784"/>
      <c r="N44" s="784"/>
      <c r="O44" s="1327">
        <f>SUM(I44:N44)</f>
        <v>0</v>
      </c>
      <c r="P44" s="565"/>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c r="DZ44" s="326"/>
      <c r="EA44" s="326"/>
      <c r="EB44" s="326"/>
      <c r="EC44" s="326"/>
      <c r="ED44" s="326"/>
      <c r="EE44" s="326"/>
      <c r="EF44" s="326"/>
      <c r="EG44" s="326"/>
      <c r="EH44" s="326"/>
      <c r="EI44" s="326"/>
      <c r="EJ44" s="326"/>
      <c r="EK44" s="326"/>
      <c r="EL44" s="326"/>
      <c r="EM44" s="326"/>
      <c r="EN44" s="326"/>
      <c r="EO44" s="326"/>
      <c r="EP44" s="326"/>
      <c r="EQ44" s="326"/>
      <c r="ER44" s="326"/>
      <c r="ES44" s="326"/>
      <c r="ET44" s="326"/>
      <c r="EU44" s="326"/>
      <c r="EV44" s="326"/>
      <c r="EW44" s="326"/>
      <c r="EX44" s="326"/>
      <c r="EY44" s="326"/>
      <c r="EZ44" s="326"/>
      <c r="FA44" s="326"/>
      <c r="FB44" s="326"/>
      <c r="FC44" s="326"/>
      <c r="FD44" s="326"/>
      <c r="FE44" s="326"/>
      <c r="FF44" s="326"/>
      <c r="FG44" s="326"/>
      <c r="FH44" s="326"/>
      <c r="FI44" s="326"/>
      <c r="FJ44" s="326"/>
      <c r="FK44" s="326"/>
      <c r="FL44" s="326"/>
      <c r="FM44" s="326"/>
      <c r="FN44" s="326"/>
      <c r="FO44" s="326"/>
      <c r="FP44" s="326"/>
      <c r="FQ44" s="326"/>
      <c r="FR44" s="326"/>
      <c r="FS44" s="326"/>
      <c r="FT44" s="326"/>
      <c r="FU44" s="326"/>
      <c r="FV44" s="326"/>
      <c r="FW44" s="326"/>
      <c r="FX44" s="326"/>
      <c r="FY44" s="326"/>
      <c r="FZ44" s="326"/>
      <c r="GA44" s="326"/>
      <c r="GB44" s="326"/>
      <c r="GC44" s="326"/>
      <c r="GD44" s="326"/>
      <c r="GE44" s="326"/>
      <c r="GF44" s="326"/>
      <c r="GG44" s="326"/>
      <c r="GH44" s="326"/>
      <c r="GI44" s="326"/>
      <c r="GJ44" s="326"/>
      <c r="GK44" s="326"/>
      <c r="GL44" s="326"/>
      <c r="GM44" s="326"/>
      <c r="GN44" s="326"/>
      <c r="GO44" s="326"/>
      <c r="GP44" s="326"/>
      <c r="GQ44" s="326"/>
      <c r="GR44" s="326"/>
      <c r="GS44" s="326"/>
      <c r="GT44" s="326"/>
      <c r="GU44" s="326"/>
      <c r="GV44" s="326"/>
      <c r="GW44" s="326"/>
      <c r="GX44" s="326"/>
      <c r="GY44" s="326"/>
      <c r="GZ44" s="326"/>
      <c r="HA44" s="326"/>
      <c r="HB44" s="326"/>
      <c r="HC44" s="326"/>
      <c r="HD44" s="326"/>
      <c r="HE44" s="326"/>
      <c r="HF44" s="326"/>
      <c r="HG44" s="326"/>
      <c r="HH44" s="326"/>
      <c r="HI44" s="326"/>
      <c r="HJ44" s="326"/>
      <c r="HK44" s="326"/>
      <c r="HL44" s="326"/>
      <c r="HM44" s="326"/>
      <c r="HN44" s="326"/>
      <c r="HO44" s="326"/>
      <c r="HP44" s="326"/>
      <c r="HQ44" s="326"/>
      <c r="HR44" s="326"/>
      <c r="HS44" s="326"/>
      <c r="HT44" s="326"/>
      <c r="HU44" s="326"/>
      <c r="HV44" s="326"/>
      <c r="HW44" s="326"/>
      <c r="HX44" s="326"/>
      <c r="HY44" s="326"/>
      <c r="HZ44" s="326"/>
      <c r="IA44" s="326"/>
      <c r="IB44" s="326"/>
      <c r="IC44" s="326"/>
      <c r="ID44" s="326"/>
      <c r="IE44" s="326"/>
      <c r="IF44" s="326"/>
      <c r="IG44" s="326"/>
      <c r="IH44" s="326"/>
      <c r="II44" s="326"/>
      <c r="IJ44" s="326"/>
      <c r="IK44" s="326"/>
      <c r="IL44" s="326"/>
      <c r="IM44" s="326"/>
      <c r="IN44" s="326"/>
      <c r="IO44" s="326"/>
      <c r="IP44" s="326"/>
      <c r="IQ44" s="326"/>
      <c r="IR44" s="326"/>
      <c r="IS44" s="326"/>
      <c r="IT44" s="326"/>
      <c r="IU44" s="326"/>
      <c r="IV44" s="326"/>
    </row>
    <row r="45" spans="1:256" s="560" customFormat="1" ht="18" customHeight="1">
      <c r="A45" s="574">
        <v>36</v>
      </c>
      <c r="B45" s="568"/>
      <c r="C45" s="327"/>
      <c r="D45" s="483" t="s">
        <v>1091</v>
      </c>
      <c r="E45" s="335"/>
      <c r="F45" s="564"/>
      <c r="G45" s="336"/>
      <c r="H45" s="773"/>
      <c r="I45" s="788"/>
      <c r="J45" s="784"/>
      <c r="K45" s="561">
        <f>SUM(K43:K44)</f>
        <v>564</v>
      </c>
      <c r="L45" s="561"/>
      <c r="M45" s="561">
        <f>SUM(M43:M44)</f>
        <v>753528</v>
      </c>
      <c r="N45" s="784"/>
      <c r="O45" s="569">
        <f>SUM(I45:N45)</f>
        <v>754092</v>
      </c>
      <c r="P45" s="565"/>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c r="CU45" s="326"/>
      <c r="CV45" s="326"/>
      <c r="CW45" s="326"/>
      <c r="CX45" s="326"/>
      <c r="CY45" s="326"/>
      <c r="CZ45" s="326"/>
      <c r="DA45" s="326"/>
      <c r="DB45" s="326"/>
      <c r="DC45" s="326"/>
      <c r="DD45" s="326"/>
      <c r="DE45" s="326"/>
      <c r="DF45" s="326"/>
      <c r="DG45" s="326"/>
      <c r="DH45" s="326"/>
      <c r="DI45" s="326"/>
      <c r="DJ45" s="326"/>
      <c r="DK45" s="326"/>
      <c r="DL45" s="326"/>
      <c r="DM45" s="326"/>
      <c r="DN45" s="326"/>
      <c r="DO45" s="326"/>
      <c r="DP45" s="326"/>
      <c r="DQ45" s="326"/>
      <c r="DR45" s="326"/>
      <c r="DS45" s="326"/>
      <c r="DT45" s="326"/>
      <c r="DU45" s="326"/>
      <c r="DV45" s="326"/>
      <c r="DW45" s="326"/>
      <c r="DX45" s="326"/>
      <c r="DY45" s="326"/>
      <c r="DZ45" s="326"/>
      <c r="EA45" s="326"/>
      <c r="EB45" s="326"/>
      <c r="EC45" s="326"/>
      <c r="ED45" s="326"/>
      <c r="EE45" s="326"/>
      <c r="EF45" s="326"/>
      <c r="EG45" s="326"/>
      <c r="EH45" s="326"/>
      <c r="EI45" s="326"/>
      <c r="EJ45" s="326"/>
      <c r="EK45" s="326"/>
      <c r="EL45" s="326"/>
      <c r="EM45" s="326"/>
      <c r="EN45" s="326"/>
      <c r="EO45" s="326"/>
      <c r="EP45" s="326"/>
      <c r="EQ45" s="326"/>
      <c r="ER45" s="326"/>
      <c r="ES45" s="326"/>
      <c r="ET45" s="326"/>
      <c r="EU45" s="326"/>
      <c r="EV45" s="326"/>
      <c r="EW45" s="326"/>
      <c r="EX45" s="326"/>
      <c r="EY45" s="326"/>
      <c r="EZ45" s="326"/>
      <c r="FA45" s="326"/>
      <c r="FB45" s="326"/>
      <c r="FC45" s="326"/>
      <c r="FD45" s="326"/>
      <c r="FE45" s="326"/>
      <c r="FF45" s="326"/>
      <c r="FG45" s="326"/>
      <c r="FH45" s="326"/>
      <c r="FI45" s="326"/>
      <c r="FJ45" s="326"/>
      <c r="FK45" s="326"/>
      <c r="FL45" s="326"/>
      <c r="FM45" s="326"/>
      <c r="FN45" s="326"/>
      <c r="FO45" s="326"/>
      <c r="FP45" s="326"/>
      <c r="FQ45" s="326"/>
      <c r="FR45" s="326"/>
      <c r="FS45" s="326"/>
      <c r="FT45" s="326"/>
      <c r="FU45" s="326"/>
      <c r="FV45" s="326"/>
      <c r="FW45" s="326"/>
      <c r="FX45" s="326"/>
      <c r="FY45" s="326"/>
      <c r="FZ45" s="326"/>
      <c r="GA45" s="326"/>
      <c r="GB45" s="326"/>
      <c r="GC45" s="326"/>
      <c r="GD45" s="326"/>
      <c r="GE45" s="326"/>
      <c r="GF45" s="326"/>
      <c r="GG45" s="326"/>
      <c r="GH45" s="326"/>
      <c r="GI45" s="326"/>
      <c r="GJ45" s="326"/>
      <c r="GK45" s="326"/>
      <c r="GL45" s="326"/>
      <c r="GM45" s="326"/>
      <c r="GN45" s="326"/>
      <c r="GO45" s="326"/>
      <c r="GP45" s="326"/>
      <c r="GQ45" s="326"/>
      <c r="GR45" s="326"/>
      <c r="GS45" s="326"/>
      <c r="GT45" s="326"/>
      <c r="GU45" s="326"/>
      <c r="GV45" s="326"/>
      <c r="GW45" s="326"/>
      <c r="GX45" s="326"/>
      <c r="GY45" s="326"/>
      <c r="GZ45" s="326"/>
      <c r="HA45" s="326"/>
      <c r="HB45" s="326"/>
      <c r="HC45" s="326"/>
      <c r="HD45" s="326"/>
      <c r="HE45" s="326"/>
      <c r="HF45" s="326"/>
      <c r="HG45" s="326"/>
      <c r="HH45" s="326"/>
      <c r="HI45" s="326"/>
      <c r="HJ45" s="326"/>
      <c r="HK45" s="326"/>
      <c r="HL45" s="326"/>
      <c r="HM45" s="326"/>
      <c r="HN45" s="326"/>
      <c r="HO45" s="326"/>
      <c r="HP45" s="326"/>
      <c r="HQ45" s="326"/>
      <c r="HR45" s="326"/>
      <c r="HS45" s="326"/>
      <c r="HT45" s="326"/>
      <c r="HU45" s="326"/>
      <c r="HV45" s="326"/>
      <c r="HW45" s="326"/>
      <c r="HX45" s="326"/>
      <c r="HY45" s="326"/>
      <c r="HZ45" s="326"/>
      <c r="IA45" s="326"/>
      <c r="IB45" s="326"/>
      <c r="IC45" s="326"/>
      <c r="ID45" s="326"/>
      <c r="IE45" s="326"/>
      <c r="IF45" s="326"/>
      <c r="IG45" s="326"/>
      <c r="IH45" s="326"/>
      <c r="II45" s="326"/>
      <c r="IJ45" s="326"/>
      <c r="IK45" s="326"/>
      <c r="IL45" s="326"/>
      <c r="IM45" s="326"/>
      <c r="IN45" s="326"/>
      <c r="IO45" s="326"/>
      <c r="IP45" s="326"/>
      <c r="IQ45" s="326"/>
      <c r="IR45" s="326"/>
      <c r="IS45" s="326"/>
      <c r="IT45" s="326"/>
      <c r="IU45" s="326"/>
      <c r="IV45" s="326"/>
    </row>
    <row r="46" spans="1:16" ht="22.5" customHeight="1">
      <c r="A46" s="574">
        <v>37</v>
      </c>
      <c r="B46" s="466"/>
      <c r="C46" s="366">
        <v>8</v>
      </c>
      <c r="D46" s="578" t="s">
        <v>529</v>
      </c>
      <c r="E46" s="335"/>
      <c r="F46" s="564"/>
      <c r="G46" s="336"/>
      <c r="H46" s="773" t="s">
        <v>23</v>
      </c>
      <c r="I46" s="788"/>
      <c r="J46" s="784"/>
      <c r="K46" s="784"/>
      <c r="L46" s="784"/>
      <c r="M46" s="784"/>
      <c r="N46" s="784"/>
      <c r="O46" s="569"/>
      <c r="P46" s="565"/>
    </row>
    <row r="47" spans="1:256" s="560" customFormat="1" ht="18" customHeight="1">
      <c r="A47" s="574">
        <v>38</v>
      </c>
      <c r="B47" s="568"/>
      <c r="C47" s="366"/>
      <c r="D47" s="1324" t="s">
        <v>283</v>
      </c>
      <c r="E47" s="335">
        <f>F47+G47+O50+P47</f>
        <v>3901162</v>
      </c>
      <c r="F47" s="564"/>
      <c r="G47" s="336"/>
      <c r="H47" s="773"/>
      <c r="I47" s="788"/>
      <c r="J47" s="784"/>
      <c r="K47" s="784"/>
      <c r="L47" s="784"/>
      <c r="M47" s="784">
        <v>1084455</v>
      </c>
      <c r="N47" s="784"/>
      <c r="O47" s="758">
        <f>SUM(I47:N47)</f>
        <v>1084455</v>
      </c>
      <c r="P47" s="565">
        <v>2816707</v>
      </c>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6"/>
      <c r="EA47" s="326"/>
      <c r="EB47" s="326"/>
      <c r="EC47" s="326"/>
      <c r="ED47" s="326"/>
      <c r="EE47" s="326"/>
      <c r="EF47" s="326"/>
      <c r="EG47" s="326"/>
      <c r="EH47" s="326"/>
      <c r="EI47" s="326"/>
      <c r="EJ47" s="326"/>
      <c r="EK47" s="326"/>
      <c r="EL47" s="326"/>
      <c r="EM47" s="326"/>
      <c r="EN47" s="326"/>
      <c r="EO47" s="326"/>
      <c r="EP47" s="326"/>
      <c r="EQ47" s="326"/>
      <c r="ER47" s="326"/>
      <c r="ES47" s="326"/>
      <c r="ET47" s="326"/>
      <c r="EU47" s="326"/>
      <c r="EV47" s="326"/>
      <c r="EW47" s="326"/>
      <c r="EX47" s="326"/>
      <c r="EY47" s="326"/>
      <c r="EZ47" s="326"/>
      <c r="FA47" s="326"/>
      <c r="FB47" s="326"/>
      <c r="FC47" s="326"/>
      <c r="FD47" s="326"/>
      <c r="FE47" s="326"/>
      <c r="FF47" s="326"/>
      <c r="FG47" s="326"/>
      <c r="FH47" s="326"/>
      <c r="FI47" s="326"/>
      <c r="FJ47" s="326"/>
      <c r="FK47" s="326"/>
      <c r="FL47" s="326"/>
      <c r="FM47" s="326"/>
      <c r="FN47" s="326"/>
      <c r="FO47" s="326"/>
      <c r="FP47" s="326"/>
      <c r="FQ47" s="326"/>
      <c r="FR47" s="326"/>
      <c r="FS47" s="326"/>
      <c r="FT47" s="326"/>
      <c r="FU47" s="326"/>
      <c r="FV47" s="326"/>
      <c r="FW47" s="326"/>
      <c r="FX47" s="326"/>
      <c r="FY47" s="326"/>
      <c r="FZ47" s="326"/>
      <c r="GA47" s="326"/>
      <c r="GB47" s="326"/>
      <c r="GC47" s="326"/>
      <c r="GD47" s="326"/>
      <c r="GE47" s="326"/>
      <c r="GF47" s="326"/>
      <c r="GG47" s="326"/>
      <c r="GH47" s="326"/>
      <c r="GI47" s="326"/>
      <c r="GJ47" s="326"/>
      <c r="GK47" s="326"/>
      <c r="GL47" s="326"/>
      <c r="GM47" s="326"/>
      <c r="GN47" s="326"/>
      <c r="GO47" s="326"/>
      <c r="GP47" s="326"/>
      <c r="GQ47" s="326"/>
      <c r="GR47" s="326"/>
      <c r="GS47" s="326"/>
      <c r="GT47" s="326"/>
      <c r="GU47" s="326"/>
      <c r="GV47" s="326"/>
      <c r="GW47" s="326"/>
      <c r="GX47" s="326"/>
      <c r="GY47" s="326"/>
      <c r="GZ47" s="326"/>
      <c r="HA47" s="326"/>
      <c r="HB47" s="326"/>
      <c r="HC47" s="326"/>
      <c r="HD47" s="326"/>
      <c r="HE47" s="326"/>
      <c r="HF47" s="326"/>
      <c r="HG47" s="326"/>
      <c r="HH47" s="326"/>
      <c r="HI47" s="326"/>
      <c r="HJ47" s="326"/>
      <c r="HK47" s="326"/>
      <c r="HL47" s="326"/>
      <c r="HM47" s="326"/>
      <c r="HN47" s="326"/>
      <c r="HO47" s="326"/>
      <c r="HP47" s="326"/>
      <c r="HQ47" s="326"/>
      <c r="HR47" s="326"/>
      <c r="HS47" s="326"/>
      <c r="HT47" s="326"/>
      <c r="HU47" s="326"/>
      <c r="HV47" s="326"/>
      <c r="HW47" s="326"/>
      <c r="HX47" s="326"/>
      <c r="HY47" s="326"/>
      <c r="HZ47" s="326"/>
      <c r="IA47" s="326"/>
      <c r="IB47" s="326"/>
      <c r="IC47" s="326"/>
      <c r="ID47" s="326"/>
      <c r="IE47" s="326"/>
      <c r="IF47" s="326"/>
      <c r="IG47" s="326"/>
      <c r="IH47" s="326"/>
      <c r="II47" s="326"/>
      <c r="IJ47" s="326"/>
      <c r="IK47" s="326"/>
      <c r="IL47" s="326"/>
      <c r="IM47" s="326"/>
      <c r="IN47" s="326"/>
      <c r="IO47" s="326"/>
      <c r="IP47" s="326"/>
      <c r="IQ47" s="326"/>
      <c r="IR47" s="326"/>
      <c r="IS47" s="326"/>
      <c r="IT47" s="326"/>
      <c r="IU47" s="326"/>
      <c r="IV47" s="326"/>
    </row>
    <row r="48" spans="1:256" s="560" customFormat="1" ht="18" customHeight="1">
      <c r="A48" s="574">
        <v>39</v>
      </c>
      <c r="B48" s="568"/>
      <c r="C48" s="366"/>
      <c r="D48" s="483" t="s">
        <v>938</v>
      </c>
      <c r="E48" s="335"/>
      <c r="F48" s="564"/>
      <c r="G48" s="336"/>
      <c r="H48" s="773"/>
      <c r="I48" s="788"/>
      <c r="J48" s="784"/>
      <c r="K48" s="784"/>
      <c r="L48" s="784"/>
      <c r="M48" s="561">
        <v>1084455</v>
      </c>
      <c r="N48" s="561"/>
      <c r="O48" s="569">
        <f>SUM(I48:N48)</f>
        <v>1084455</v>
      </c>
      <c r="P48" s="565"/>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c r="DE48" s="326"/>
      <c r="DF48" s="326"/>
      <c r="DG48" s="326"/>
      <c r="DH48" s="326"/>
      <c r="DI48" s="326"/>
      <c r="DJ48" s="326"/>
      <c r="DK48" s="326"/>
      <c r="DL48" s="326"/>
      <c r="DM48" s="326"/>
      <c r="DN48" s="326"/>
      <c r="DO48" s="326"/>
      <c r="DP48" s="326"/>
      <c r="DQ48" s="326"/>
      <c r="DR48" s="326"/>
      <c r="DS48" s="326"/>
      <c r="DT48" s="326"/>
      <c r="DU48" s="326"/>
      <c r="DV48" s="326"/>
      <c r="DW48" s="326"/>
      <c r="DX48" s="326"/>
      <c r="DY48" s="326"/>
      <c r="DZ48" s="326"/>
      <c r="EA48" s="326"/>
      <c r="EB48" s="326"/>
      <c r="EC48" s="326"/>
      <c r="ED48" s="326"/>
      <c r="EE48" s="326"/>
      <c r="EF48" s="326"/>
      <c r="EG48" s="326"/>
      <c r="EH48" s="326"/>
      <c r="EI48" s="326"/>
      <c r="EJ48" s="326"/>
      <c r="EK48" s="326"/>
      <c r="EL48" s="326"/>
      <c r="EM48" s="326"/>
      <c r="EN48" s="326"/>
      <c r="EO48" s="326"/>
      <c r="EP48" s="326"/>
      <c r="EQ48" s="326"/>
      <c r="ER48" s="326"/>
      <c r="ES48" s="326"/>
      <c r="ET48" s="326"/>
      <c r="EU48" s="326"/>
      <c r="EV48" s="326"/>
      <c r="EW48" s="326"/>
      <c r="EX48" s="326"/>
      <c r="EY48" s="326"/>
      <c r="EZ48" s="326"/>
      <c r="FA48" s="326"/>
      <c r="FB48" s="326"/>
      <c r="FC48" s="326"/>
      <c r="FD48" s="326"/>
      <c r="FE48" s="326"/>
      <c r="FF48" s="326"/>
      <c r="FG48" s="326"/>
      <c r="FH48" s="326"/>
      <c r="FI48" s="326"/>
      <c r="FJ48" s="326"/>
      <c r="FK48" s="326"/>
      <c r="FL48" s="326"/>
      <c r="FM48" s="326"/>
      <c r="FN48" s="326"/>
      <c r="FO48" s="326"/>
      <c r="FP48" s="326"/>
      <c r="FQ48" s="326"/>
      <c r="FR48" s="326"/>
      <c r="FS48" s="326"/>
      <c r="FT48" s="326"/>
      <c r="FU48" s="326"/>
      <c r="FV48" s="326"/>
      <c r="FW48" s="326"/>
      <c r="FX48" s="326"/>
      <c r="FY48" s="326"/>
      <c r="FZ48" s="326"/>
      <c r="GA48" s="326"/>
      <c r="GB48" s="326"/>
      <c r="GC48" s="326"/>
      <c r="GD48" s="326"/>
      <c r="GE48" s="326"/>
      <c r="GF48" s="326"/>
      <c r="GG48" s="326"/>
      <c r="GH48" s="326"/>
      <c r="GI48" s="326"/>
      <c r="GJ48" s="326"/>
      <c r="GK48" s="326"/>
      <c r="GL48" s="326"/>
      <c r="GM48" s="326"/>
      <c r="GN48" s="326"/>
      <c r="GO48" s="326"/>
      <c r="GP48" s="326"/>
      <c r="GQ48" s="326"/>
      <c r="GR48" s="326"/>
      <c r="GS48" s="326"/>
      <c r="GT48" s="326"/>
      <c r="GU48" s="326"/>
      <c r="GV48" s="326"/>
      <c r="GW48" s="326"/>
      <c r="GX48" s="326"/>
      <c r="GY48" s="326"/>
      <c r="GZ48" s="326"/>
      <c r="HA48" s="326"/>
      <c r="HB48" s="326"/>
      <c r="HC48" s="326"/>
      <c r="HD48" s="326"/>
      <c r="HE48" s="326"/>
      <c r="HF48" s="326"/>
      <c r="HG48" s="326"/>
      <c r="HH48" s="326"/>
      <c r="HI48" s="326"/>
      <c r="HJ48" s="326"/>
      <c r="HK48" s="326"/>
      <c r="HL48" s="326"/>
      <c r="HM48" s="326"/>
      <c r="HN48" s="326"/>
      <c r="HO48" s="326"/>
      <c r="HP48" s="326"/>
      <c r="HQ48" s="326"/>
      <c r="HR48" s="326"/>
      <c r="HS48" s="326"/>
      <c r="HT48" s="326"/>
      <c r="HU48" s="326"/>
      <c r="HV48" s="326"/>
      <c r="HW48" s="326"/>
      <c r="HX48" s="326"/>
      <c r="HY48" s="326"/>
      <c r="HZ48" s="326"/>
      <c r="IA48" s="326"/>
      <c r="IB48" s="326"/>
      <c r="IC48" s="326"/>
      <c r="ID48" s="326"/>
      <c r="IE48" s="326"/>
      <c r="IF48" s="326"/>
      <c r="IG48" s="326"/>
      <c r="IH48" s="326"/>
      <c r="II48" s="326"/>
      <c r="IJ48" s="326"/>
      <c r="IK48" s="326"/>
      <c r="IL48" s="326"/>
      <c r="IM48" s="326"/>
      <c r="IN48" s="326"/>
      <c r="IO48" s="326"/>
      <c r="IP48" s="326"/>
      <c r="IQ48" s="326"/>
      <c r="IR48" s="326"/>
      <c r="IS48" s="326"/>
      <c r="IT48" s="326"/>
      <c r="IU48" s="326"/>
      <c r="IV48" s="326"/>
    </row>
    <row r="49" spans="1:256" s="560" customFormat="1" ht="18" customHeight="1">
      <c r="A49" s="574">
        <v>40</v>
      </c>
      <c r="B49" s="568"/>
      <c r="C49" s="366"/>
      <c r="D49" s="1146" t="s">
        <v>674</v>
      </c>
      <c r="E49" s="335"/>
      <c r="F49" s="564"/>
      <c r="G49" s="336"/>
      <c r="H49" s="773"/>
      <c r="I49" s="788"/>
      <c r="J49" s="784"/>
      <c r="K49" s="784"/>
      <c r="L49" s="784"/>
      <c r="M49" s="784"/>
      <c r="N49" s="784"/>
      <c r="O49" s="1327">
        <f>SUM(I49:N49)</f>
        <v>0</v>
      </c>
      <c r="P49" s="565"/>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6"/>
      <c r="DE49" s="326"/>
      <c r="DF49" s="326"/>
      <c r="DG49" s="326"/>
      <c r="DH49" s="326"/>
      <c r="DI49" s="326"/>
      <c r="DJ49" s="326"/>
      <c r="DK49" s="326"/>
      <c r="DL49" s="326"/>
      <c r="DM49" s="326"/>
      <c r="DN49" s="326"/>
      <c r="DO49" s="326"/>
      <c r="DP49" s="326"/>
      <c r="DQ49" s="326"/>
      <c r="DR49" s="326"/>
      <c r="DS49" s="326"/>
      <c r="DT49" s="326"/>
      <c r="DU49" s="326"/>
      <c r="DV49" s="326"/>
      <c r="DW49" s="326"/>
      <c r="DX49" s="326"/>
      <c r="DY49" s="326"/>
      <c r="DZ49" s="326"/>
      <c r="EA49" s="326"/>
      <c r="EB49" s="326"/>
      <c r="EC49" s="326"/>
      <c r="ED49" s="326"/>
      <c r="EE49" s="326"/>
      <c r="EF49" s="326"/>
      <c r="EG49" s="326"/>
      <c r="EH49" s="326"/>
      <c r="EI49" s="326"/>
      <c r="EJ49" s="326"/>
      <c r="EK49" s="326"/>
      <c r="EL49" s="326"/>
      <c r="EM49" s="326"/>
      <c r="EN49" s="326"/>
      <c r="EO49" s="326"/>
      <c r="EP49" s="326"/>
      <c r="EQ49" s="326"/>
      <c r="ER49" s="326"/>
      <c r="ES49" s="326"/>
      <c r="ET49" s="326"/>
      <c r="EU49" s="326"/>
      <c r="EV49" s="326"/>
      <c r="EW49" s="326"/>
      <c r="EX49" s="326"/>
      <c r="EY49" s="326"/>
      <c r="EZ49" s="326"/>
      <c r="FA49" s="326"/>
      <c r="FB49" s="326"/>
      <c r="FC49" s="326"/>
      <c r="FD49" s="326"/>
      <c r="FE49" s="326"/>
      <c r="FF49" s="326"/>
      <c r="FG49" s="326"/>
      <c r="FH49" s="326"/>
      <c r="FI49" s="326"/>
      <c r="FJ49" s="326"/>
      <c r="FK49" s="326"/>
      <c r="FL49" s="326"/>
      <c r="FM49" s="326"/>
      <c r="FN49" s="326"/>
      <c r="FO49" s="326"/>
      <c r="FP49" s="326"/>
      <c r="FQ49" s="326"/>
      <c r="FR49" s="326"/>
      <c r="FS49" s="326"/>
      <c r="FT49" s="326"/>
      <c r="FU49" s="326"/>
      <c r="FV49" s="326"/>
      <c r="FW49" s="326"/>
      <c r="FX49" s="326"/>
      <c r="FY49" s="326"/>
      <c r="FZ49" s="326"/>
      <c r="GA49" s="326"/>
      <c r="GB49" s="326"/>
      <c r="GC49" s="326"/>
      <c r="GD49" s="326"/>
      <c r="GE49" s="326"/>
      <c r="GF49" s="326"/>
      <c r="GG49" s="326"/>
      <c r="GH49" s="326"/>
      <c r="GI49" s="326"/>
      <c r="GJ49" s="326"/>
      <c r="GK49" s="326"/>
      <c r="GL49" s="326"/>
      <c r="GM49" s="326"/>
      <c r="GN49" s="326"/>
      <c r="GO49" s="326"/>
      <c r="GP49" s="326"/>
      <c r="GQ49" s="326"/>
      <c r="GR49" s="326"/>
      <c r="GS49" s="326"/>
      <c r="GT49" s="326"/>
      <c r="GU49" s="326"/>
      <c r="GV49" s="326"/>
      <c r="GW49" s="326"/>
      <c r="GX49" s="326"/>
      <c r="GY49" s="326"/>
      <c r="GZ49" s="326"/>
      <c r="HA49" s="326"/>
      <c r="HB49" s="326"/>
      <c r="HC49" s="326"/>
      <c r="HD49" s="326"/>
      <c r="HE49" s="326"/>
      <c r="HF49" s="326"/>
      <c r="HG49" s="326"/>
      <c r="HH49" s="326"/>
      <c r="HI49" s="326"/>
      <c r="HJ49" s="326"/>
      <c r="HK49" s="326"/>
      <c r="HL49" s="326"/>
      <c r="HM49" s="326"/>
      <c r="HN49" s="326"/>
      <c r="HO49" s="326"/>
      <c r="HP49" s="326"/>
      <c r="HQ49" s="326"/>
      <c r="HR49" s="326"/>
      <c r="HS49" s="326"/>
      <c r="HT49" s="326"/>
      <c r="HU49" s="326"/>
      <c r="HV49" s="326"/>
      <c r="HW49" s="326"/>
      <c r="HX49" s="326"/>
      <c r="HY49" s="326"/>
      <c r="HZ49" s="326"/>
      <c r="IA49" s="326"/>
      <c r="IB49" s="326"/>
      <c r="IC49" s="326"/>
      <c r="ID49" s="326"/>
      <c r="IE49" s="326"/>
      <c r="IF49" s="326"/>
      <c r="IG49" s="326"/>
      <c r="IH49" s="326"/>
      <c r="II49" s="326"/>
      <c r="IJ49" s="326"/>
      <c r="IK49" s="326"/>
      <c r="IL49" s="326"/>
      <c r="IM49" s="326"/>
      <c r="IN49" s="326"/>
      <c r="IO49" s="326"/>
      <c r="IP49" s="326"/>
      <c r="IQ49" s="326"/>
      <c r="IR49" s="326"/>
      <c r="IS49" s="326"/>
      <c r="IT49" s="326"/>
      <c r="IU49" s="326"/>
      <c r="IV49" s="326"/>
    </row>
    <row r="50" spans="1:256" s="560" customFormat="1" ht="18" customHeight="1">
      <c r="A50" s="574">
        <v>41</v>
      </c>
      <c r="B50" s="568"/>
      <c r="C50" s="366"/>
      <c r="D50" s="483" t="s">
        <v>1091</v>
      </c>
      <c r="E50" s="335"/>
      <c r="F50" s="564"/>
      <c r="G50" s="336"/>
      <c r="H50" s="773"/>
      <c r="I50" s="788"/>
      <c r="J50" s="784"/>
      <c r="K50" s="784"/>
      <c r="L50" s="784"/>
      <c r="M50" s="561">
        <f>SUM(M48:M49)</f>
        <v>1084455</v>
      </c>
      <c r="N50" s="784"/>
      <c r="O50" s="569">
        <f>SUM(I50:N50)</f>
        <v>1084455</v>
      </c>
      <c r="P50" s="565"/>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c r="CO50" s="326"/>
      <c r="CP50" s="326"/>
      <c r="CQ50" s="326"/>
      <c r="CR50" s="326"/>
      <c r="CS50" s="326"/>
      <c r="CT50" s="326"/>
      <c r="CU50" s="326"/>
      <c r="CV50" s="326"/>
      <c r="CW50" s="326"/>
      <c r="CX50" s="326"/>
      <c r="CY50" s="326"/>
      <c r="CZ50" s="326"/>
      <c r="DA50" s="326"/>
      <c r="DB50" s="326"/>
      <c r="DC50" s="326"/>
      <c r="DD50" s="326"/>
      <c r="DE50" s="326"/>
      <c r="DF50" s="326"/>
      <c r="DG50" s="326"/>
      <c r="DH50" s="326"/>
      <c r="DI50" s="326"/>
      <c r="DJ50" s="326"/>
      <c r="DK50" s="326"/>
      <c r="DL50" s="326"/>
      <c r="DM50" s="326"/>
      <c r="DN50" s="326"/>
      <c r="DO50" s="326"/>
      <c r="DP50" s="326"/>
      <c r="DQ50" s="326"/>
      <c r="DR50" s="326"/>
      <c r="DS50" s="326"/>
      <c r="DT50" s="326"/>
      <c r="DU50" s="326"/>
      <c r="DV50" s="326"/>
      <c r="DW50" s="326"/>
      <c r="DX50" s="326"/>
      <c r="DY50" s="326"/>
      <c r="DZ50" s="326"/>
      <c r="EA50" s="326"/>
      <c r="EB50" s="326"/>
      <c r="EC50" s="326"/>
      <c r="ED50" s="326"/>
      <c r="EE50" s="326"/>
      <c r="EF50" s="326"/>
      <c r="EG50" s="326"/>
      <c r="EH50" s="326"/>
      <c r="EI50" s="326"/>
      <c r="EJ50" s="326"/>
      <c r="EK50" s="326"/>
      <c r="EL50" s="326"/>
      <c r="EM50" s="326"/>
      <c r="EN50" s="326"/>
      <c r="EO50" s="326"/>
      <c r="EP50" s="326"/>
      <c r="EQ50" s="326"/>
      <c r="ER50" s="326"/>
      <c r="ES50" s="326"/>
      <c r="ET50" s="326"/>
      <c r="EU50" s="326"/>
      <c r="EV50" s="326"/>
      <c r="EW50" s="326"/>
      <c r="EX50" s="326"/>
      <c r="EY50" s="326"/>
      <c r="EZ50" s="326"/>
      <c r="FA50" s="326"/>
      <c r="FB50" s="326"/>
      <c r="FC50" s="326"/>
      <c r="FD50" s="326"/>
      <c r="FE50" s="326"/>
      <c r="FF50" s="326"/>
      <c r="FG50" s="326"/>
      <c r="FH50" s="326"/>
      <c r="FI50" s="326"/>
      <c r="FJ50" s="326"/>
      <c r="FK50" s="326"/>
      <c r="FL50" s="326"/>
      <c r="FM50" s="326"/>
      <c r="FN50" s="326"/>
      <c r="FO50" s="326"/>
      <c r="FP50" s="326"/>
      <c r="FQ50" s="326"/>
      <c r="FR50" s="326"/>
      <c r="FS50" s="326"/>
      <c r="FT50" s="326"/>
      <c r="FU50" s="326"/>
      <c r="FV50" s="326"/>
      <c r="FW50" s="326"/>
      <c r="FX50" s="326"/>
      <c r="FY50" s="326"/>
      <c r="FZ50" s="326"/>
      <c r="GA50" s="326"/>
      <c r="GB50" s="326"/>
      <c r="GC50" s="326"/>
      <c r="GD50" s="326"/>
      <c r="GE50" s="326"/>
      <c r="GF50" s="326"/>
      <c r="GG50" s="326"/>
      <c r="GH50" s="326"/>
      <c r="GI50" s="326"/>
      <c r="GJ50" s="326"/>
      <c r="GK50" s="326"/>
      <c r="GL50" s="326"/>
      <c r="GM50" s="326"/>
      <c r="GN50" s="326"/>
      <c r="GO50" s="326"/>
      <c r="GP50" s="326"/>
      <c r="GQ50" s="326"/>
      <c r="GR50" s="326"/>
      <c r="GS50" s="326"/>
      <c r="GT50" s="326"/>
      <c r="GU50" s="326"/>
      <c r="GV50" s="326"/>
      <c r="GW50" s="326"/>
      <c r="GX50" s="326"/>
      <c r="GY50" s="326"/>
      <c r="GZ50" s="326"/>
      <c r="HA50" s="326"/>
      <c r="HB50" s="326"/>
      <c r="HC50" s="326"/>
      <c r="HD50" s="326"/>
      <c r="HE50" s="326"/>
      <c r="HF50" s="326"/>
      <c r="HG50" s="326"/>
      <c r="HH50" s="326"/>
      <c r="HI50" s="326"/>
      <c r="HJ50" s="326"/>
      <c r="HK50" s="326"/>
      <c r="HL50" s="326"/>
      <c r="HM50" s="326"/>
      <c r="HN50" s="326"/>
      <c r="HO50" s="326"/>
      <c r="HP50" s="326"/>
      <c r="HQ50" s="326"/>
      <c r="HR50" s="326"/>
      <c r="HS50" s="326"/>
      <c r="HT50" s="326"/>
      <c r="HU50" s="326"/>
      <c r="HV50" s="326"/>
      <c r="HW50" s="326"/>
      <c r="HX50" s="326"/>
      <c r="HY50" s="326"/>
      <c r="HZ50" s="326"/>
      <c r="IA50" s="326"/>
      <c r="IB50" s="326"/>
      <c r="IC50" s="326"/>
      <c r="ID50" s="326"/>
      <c r="IE50" s="326"/>
      <c r="IF50" s="326"/>
      <c r="IG50" s="326"/>
      <c r="IH50" s="326"/>
      <c r="II50" s="326"/>
      <c r="IJ50" s="326"/>
      <c r="IK50" s="326"/>
      <c r="IL50" s="326"/>
      <c r="IM50" s="326"/>
      <c r="IN50" s="326"/>
      <c r="IO50" s="326"/>
      <c r="IP50" s="326"/>
      <c r="IQ50" s="326"/>
      <c r="IR50" s="326"/>
      <c r="IS50" s="326"/>
      <c r="IT50" s="326"/>
      <c r="IU50" s="326"/>
      <c r="IV50" s="326"/>
    </row>
    <row r="51" spans="1:16" ht="22.5" customHeight="1">
      <c r="A51" s="574">
        <v>42</v>
      </c>
      <c r="B51" s="466"/>
      <c r="C51" s="366">
        <v>9</v>
      </c>
      <c r="D51" s="572" t="s">
        <v>457</v>
      </c>
      <c r="E51" s="335"/>
      <c r="F51" s="564"/>
      <c r="G51" s="336"/>
      <c r="H51" s="773" t="s">
        <v>23</v>
      </c>
      <c r="I51" s="788"/>
      <c r="J51" s="784"/>
      <c r="K51" s="784"/>
      <c r="L51" s="784"/>
      <c r="M51" s="784"/>
      <c r="N51" s="784"/>
      <c r="O51" s="569"/>
      <c r="P51" s="565"/>
    </row>
    <row r="52" spans="1:256" s="560" customFormat="1" ht="18" customHeight="1">
      <c r="A52" s="574">
        <v>43</v>
      </c>
      <c r="B52" s="568"/>
      <c r="C52" s="327"/>
      <c r="D52" s="1324" t="s">
        <v>283</v>
      </c>
      <c r="E52" s="335">
        <f>F52+G52+O55+P52</f>
        <v>3095</v>
      </c>
      <c r="F52" s="564"/>
      <c r="G52" s="336"/>
      <c r="H52" s="773"/>
      <c r="I52" s="788"/>
      <c r="J52" s="784"/>
      <c r="K52" s="784">
        <f>5000-1905</f>
        <v>3095</v>
      </c>
      <c r="L52" s="784"/>
      <c r="M52" s="784"/>
      <c r="N52" s="784"/>
      <c r="O52" s="758">
        <f>SUM(I52:N52)</f>
        <v>3095</v>
      </c>
      <c r="P52" s="565"/>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326"/>
      <c r="DD52" s="326"/>
      <c r="DE52" s="326"/>
      <c r="DF52" s="326"/>
      <c r="DG52" s="326"/>
      <c r="DH52" s="326"/>
      <c r="DI52" s="326"/>
      <c r="DJ52" s="326"/>
      <c r="DK52" s="326"/>
      <c r="DL52" s="326"/>
      <c r="DM52" s="326"/>
      <c r="DN52" s="326"/>
      <c r="DO52" s="326"/>
      <c r="DP52" s="326"/>
      <c r="DQ52" s="326"/>
      <c r="DR52" s="326"/>
      <c r="DS52" s="326"/>
      <c r="DT52" s="326"/>
      <c r="DU52" s="326"/>
      <c r="DV52" s="326"/>
      <c r="DW52" s="326"/>
      <c r="DX52" s="326"/>
      <c r="DY52" s="326"/>
      <c r="DZ52" s="326"/>
      <c r="EA52" s="326"/>
      <c r="EB52" s="326"/>
      <c r="EC52" s="326"/>
      <c r="ED52" s="326"/>
      <c r="EE52" s="326"/>
      <c r="EF52" s="326"/>
      <c r="EG52" s="326"/>
      <c r="EH52" s="326"/>
      <c r="EI52" s="326"/>
      <c r="EJ52" s="326"/>
      <c r="EK52" s="326"/>
      <c r="EL52" s="326"/>
      <c r="EM52" s="326"/>
      <c r="EN52" s="326"/>
      <c r="EO52" s="326"/>
      <c r="EP52" s="326"/>
      <c r="EQ52" s="326"/>
      <c r="ER52" s="326"/>
      <c r="ES52" s="326"/>
      <c r="ET52" s="326"/>
      <c r="EU52" s="326"/>
      <c r="EV52" s="326"/>
      <c r="EW52" s="326"/>
      <c r="EX52" s="326"/>
      <c r="EY52" s="326"/>
      <c r="EZ52" s="326"/>
      <c r="FA52" s="326"/>
      <c r="FB52" s="326"/>
      <c r="FC52" s="326"/>
      <c r="FD52" s="326"/>
      <c r="FE52" s="326"/>
      <c r="FF52" s="326"/>
      <c r="FG52" s="326"/>
      <c r="FH52" s="326"/>
      <c r="FI52" s="326"/>
      <c r="FJ52" s="326"/>
      <c r="FK52" s="326"/>
      <c r="FL52" s="326"/>
      <c r="FM52" s="326"/>
      <c r="FN52" s="326"/>
      <c r="FO52" s="326"/>
      <c r="FP52" s="326"/>
      <c r="FQ52" s="326"/>
      <c r="FR52" s="326"/>
      <c r="FS52" s="326"/>
      <c r="FT52" s="326"/>
      <c r="FU52" s="326"/>
      <c r="FV52" s="326"/>
      <c r="FW52" s="326"/>
      <c r="FX52" s="326"/>
      <c r="FY52" s="326"/>
      <c r="FZ52" s="326"/>
      <c r="GA52" s="326"/>
      <c r="GB52" s="326"/>
      <c r="GC52" s="326"/>
      <c r="GD52" s="326"/>
      <c r="GE52" s="326"/>
      <c r="GF52" s="326"/>
      <c r="GG52" s="326"/>
      <c r="GH52" s="326"/>
      <c r="GI52" s="326"/>
      <c r="GJ52" s="326"/>
      <c r="GK52" s="326"/>
      <c r="GL52" s="326"/>
      <c r="GM52" s="326"/>
      <c r="GN52" s="326"/>
      <c r="GO52" s="326"/>
      <c r="GP52" s="326"/>
      <c r="GQ52" s="326"/>
      <c r="GR52" s="326"/>
      <c r="GS52" s="326"/>
      <c r="GT52" s="326"/>
      <c r="GU52" s="326"/>
      <c r="GV52" s="326"/>
      <c r="GW52" s="326"/>
      <c r="GX52" s="326"/>
      <c r="GY52" s="326"/>
      <c r="GZ52" s="326"/>
      <c r="HA52" s="326"/>
      <c r="HB52" s="326"/>
      <c r="HC52" s="326"/>
      <c r="HD52" s="326"/>
      <c r="HE52" s="326"/>
      <c r="HF52" s="326"/>
      <c r="HG52" s="326"/>
      <c r="HH52" s="326"/>
      <c r="HI52" s="326"/>
      <c r="HJ52" s="326"/>
      <c r="HK52" s="326"/>
      <c r="HL52" s="326"/>
      <c r="HM52" s="326"/>
      <c r="HN52" s="326"/>
      <c r="HO52" s="326"/>
      <c r="HP52" s="326"/>
      <c r="HQ52" s="326"/>
      <c r="HR52" s="326"/>
      <c r="HS52" s="326"/>
      <c r="HT52" s="326"/>
      <c r="HU52" s="326"/>
      <c r="HV52" s="326"/>
      <c r="HW52" s="326"/>
      <c r="HX52" s="326"/>
      <c r="HY52" s="326"/>
      <c r="HZ52" s="326"/>
      <c r="IA52" s="326"/>
      <c r="IB52" s="326"/>
      <c r="IC52" s="326"/>
      <c r="ID52" s="326"/>
      <c r="IE52" s="326"/>
      <c r="IF52" s="326"/>
      <c r="IG52" s="326"/>
      <c r="IH52" s="326"/>
      <c r="II52" s="326"/>
      <c r="IJ52" s="326"/>
      <c r="IK52" s="326"/>
      <c r="IL52" s="326"/>
      <c r="IM52" s="326"/>
      <c r="IN52" s="326"/>
      <c r="IO52" s="326"/>
      <c r="IP52" s="326"/>
      <c r="IQ52" s="326"/>
      <c r="IR52" s="326"/>
      <c r="IS52" s="326"/>
      <c r="IT52" s="326"/>
      <c r="IU52" s="326"/>
      <c r="IV52" s="326"/>
    </row>
    <row r="53" spans="1:256" s="560" customFormat="1" ht="18" customHeight="1">
      <c r="A53" s="574">
        <v>44</v>
      </c>
      <c r="B53" s="568"/>
      <c r="C53" s="327"/>
      <c r="D53" s="483" t="s">
        <v>938</v>
      </c>
      <c r="E53" s="335"/>
      <c r="F53" s="564"/>
      <c r="G53" s="336"/>
      <c r="H53" s="773"/>
      <c r="I53" s="788"/>
      <c r="J53" s="784"/>
      <c r="K53" s="561">
        <v>3095</v>
      </c>
      <c r="L53" s="561"/>
      <c r="M53" s="561"/>
      <c r="N53" s="561"/>
      <c r="O53" s="569">
        <f>SUM(I53:N53)</f>
        <v>3095</v>
      </c>
      <c r="P53" s="565"/>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c r="BO53" s="326"/>
      <c r="BP53" s="326"/>
      <c r="BQ53" s="326"/>
      <c r="BR53" s="326"/>
      <c r="BS53" s="326"/>
      <c r="BT53" s="326"/>
      <c r="BU53" s="326"/>
      <c r="BV53" s="326"/>
      <c r="BW53" s="326"/>
      <c r="BX53" s="326"/>
      <c r="BY53" s="326"/>
      <c r="BZ53" s="326"/>
      <c r="CA53" s="326"/>
      <c r="CB53" s="326"/>
      <c r="CC53" s="326"/>
      <c r="CD53" s="326"/>
      <c r="CE53" s="326"/>
      <c r="CF53" s="326"/>
      <c r="CG53" s="326"/>
      <c r="CH53" s="326"/>
      <c r="CI53" s="326"/>
      <c r="CJ53" s="326"/>
      <c r="CK53" s="326"/>
      <c r="CL53" s="326"/>
      <c r="CM53" s="326"/>
      <c r="CN53" s="326"/>
      <c r="CO53" s="326"/>
      <c r="CP53" s="326"/>
      <c r="CQ53" s="326"/>
      <c r="CR53" s="326"/>
      <c r="CS53" s="326"/>
      <c r="CT53" s="326"/>
      <c r="CU53" s="326"/>
      <c r="CV53" s="326"/>
      <c r="CW53" s="326"/>
      <c r="CX53" s="326"/>
      <c r="CY53" s="326"/>
      <c r="CZ53" s="326"/>
      <c r="DA53" s="326"/>
      <c r="DB53" s="326"/>
      <c r="DC53" s="326"/>
      <c r="DD53" s="326"/>
      <c r="DE53" s="326"/>
      <c r="DF53" s="326"/>
      <c r="DG53" s="326"/>
      <c r="DH53" s="326"/>
      <c r="DI53" s="326"/>
      <c r="DJ53" s="326"/>
      <c r="DK53" s="326"/>
      <c r="DL53" s="326"/>
      <c r="DM53" s="326"/>
      <c r="DN53" s="326"/>
      <c r="DO53" s="326"/>
      <c r="DP53" s="326"/>
      <c r="DQ53" s="326"/>
      <c r="DR53" s="326"/>
      <c r="DS53" s="326"/>
      <c r="DT53" s="326"/>
      <c r="DU53" s="326"/>
      <c r="DV53" s="326"/>
      <c r="DW53" s="326"/>
      <c r="DX53" s="326"/>
      <c r="DY53" s="326"/>
      <c r="DZ53" s="326"/>
      <c r="EA53" s="326"/>
      <c r="EB53" s="326"/>
      <c r="EC53" s="326"/>
      <c r="ED53" s="326"/>
      <c r="EE53" s="326"/>
      <c r="EF53" s="326"/>
      <c r="EG53" s="326"/>
      <c r="EH53" s="326"/>
      <c r="EI53" s="326"/>
      <c r="EJ53" s="326"/>
      <c r="EK53" s="326"/>
      <c r="EL53" s="326"/>
      <c r="EM53" s="326"/>
      <c r="EN53" s="326"/>
      <c r="EO53" s="326"/>
      <c r="EP53" s="326"/>
      <c r="EQ53" s="326"/>
      <c r="ER53" s="326"/>
      <c r="ES53" s="326"/>
      <c r="ET53" s="326"/>
      <c r="EU53" s="326"/>
      <c r="EV53" s="326"/>
      <c r="EW53" s="326"/>
      <c r="EX53" s="326"/>
      <c r="EY53" s="326"/>
      <c r="EZ53" s="326"/>
      <c r="FA53" s="326"/>
      <c r="FB53" s="326"/>
      <c r="FC53" s="326"/>
      <c r="FD53" s="326"/>
      <c r="FE53" s="326"/>
      <c r="FF53" s="326"/>
      <c r="FG53" s="326"/>
      <c r="FH53" s="326"/>
      <c r="FI53" s="326"/>
      <c r="FJ53" s="326"/>
      <c r="FK53" s="326"/>
      <c r="FL53" s="326"/>
      <c r="FM53" s="326"/>
      <c r="FN53" s="326"/>
      <c r="FO53" s="326"/>
      <c r="FP53" s="326"/>
      <c r="FQ53" s="326"/>
      <c r="FR53" s="326"/>
      <c r="FS53" s="326"/>
      <c r="FT53" s="326"/>
      <c r="FU53" s="326"/>
      <c r="FV53" s="326"/>
      <c r="FW53" s="326"/>
      <c r="FX53" s="326"/>
      <c r="FY53" s="326"/>
      <c r="FZ53" s="326"/>
      <c r="GA53" s="326"/>
      <c r="GB53" s="326"/>
      <c r="GC53" s="326"/>
      <c r="GD53" s="326"/>
      <c r="GE53" s="326"/>
      <c r="GF53" s="326"/>
      <c r="GG53" s="326"/>
      <c r="GH53" s="326"/>
      <c r="GI53" s="326"/>
      <c r="GJ53" s="326"/>
      <c r="GK53" s="326"/>
      <c r="GL53" s="326"/>
      <c r="GM53" s="326"/>
      <c r="GN53" s="326"/>
      <c r="GO53" s="326"/>
      <c r="GP53" s="326"/>
      <c r="GQ53" s="326"/>
      <c r="GR53" s="326"/>
      <c r="GS53" s="326"/>
      <c r="GT53" s="326"/>
      <c r="GU53" s="326"/>
      <c r="GV53" s="326"/>
      <c r="GW53" s="326"/>
      <c r="GX53" s="326"/>
      <c r="GY53" s="326"/>
      <c r="GZ53" s="326"/>
      <c r="HA53" s="326"/>
      <c r="HB53" s="326"/>
      <c r="HC53" s="326"/>
      <c r="HD53" s="326"/>
      <c r="HE53" s="326"/>
      <c r="HF53" s="326"/>
      <c r="HG53" s="326"/>
      <c r="HH53" s="326"/>
      <c r="HI53" s="326"/>
      <c r="HJ53" s="326"/>
      <c r="HK53" s="326"/>
      <c r="HL53" s="326"/>
      <c r="HM53" s="326"/>
      <c r="HN53" s="326"/>
      <c r="HO53" s="326"/>
      <c r="HP53" s="326"/>
      <c r="HQ53" s="326"/>
      <c r="HR53" s="326"/>
      <c r="HS53" s="326"/>
      <c r="HT53" s="326"/>
      <c r="HU53" s="326"/>
      <c r="HV53" s="326"/>
      <c r="HW53" s="326"/>
      <c r="HX53" s="326"/>
      <c r="HY53" s="326"/>
      <c r="HZ53" s="326"/>
      <c r="IA53" s="326"/>
      <c r="IB53" s="326"/>
      <c r="IC53" s="326"/>
      <c r="ID53" s="326"/>
      <c r="IE53" s="326"/>
      <c r="IF53" s="326"/>
      <c r="IG53" s="326"/>
      <c r="IH53" s="326"/>
      <c r="II53" s="326"/>
      <c r="IJ53" s="326"/>
      <c r="IK53" s="326"/>
      <c r="IL53" s="326"/>
      <c r="IM53" s="326"/>
      <c r="IN53" s="326"/>
      <c r="IO53" s="326"/>
      <c r="IP53" s="326"/>
      <c r="IQ53" s="326"/>
      <c r="IR53" s="326"/>
      <c r="IS53" s="326"/>
      <c r="IT53" s="326"/>
      <c r="IU53" s="326"/>
      <c r="IV53" s="326"/>
    </row>
    <row r="54" spans="1:256" s="560" customFormat="1" ht="18" customHeight="1">
      <c r="A54" s="574">
        <v>45</v>
      </c>
      <c r="B54" s="568"/>
      <c r="C54" s="327"/>
      <c r="D54" s="1146" t="s">
        <v>674</v>
      </c>
      <c r="E54" s="335"/>
      <c r="F54" s="564"/>
      <c r="G54" s="336"/>
      <c r="H54" s="773"/>
      <c r="I54" s="788"/>
      <c r="J54" s="784"/>
      <c r="K54" s="784"/>
      <c r="L54" s="784"/>
      <c r="M54" s="784"/>
      <c r="N54" s="784"/>
      <c r="O54" s="1327">
        <f>SUM(I54:N54)</f>
        <v>0</v>
      </c>
      <c r="P54" s="565"/>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6"/>
      <c r="CC54" s="326"/>
      <c r="CD54" s="326"/>
      <c r="CE54" s="326"/>
      <c r="CF54" s="326"/>
      <c r="CG54" s="326"/>
      <c r="CH54" s="326"/>
      <c r="CI54" s="326"/>
      <c r="CJ54" s="326"/>
      <c r="CK54" s="326"/>
      <c r="CL54" s="326"/>
      <c r="CM54" s="326"/>
      <c r="CN54" s="326"/>
      <c r="CO54" s="326"/>
      <c r="CP54" s="326"/>
      <c r="CQ54" s="326"/>
      <c r="CR54" s="326"/>
      <c r="CS54" s="326"/>
      <c r="CT54" s="326"/>
      <c r="CU54" s="326"/>
      <c r="CV54" s="326"/>
      <c r="CW54" s="326"/>
      <c r="CX54" s="326"/>
      <c r="CY54" s="326"/>
      <c r="CZ54" s="326"/>
      <c r="DA54" s="326"/>
      <c r="DB54" s="326"/>
      <c r="DC54" s="326"/>
      <c r="DD54" s="326"/>
      <c r="DE54" s="326"/>
      <c r="DF54" s="326"/>
      <c r="DG54" s="326"/>
      <c r="DH54" s="326"/>
      <c r="DI54" s="326"/>
      <c r="DJ54" s="326"/>
      <c r="DK54" s="326"/>
      <c r="DL54" s="326"/>
      <c r="DM54" s="326"/>
      <c r="DN54" s="326"/>
      <c r="DO54" s="326"/>
      <c r="DP54" s="326"/>
      <c r="DQ54" s="326"/>
      <c r="DR54" s="326"/>
      <c r="DS54" s="326"/>
      <c r="DT54" s="326"/>
      <c r="DU54" s="326"/>
      <c r="DV54" s="326"/>
      <c r="DW54" s="326"/>
      <c r="DX54" s="326"/>
      <c r="DY54" s="326"/>
      <c r="DZ54" s="326"/>
      <c r="EA54" s="326"/>
      <c r="EB54" s="326"/>
      <c r="EC54" s="326"/>
      <c r="ED54" s="326"/>
      <c r="EE54" s="326"/>
      <c r="EF54" s="326"/>
      <c r="EG54" s="326"/>
      <c r="EH54" s="326"/>
      <c r="EI54" s="326"/>
      <c r="EJ54" s="326"/>
      <c r="EK54" s="326"/>
      <c r="EL54" s="326"/>
      <c r="EM54" s="326"/>
      <c r="EN54" s="326"/>
      <c r="EO54" s="326"/>
      <c r="EP54" s="326"/>
      <c r="EQ54" s="326"/>
      <c r="ER54" s="326"/>
      <c r="ES54" s="326"/>
      <c r="ET54" s="326"/>
      <c r="EU54" s="326"/>
      <c r="EV54" s="326"/>
      <c r="EW54" s="326"/>
      <c r="EX54" s="326"/>
      <c r="EY54" s="326"/>
      <c r="EZ54" s="326"/>
      <c r="FA54" s="326"/>
      <c r="FB54" s="326"/>
      <c r="FC54" s="326"/>
      <c r="FD54" s="326"/>
      <c r="FE54" s="326"/>
      <c r="FF54" s="326"/>
      <c r="FG54" s="326"/>
      <c r="FH54" s="326"/>
      <c r="FI54" s="326"/>
      <c r="FJ54" s="326"/>
      <c r="FK54" s="326"/>
      <c r="FL54" s="326"/>
      <c r="FM54" s="326"/>
      <c r="FN54" s="326"/>
      <c r="FO54" s="326"/>
      <c r="FP54" s="326"/>
      <c r="FQ54" s="326"/>
      <c r="FR54" s="326"/>
      <c r="FS54" s="326"/>
      <c r="FT54" s="326"/>
      <c r="FU54" s="326"/>
      <c r="FV54" s="326"/>
      <c r="FW54" s="326"/>
      <c r="FX54" s="326"/>
      <c r="FY54" s="326"/>
      <c r="FZ54" s="326"/>
      <c r="GA54" s="326"/>
      <c r="GB54" s="326"/>
      <c r="GC54" s="326"/>
      <c r="GD54" s="326"/>
      <c r="GE54" s="326"/>
      <c r="GF54" s="326"/>
      <c r="GG54" s="326"/>
      <c r="GH54" s="326"/>
      <c r="GI54" s="326"/>
      <c r="GJ54" s="326"/>
      <c r="GK54" s="326"/>
      <c r="GL54" s="326"/>
      <c r="GM54" s="326"/>
      <c r="GN54" s="326"/>
      <c r="GO54" s="326"/>
      <c r="GP54" s="326"/>
      <c r="GQ54" s="326"/>
      <c r="GR54" s="326"/>
      <c r="GS54" s="326"/>
      <c r="GT54" s="326"/>
      <c r="GU54" s="326"/>
      <c r="GV54" s="326"/>
      <c r="GW54" s="326"/>
      <c r="GX54" s="326"/>
      <c r="GY54" s="326"/>
      <c r="GZ54" s="326"/>
      <c r="HA54" s="326"/>
      <c r="HB54" s="326"/>
      <c r="HC54" s="326"/>
      <c r="HD54" s="326"/>
      <c r="HE54" s="326"/>
      <c r="HF54" s="326"/>
      <c r="HG54" s="326"/>
      <c r="HH54" s="326"/>
      <c r="HI54" s="326"/>
      <c r="HJ54" s="326"/>
      <c r="HK54" s="326"/>
      <c r="HL54" s="326"/>
      <c r="HM54" s="326"/>
      <c r="HN54" s="326"/>
      <c r="HO54" s="326"/>
      <c r="HP54" s="326"/>
      <c r="HQ54" s="326"/>
      <c r="HR54" s="326"/>
      <c r="HS54" s="326"/>
      <c r="HT54" s="326"/>
      <c r="HU54" s="326"/>
      <c r="HV54" s="326"/>
      <c r="HW54" s="326"/>
      <c r="HX54" s="326"/>
      <c r="HY54" s="326"/>
      <c r="HZ54" s="326"/>
      <c r="IA54" s="326"/>
      <c r="IB54" s="326"/>
      <c r="IC54" s="326"/>
      <c r="ID54" s="326"/>
      <c r="IE54" s="326"/>
      <c r="IF54" s="326"/>
      <c r="IG54" s="326"/>
      <c r="IH54" s="326"/>
      <c r="II54" s="326"/>
      <c r="IJ54" s="326"/>
      <c r="IK54" s="326"/>
      <c r="IL54" s="326"/>
      <c r="IM54" s="326"/>
      <c r="IN54" s="326"/>
      <c r="IO54" s="326"/>
      <c r="IP54" s="326"/>
      <c r="IQ54" s="326"/>
      <c r="IR54" s="326"/>
      <c r="IS54" s="326"/>
      <c r="IT54" s="326"/>
      <c r="IU54" s="326"/>
      <c r="IV54" s="326"/>
    </row>
    <row r="55" spans="1:256" s="560" customFormat="1" ht="18" customHeight="1">
      <c r="A55" s="574">
        <v>46</v>
      </c>
      <c r="B55" s="568"/>
      <c r="C55" s="327"/>
      <c r="D55" s="483" t="s">
        <v>1091</v>
      </c>
      <c r="E55" s="335"/>
      <c r="F55" s="564"/>
      <c r="G55" s="336"/>
      <c r="H55" s="773"/>
      <c r="I55" s="788"/>
      <c r="J55" s="784"/>
      <c r="K55" s="561">
        <f>SUM(K53:K54)</f>
        <v>3095</v>
      </c>
      <c r="L55" s="784"/>
      <c r="M55" s="784"/>
      <c r="N55" s="784"/>
      <c r="O55" s="569">
        <f>SUM(I55:N55)</f>
        <v>3095</v>
      </c>
      <c r="P55" s="565"/>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c r="BN55" s="326"/>
      <c r="BO55" s="326"/>
      <c r="BP55" s="326"/>
      <c r="BQ55" s="326"/>
      <c r="BR55" s="326"/>
      <c r="BS55" s="326"/>
      <c r="BT55" s="326"/>
      <c r="BU55" s="326"/>
      <c r="BV55" s="326"/>
      <c r="BW55" s="326"/>
      <c r="BX55" s="326"/>
      <c r="BY55" s="326"/>
      <c r="BZ55" s="326"/>
      <c r="CA55" s="326"/>
      <c r="CB55" s="326"/>
      <c r="CC55" s="326"/>
      <c r="CD55" s="326"/>
      <c r="CE55" s="326"/>
      <c r="CF55" s="326"/>
      <c r="CG55" s="326"/>
      <c r="CH55" s="326"/>
      <c r="CI55" s="326"/>
      <c r="CJ55" s="326"/>
      <c r="CK55" s="326"/>
      <c r="CL55" s="326"/>
      <c r="CM55" s="326"/>
      <c r="CN55" s="326"/>
      <c r="CO55" s="326"/>
      <c r="CP55" s="326"/>
      <c r="CQ55" s="326"/>
      <c r="CR55" s="326"/>
      <c r="CS55" s="326"/>
      <c r="CT55" s="326"/>
      <c r="CU55" s="326"/>
      <c r="CV55" s="326"/>
      <c r="CW55" s="326"/>
      <c r="CX55" s="326"/>
      <c r="CY55" s="326"/>
      <c r="CZ55" s="326"/>
      <c r="DA55" s="326"/>
      <c r="DB55" s="326"/>
      <c r="DC55" s="326"/>
      <c r="DD55" s="326"/>
      <c r="DE55" s="326"/>
      <c r="DF55" s="326"/>
      <c r="DG55" s="326"/>
      <c r="DH55" s="326"/>
      <c r="DI55" s="326"/>
      <c r="DJ55" s="326"/>
      <c r="DK55" s="326"/>
      <c r="DL55" s="326"/>
      <c r="DM55" s="326"/>
      <c r="DN55" s="326"/>
      <c r="DO55" s="326"/>
      <c r="DP55" s="326"/>
      <c r="DQ55" s="326"/>
      <c r="DR55" s="326"/>
      <c r="DS55" s="326"/>
      <c r="DT55" s="326"/>
      <c r="DU55" s="326"/>
      <c r="DV55" s="326"/>
      <c r="DW55" s="326"/>
      <c r="DX55" s="326"/>
      <c r="DY55" s="326"/>
      <c r="DZ55" s="326"/>
      <c r="EA55" s="326"/>
      <c r="EB55" s="326"/>
      <c r="EC55" s="326"/>
      <c r="ED55" s="326"/>
      <c r="EE55" s="326"/>
      <c r="EF55" s="326"/>
      <c r="EG55" s="326"/>
      <c r="EH55" s="326"/>
      <c r="EI55" s="326"/>
      <c r="EJ55" s="326"/>
      <c r="EK55" s="326"/>
      <c r="EL55" s="326"/>
      <c r="EM55" s="326"/>
      <c r="EN55" s="326"/>
      <c r="EO55" s="326"/>
      <c r="EP55" s="326"/>
      <c r="EQ55" s="326"/>
      <c r="ER55" s="326"/>
      <c r="ES55" s="326"/>
      <c r="ET55" s="326"/>
      <c r="EU55" s="326"/>
      <c r="EV55" s="326"/>
      <c r="EW55" s="326"/>
      <c r="EX55" s="326"/>
      <c r="EY55" s="326"/>
      <c r="EZ55" s="326"/>
      <c r="FA55" s="326"/>
      <c r="FB55" s="326"/>
      <c r="FC55" s="326"/>
      <c r="FD55" s="326"/>
      <c r="FE55" s="326"/>
      <c r="FF55" s="326"/>
      <c r="FG55" s="326"/>
      <c r="FH55" s="326"/>
      <c r="FI55" s="326"/>
      <c r="FJ55" s="326"/>
      <c r="FK55" s="326"/>
      <c r="FL55" s="326"/>
      <c r="FM55" s="326"/>
      <c r="FN55" s="326"/>
      <c r="FO55" s="326"/>
      <c r="FP55" s="326"/>
      <c r="FQ55" s="326"/>
      <c r="FR55" s="326"/>
      <c r="FS55" s="326"/>
      <c r="FT55" s="326"/>
      <c r="FU55" s="326"/>
      <c r="FV55" s="326"/>
      <c r="FW55" s="326"/>
      <c r="FX55" s="326"/>
      <c r="FY55" s="326"/>
      <c r="FZ55" s="326"/>
      <c r="GA55" s="326"/>
      <c r="GB55" s="326"/>
      <c r="GC55" s="326"/>
      <c r="GD55" s="326"/>
      <c r="GE55" s="326"/>
      <c r="GF55" s="326"/>
      <c r="GG55" s="326"/>
      <c r="GH55" s="326"/>
      <c r="GI55" s="326"/>
      <c r="GJ55" s="326"/>
      <c r="GK55" s="326"/>
      <c r="GL55" s="326"/>
      <c r="GM55" s="326"/>
      <c r="GN55" s="326"/>
      <c r="GO55" s="326"/>
      <c r="GP55" s="326"/>
      <c r="GQ55" s="326"/>
      <c r="GR55" s="326"/>
      <c r="GS55" s="326"/>
      <c r="GT55" s="326"/>
      <c r="GU55" s="326"/>
      <c r="GV55" s="326"/>
      <c r="GW55" s="326"/>
      <c r="GX55" s="326"/>
      <c r="GY55" s="326"/>
      <c r="GZ55" s="326"/>
      <c r="HA55" s="326"/>
      <c r="HB55" s="326"/>
      <c r="HC55" s="326"/>
      <c r="HD55" s="326"/>
      <c r="HE55" s="326"/>
      <c r="HF55" s="326"/>
      <c r="HG55" s="326"/>
      <c r="HH55" s="326"/>
      <c r="HI55" s="326"/>
      <c r="HJ55" s="326"/>
      <c r="HK55" s="326"/>
      <c r="HL55" s="326"/>
      <c r="HM55" s="326"/>
      <c r="HN55" s="326"/>
      <c r="HO55" s="326"/>
      <c r="HP55" s="326"/>
      <c r="HQ55" s="326"/>
      <c r="HR55" s="326"/>
      <c r="HS55" s="326"/>
      <c r="HT55" s="326"/>
      <c r="HU55" s="326"/>
      <c r="HV55" s="326"/>
      <c r="HW55" s="326"/>
      <c r="HX55" s="326"/>
      <c r="HY55" s="326"/>
      <c r="HZ55" s="326"/>
      <c r="IA55" s="326"/>
      <c r="IB55" s="326"/>
      <c r="IC55" s="326"/>
      <c r="ID55" s="326"/>
      <c r="IE55" s="326"/>
      <c r="IF55" s="326"/>
      <c r="IG55" s="326"/>
      <c r="IH55" s="326"/>
      <c r="II55" s="326"/>
      <c r="IJ55" s="326"/>
      <c r="IK55" s="326"/>
      <c r="IL55" s="326"/>
      <c r="IM55" s="326"/>
      <c r="IN55" s="326"/>
      <c r="IO55" s="326"/>
      <c r="IP55" s="326"/>
      <c r="IQ55" s="326"/>
      <c r="IR55" s="326"/>
      <c r="IS55" s="326"/>
      <c r="IT55" s="326"/>
      <c r="IU55" s="326"/>
      <c r="IV55" s="326"/>
    </row>
    <row r="56" spans="1:256" s="560" customFormat="1" ht="22.5" customHeight="1">
      <c r="A56" s="574">
        <v>47</v>
      </c>
      <c r="B56" s="568"/>
      <c r="C56" s="366">
        <v>10</v>
      </c>
      <c r="D56" s="572" t="s">
        <v>509</v>
      </c>
      <c r="E56" s="335"/>
      <c r="F56" s="564"/>
      <c r="G56" s="336"/>
      <c r="H56" s="773" t="s">
        <v>23</v>
      </c>
      <c r="I56" s="788"/>
      <c r="J56" s="784"/>
      <c r="K56" s="784"/>
      <c r="L56" s="784"/>
      <c r="M56" s="784"/>
      <c r="N56" s="784"/>
      <c r="O56" s="758"/>
      <c r="P56" s="565"/>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26"/>
      <c r="BX56" s="326"/>
      <c r="BY56" s="326"/>
      <c r="BZ56" s="326"/>
      <c r="CA56" s="326"/>
      <c r="CB56" s="326"/>
      <c r="CC56" s="326"/>
      <c r="CD56" s="326"/>
      <c r="CE56" s="326"/>
      <c r="CF56" s="326"/>
      <c r="CG56" s="326"/>
      <c r="CH56" s="326"/>
      <c r="CI56" s="326"/>
      <c r="CJ56" s="326"/>
      <c r="CK56" s="326"/>
      <c r="CL56" s="326"/>
      <c r="CM56" s="326"/>
      <c r="CN56" s="326"/>
      <c r="CO56" s="326"/>
      <c r="CP56" s="326"/>
      <c r="CQ56" s="326"/>
      <c r="CR56" s="326"/>
      <c r="CS56" s="326"/>
      <c r="CT56" s="326"/>
      <c r="CU56" s="326"/>
      <c r="CV56" s="326"/>
      <c r="CW56" s="326"/>
      <c r="CX56" s="326"/>
      <c r="CY56" s="326"/>
      <c r="CZ56" s="326"/>
      <c r="DA56" s="326"/>
      <c r="DB56" s="326"/>
      <c r="DC56" s="326"/>
      <c r="DD56" s="326"/>
      <c r="DE56" s="326"/>
      <c r="DF56" s="326"/>
      <c r="DG56" s="326"/>
      <c r="DH56" s="326"/>
      <c r="DI56" s="326"/>
      <c r="DJ56" s="326"/>
      <c r="DK56" s="326"/>
      <c r="DL56" s="326"/>
      <c r="DM56" s="326"/>
      <c r="DN56" s="326"/>
      <c r="DO56" s="326"/>
      <c r="DP56" s="326"/>
      <c r="DQ56" s="326"/>
      <c r="DR56" s="326"/>
      <c r="DS56" s="326"/>
      <c r="DT56" s="326"/>
      <c r="DU56" s="326"/>
      <c r="DV56" s="326"/>
      <c r="DW56" s="326"/>
      <c r="DX56" s="326"/>
      <c r="DY56" s="326"/>
      <c r="DZ56" s="326"/>
      <c r="EA56" s="326"/>
      <c r="EB56" s="326"/>
      <c r="EC56" s="326"/>
      <c r="ED56" s="326"/>
      <c r="EE56" s="326"/>
      <c r="EF56" s="326"/>
      <c r="EG56" s="326"/>
      <c r="EH56" s="326"/>
      <c r="EI56" s="326"/>
      <c r="EJ56" s="326"/>
      <c r="EK56" s="326"/>
      <c r="EL56" s="326"/>
      <c r="EM56" s="326"/>
      <c r="EN56" s="326"/>
      <c r="EO56" s="326"/>
      <c r="EP56" s="326"/>
      <c r="EQ56" s="326"/>
      <c r="ER56" s="326"/>
      <c r="ES56" s="326"/>
      <c r="ET56" s="326"/>
      <c r="EU56" s="326"/>
      <c r="EV56" s="326"/>
      <c r="EW56" s="326"/>
      <c r="EX56" s="326"/>
      <c r="EY56" s="326"/>
      <c r="EZ56" s="326"/>
      <c r="FA56" s="326"/>
      <c r="FB56" s="326"/>
      <c r="FC56" s="326"/>
      <c r="FD56" s="326"/>
      <c r="FE56" s="326"/>
      <c r="FF56" s="326"/>
      <c r="FG56" s="326"/>
      <c r="FH56" s="326"/>
      <c r="FI56" s="326"/>
      <c r="FJ56" s="326"/>
      <c r="FK56" s="326"/>
      <c r="FL56" s="326"/>
      <c r="FM56" s="326"/>
      <c r="FN56" s="326"/>
      <c r="FO56" s="326"/>
      <c r="FP56" s="326"/>
      <c r="FQ56" s="326"/>
      <c r="FR56" s="326"/>
      <c r="FS56" s="326"/>
      <c r="FT56" s="326"/>
      <c r="FU56" s="326"/>
      <c r="FV56" s="326"/>
      <c r="FW56" s="326"/>
      <c r="FX56" s="326"/>
      <c r="FY56" s="326"/>
      <c r="FZ56" s="326"/>
      <c r="GA56" s="326"/>
      <c r="GB56" s="326"/>
      <c r="GC56" s="326"/>
      <c r="GD56" s="326"/>
      <c r="GE56" s="326"/>
      <c r="GF56" s="326"/>
      <c r="GG56" s="326"/>
      <c r="GH56" s="326"/>
      <c r="GI56" s="326"/>
      <c r="GJ56" s="326"/>
      <c r="GK56" s="326"/>
      <c r="GL56" s="326"/>
      <c r="GM56" s="326"/>
      <c r="GN56" s="326"/>
      <c r="GO56" s="326"/>
      <c r="GP56" s="326"/>
      <c r="GQ56" s="326"/>
      <c r="GR56" s="326"/>
      <c r="GS56" s="326"/>
      <c r="GT56" s="326"/>
      <c r="GU56" s="326"/>
      <c r="GV56" s="326"/>
      <c r="GW56" s="326"/>
      <c r="GX56" s="326"/>
      <c r="GY56" s="326"/>
      <c r="GZ56" s="326"/>
      <c r="HA56" s="326"/>
      <c r="HB56" s="326"/>
      <c r="HC56" s="326"/>
      <c r="HD56" s="326"/>
      <c r="HE56" s="326"/>
      <c r="HF56" s="326"/>
      <c r="HG56" s="326"/>
      <c r="HH56" s="326"/>
      <c r="HI56" s="326"/>
      <c r="HJ56" s="326"/>
      <c r="HK56" s="326"/>
      <c r="HL56" s="326"/>
      <c r="HM56" s="326"/>
      <c r="HN56" s="326"/>
      <c r="HO56" s="326"/>
      <c r="HP56" s="326"/>
      <c r="HQ56" s="326"/>
      <c r="HR56" s="326"/>
      <c r="HS56" s="326"/>
      <c r="HT56" s="326"/>
      <c r="HU56" s="326"/>
      <c r="HV56" s="326"/>
      <c r="HW56" s="326"/>
      <c r="HX56" s="326"/>
      <c r="HY56" s="326"/>
      <c r="HZ56" s="326"/>
      <c r="IA56" s="326"/>
      <c r="IB56" s="326"/>
      <c r="IC56" s="326"/>
      <c r="ID56" s="326"/>
      <c r="IE56" s="326"/>
      <c r="IF56" s="326"/>
      <c r="IG56" s="326"/>
      <c r="IH56" s="326"/>
      <c r="II56" s="326"/>
      <c r="IJ56" s="326"/>
      <c r="IK56" s="326"/>
      <c r="IL56" s="326"/>
      <c r="IM56" s="326"/>
      <c r="IN56" s="326"/>
      <c r="IO56" s="326"/>
      <c r="IP56" s="326"/>
      <c r="IQ56" s="326"/>
      <c r="IR56" s="326"/>
      <c r="IS56" s="326"/>
      <c r="IT56" s="326"/>
      <c r="IU56" s="326"/>
      <c r="IV56" s="326"/>
    </row>
    <row r="57" spans="1:256" s="560" customFormat="1" ht="18" customHeight="1">
      <c r="A57" s="574">
        <v>48</v>
      </c>
      <c r="B57" s="568"/>
      <c r="C57" s="327"/>
      <c r="D57" s="1324" t="s">
        <v>283</v>
      </c>
      <c r="E57" s="335">
        <f>F57+G57+O60+P57</f>
        <v>1905</v>
      </c>
      <c r="F57" s="564"/>
      <c r="G57" s="336"/>
      <c r="H57" s="773"/>
      <c r="I57" s="788"/>
      <c r="J57" s="784"/>
      <c r="K57" s="784"/>
      <c r="L57" s="784"/>
      <c r="M57" s="784">
        <v>1905</v>
      </c>
      <c r="N57" s="784"/>
      <c r="O57" s="758">
        <f>SUM(I57:N57)</f>
        <v>1905</v>
      </c>
      <c r="P57" s="565"/>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c r="BY57" s="326"/>
      <c r="BZ57" s="326"/>
      <c r="CA57" s="326"/>
      <c r="CB57" s="326"/>
      <c r="CC57" s="326"/>
      <c r="CD57" s="326"/>
      <c r="CE57" s="326"/>
      <c r="CF57" s="326"/>
      <c r="CG57" s="326"/>
      <c r="CH57" s="326"/>
      <c r="CI57" s="326"/>
      <c r="CJ57" s="326"/>
      <c r="CK57" s="326"/>
      <c r="CL57" s="326"/>
      <c r="CM57" s="326"/>
      <c r="CN57" s="326"/>
      <c r="CO57" s="326"/>
      <c r="CP57" s="326"/>
      <c r="CQ57" s="326"/>
      <c r="CR57" s="326"/>
      <c r="CS57" s="326"/>
      <c r="CT57" s="326"/>
      <c r="CU57" s="326"/>
      <c r="CV57" s="326"/>
      <c r="CW57" s="326"/>
      <c r="CX57" s="326"/>
      <c r="CY57" s="326"/>
      <c r="CZ57" s="326"/>
      <c r="DA57" s="326"/>
      <c r="DB57" s="326"/>
      <c r="DC57" s="326"/>
      <c r="DD57" s="326"/>
      <c r="DE57" s="326"/>
      <c r="DF57" s="326"/>
      <c r="DG57" s="326"/>
      <c r="DH57" s="326"/>
      <c r="DI57" s="326"/>
      <c r="DJ57" s="326"/>
      <c r="DK57" s="326"/>
      <c r="DL57" s="326"/>
      <c r="DM57" s="326"/>
      <c r="DN57" s="326"/>
      <c r="DO57" s="326"/>
      <c r="DP57" s="326"/>
      <c r="DQ57" s="326"/>
      <c r="DR57" s="326"/>
      <c r="DS57" s="326"/>
      <c r="DT57" s="326"/>
      <c r="DU57" s="326"/>
      <c r="DV57" s="326"/>
      <c r="DW57" s="326"/>
      <c r="DX57" s="326"/>
      <c r="DY57" s="326"/>
      <c r="DZ57" s="326"/>
      <c r="EA57" s="326"/>
      <c r="EB57" s="326"/>
      <c r="EC57" s="326"/>
      <c r="ED57" s="326"/>
      <c r="EE57" s="326"/>
      <c r="EF57" s="326"/>
      <c r="EG57" s="326"/>
      <c r="EH57" s="326"/>
      <c r="EI57" s="326"/>
      <c r="EJ57" s="326"/>
      <c r="EK57" s="326"/>
      <c r="EL57" s="326"/>
      <c r="EM57" s="326"/>
      <c r="EN57" s="326"/>
      <c r="EO57" s="326"/>
      <c r="EP57" s="326"/>
      <c r="EQ57" s="326"/>
      <c r="ER57" s="326"/>
      <c r="ES57" s="326"/>
      <c r="ET57" s="326"/>
      <c r="EU57" s="326"/>
      <c r="EV57" s="326"/>
      <c r="EW57" s="326"/>
      <c r="EX57" s="326"/>
      <c r="EY57" s="326"/>
      <c r="EZ57" s="326"/>
      <c r="FA57" s="326"/>
      <c r="FB57" s="326"/>
      <c r="FC57" s="326"/>
      <c r="FD57" s="326"/>
      <c r="FE57" s="326"/>
      <c r="FF57" s="326"/>
      <c r="FG57" s="326"/>
      <c r="FH57" s="326"/>
      <c r="FI57" s="326"/>
      <c r="FJ57" s="326"/>
      <c r="FK57" s="326"/>
      <c r="FL57" s="326"/>
      <c r="FM57" s="326"/>
      <c r="FN57" s="326"/>
      <c r="FO57" s="326"/>
      <c r="FP57" s="326"/>
      <c r="FQ57" s="326"/>
      <c r="FR57" s="326"/>
      <c r="FS57" s="326"/>
      <c r="FT57" s="326"/>
      <c r="FU57" s="326"/>
      <c r="FV57" s="326"/>
      <c r="FW57" s="326"/>
      <c r="FX57" s="326"/>
      <c r="FY57" s="326"/>
      <c r="FZ57" s="326"/>
      <c r="GA57" s="326"/>
      <c r="GB57" s="326"/>
      <c r="GC57" s="326"/>
      <c r="GD57" s="326"/>
      <c r="GE57" s="326"/>
      <c r="GF57" s="326"/>
      <c r="GG57" s="326"/>
      <c r="GH57" s="326"/>
      <c r="GI57" s="326"/>
      <c r="GJ57" s="326"/>
      <c r="GK57" s="326"/>
      <c r="GL57" s="326"/>
      <c r="GM57" s="326"/>
      <c r="GN57" s="326"/>
      <c r="GO57" s="326"/>
      <c r="GP57" s="326"/>
      <c r="GQ57" s="326"/>
      <c r="GR57" s="326"/>
      <c r="GS57" s="326"/>
      <c r="GT57" s="326"/>
      <c r="GU57" s="326"/>
      <c r="GV57" s="326"/>
      <c r="GW57" s="326"/>
      <c r="GX57" s="326"/>
      <c r="GY57" s="326"/>
      <c r="GZ57" s="326"/>
      <c r="HA57" s="326"/>
      <c r="HB57" s="326"/>
      <c r="HC57" s="326"/>
      <c r="HD57" s="326"/>
      <c r="HE57" s="326"/>
      <c r="HF57" s="326"/>
      <c r="HG57" s="326"/>
      <c r="HH57" s="326"/>
      <c r="HI57" s="326"/>
      <c r="HJ57" s="326"/>
      <c r="HK57" s="326"/>
      <c r="HL57" s="326"/>
      <c r="HM57" s="326"/>
      <c r="HN57" s="326"/>
      <c r="HO57" s="326"/>
      <c r="HP57" s="326"/>
      <c r="HQ57" s="326"/>
      <c r="HR57" s="326"/>
      <c r="HS57" s="326"/>
      <c r="HT57" s="326"/>
      <c r="HU57" s="326"/>
      <c r="HV57" s="326"/>
      <c r="HW57" s="326"/>
      <c r="HX57" s="326"/>
      <c r="HY57" s="326"/>
      <c r="HZ57" s="326"/>
      <c r="IA57" s="326"/>
      <c r="IB57" s="326"/>
      <c r="IC57" s="326"/>
      <c r="ID57" s="326"/>
      <c r="IE57" s="326"/>
      <c r="IF57" s="326"/>
      <c r="IG57" s="326"/>
      <c r="IH57" s="326"/>
      <c r="II57" s="326"/>
      <c r="IJ57" s="326"/>
      <c r="IK57" s="326"/>
      <c r="IL57" s="326"/>
      <c r="IM57" s="326"/>
      <c r="IN57" s="326"/>
      <c r="IO57" s="326"/>
      <c r="IP57" s="326"/>
      <c r="IQ57" s="326"/>
      <c r="IR57" s="326"/>
      <c r="IS57" s="326"/>
      <c r="IT57" s="326"/>
      <c r="IU57" s="326"/>
      <c r="IV57" s="326"/>
    </row>
    <row r="58" spans="1:256" s="560" customFormat="1" ht="18" customHeight="1">
      <c r="A58" s="574">
        <v>49</v>
      </c>
      <c r="B58" s="568"/>
      <c r="C58" s="327"/>
      <c r="D58" s="483" t="s">
        <v>938</v>
      </c>
      <c r="E58" s="335"/>
      <c r="F58" s="564"/>
      <c r="G58" s="336"/>
      <c r="H58" s="773"/>
      <c r="I58" s="788"/>
      <c r="J58" s="784"/>
      <c r="K58" s="784"/>
      <c r="L58" s="784"/>
      <c r="M58" s="561">
        <v>1905</v>
      </c>
      <c r="N58" s="561"/>
      <c r="O58" s="569">
        <f>SUM(I58:N58)</f>
        <v>1905</v>
      </c>
      <c r="P58" s="565"/>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c r="BY58" s="326"/>
      <c r="BZ58" s="326"/>
      <c r="CA58" s="326"/>
      <c r="CB58" s="326"/>
      <c r="CC58" s="326"/>
      <c r="CD58" s="326"/>
      <c r="CE58" s="326"/>
      <c r="CF58" s="326"/>
      <c r="CG58" s="326"/>
      <c r="CH58" s="326"/>
      <c r="CI58" s="326"/>
      <c r="CJ58" s="326"/>
      <c r="CK58" s="326"/>
      <c r="CL58" s="326"/>
      <c r="CM58" s="326"/>
      <c r="CN58" s="326"/>
      <c r="CO58" s="326"/>
      <c r="CP58" s="326"/>
      <c r="CQ58" s="326"/>
      <c r="CR58" s="326"/>
      <c r="CS58" s="326"/>
      <c r="CT58" s="326"/>
      <c r="CU58" s="326"/>
      <c r="CV58" s="326"/>
      <c r="CW58" s="326"/>
      <c r="CX58" s="326"/>
      <c r="CY58" s="326"/>
      <c r="CZ58" s="326"/>
      <c r="DA58" s="326"/>
      <c r="DB58" s="326"/>
      <c r="DC58" s="326"/>
      <c r="DD58" s="326"/>
      <c r="DE58" s="326"/>
      <c r="DF58" s="326"/>
      <c r="DG58" s="326"/>
      <c r="DH58" s="326"/>
      <c r="DI58" s="326"/>
      <c r="DJ58" s="326"/>
      <c r="DK58" s="326"/>
      <c r="DL58" s="326"/>
      <c r="DM58" s="326"/>
      <c r="DN58" s="326"/>
      <c r="DO58" s="326"/>
      <c r="DP58" s="326"/>
      <c r="DQ58" s="326"/>
      <c r="DR58" s="326"/>
      <c r="DS58" s="326"/>
      <c r="DT58" s="326"/>
      <c r="DU58" s="326"/>
      <c r="DV58" s="326"/>
      <c r="DW58" s="326"/>
      <c r="DX58" s="326"/>
      <c r="DY58" s="326"/>
      <c r="DZ58" s="326"/>
      <c r="EA58" s="326"/>
      <c r="EB58" s="326"/>
      <c r="EC58" s="326"/>
      <c r="ED58" s="326"/>
      <c r="EE58" s="326"/>
      <c r="EF58" s="326"/>
      <c r="EG58" s="326"/>
      <c r="EH58" s="326"/>
      <c r="EI58" s="326"/>
      <c r="EJ58" s="326"/>
      <c r="EK58" s="326"/>
      <c r="EL58" s="326"/>
      <c r="EM58" s="326"/>
      <c r="EN58" s="326"/>
      <c r="EO58" s="326"/>
      <c r="EP58" s="326"/>
      <c r="EQ58" s="326"/>
      <c r="ER58" s="326"/>
      <c r="ES58" s="326"/>
      <c r="ET58" s="326"/>
      <c r="EU58" s="326"/>
      <c r="EV58" s="326"/>
      <c r="EW58" s="326"/>
      <c r="EX58" s="326"/>
      <c r="EY58" s="326"/>
      <c r="EZ58" s="326"/>
      <c r="FA58" s="326"/>
      <c r="FB58" s="326"/>
      <c r="FC58" s="326"/>
      <c r="FD58" s="326"/>
      <c r="FE58" s="326"/>
      <c r="FF58" s="326"/>
      <c r="FG58" s="326"/>
      <c r="FH58" s="326"/>
      <c r="FI58" s="326"/>
      <c r="FJ58" s="326"/>
      <c r="FK58" s="326"/>
      <c r="FL58" s="326"/>
      <c r="FM58" s="326"/>
      <c r="FN58" s="326"/>
      <c r="FO58" s="326"/>
      <c r="FP58" s="326"/>
      <c r="FQ58" s="326"/>
      <c r="FR58" s="326"/>
      <c r="FS58" s="326"/>
      <c r="FT58" s="326"/>
      <c r="FU58" s="326"/>
      <c r="FV58" s="326"/>
      <c r="FW58" s="326"/>
      <c r="FX58" s="326"/>
      <c r="FY58" s="326"/>
      <c r="FZ58" s="326"/>
      <c r="GA58" s="326"/>
      <c r="GB58" s="326"/>
      <c r="GC58" s="326"/>
      <c r="GD58" s="326"/>
      <c r="GE58" s="326"/>
      <c r="GF58" s="326"/>
      <c r="GG58" s="326"/>
      <c r="GH58" s="326"/>
      <c r="GI58" s="326"/>
      <c r="GJ58" s="326"/>
      <c r="GK58" s="326"/>
      <c r="GL58" s="326"/>
      <c r="GM58" s="326"/>
      <c r="GN58" s="326"/>
      <c r="GO58" s="326"/>
      <c r="GP58" s="326"/>
      <c r="GQ58" s="326"/>
      <c r="GR58" s="326"/>
      <c r="GS58" s="326"/>
      <c r="GT58" s="326"/>
      <c r="GU58" s="326"/>
      <c r="GV58" s="326"/>
      <c r="GW58" s="326"/>
      <c r="GX58" s="326"/>
      <c r="GY58" s="326"/>
      <c r="GZ58" s="326"/>
      <c r="HA58" s="326"/>
      <c r="HB58" s="326"/>
      <c r="HC58" s="326"/>
      <c r="HD58" s="326"/>
      <c r="HE58" s="326"/>
      <c r="HF58" s="326"/>
      <c r="HG58" s="326"/>
      <c r="HH58" s="326"/>
      <c r="HI58" s="326"/>
      <c r="HJ58" s="326"/>
      <c r="HK58" s="326"/>
      <c r="HL58" s="326"/>
      <c r="HM58" s="326"/>
      <c r="HN58" s="326"/>
      <c r="HO58" s="326"/>
      <c r="HP58" s="326"/>
      <c r="HQ58" s="326"/>
      <c r="HR58" s="326"/>
      <c r="HS58" s="326"/>
      <c r="HT58" s="326"/>
      <c r="HU58" s="326"/>
      <c r="HV58" s="326"/>
      <c r="HW58" s="326"/>
      <c r="HX58" s="326"/>
      <c r="HY58" s="326"/>
      <c r="HZ58" s="326"/>
      <c r="IA58" s="326"/>
      <c r="IB58" s="326"/>
      <c r="IC58" s="326"/>
      <c r="ID58" s="326"/>
      <c r="IE58" s="326"/>
      <c r="IF58" s="326"/>
      <c r="IG58" s="326"/>
      <c r="IH58" s="326"/>
      <c r="II58" s="326"/>
      <c r="IJ58" s="326"/>
      <c r="IK58" s="326"/>
      <c r="IL58" s="326"/>
      <c r="IM58" s="326"/>
      <c r="IN58" s="326"/>
      <c r="IO58" s="326"/>
      <c r="IP58" s="326"/>
      <c r="IQ58" s="326"/>
      <c r="IR58" s="326"/>
      <c r="IS58" s="326"/>
      <c r="IT58" s="326"/>
      <c r="IU58" s="326"/>
      <c r="IV58" s="326"/>
    </row>
    <row r="59" spans="1:256" s="560" customFormat="1" ht="18" customHeight="1">
      <c r="A59" s="574">
        <v>50</v>
      </c>
      <c r="B59" s="568"/>
      <c r="C59" s="327"/>
      <c r="D59" s="1146" t="s">
        <v>674</v>
      </c>
      <c r="E59" s="335"/>
      <c r="F59" s="564"/>
      <c r="G59" s="336"/>
      <c r="H59" s="773"/>
      <c r="I59" s="788"/>
      <c r="J59" s="784"/>
      <c r="K59" s="784"/>
      <c r="L59" s="784"/>
      <c r="M59" s="784"/>
      <c r="N59" s="784"/>
      <c r="O59" s="1327">
        <f>SUM(I59:N59)</f>
        <v>0</v>
      </c>
      <c r="P59" s="565"/>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6"/>
      <c r="BR59" s="326"/>
      <c r="BS59" s="326"/>
      <c r="BT59" s="326"/>
      <c r="BU59" s="326"/>
      <c r="BV59" s="326"/>
      <c r="BW59" s="326"/>
      <c r="BX59" s="326"/>
      <c r="BY59" s="326"/>
      <c r="BZ59" s="326"/>
      <c r="CA59" s="326"/>
      <c r="CB59" s="326"/>
      <c r="CC59" s="326"/>
      <c r="CD59" s="326"/>
      <c r="CE59" s="326"/>
      <c r="CF59" s="326"/>
      <c r="CG59" s="326"/>
      <c r="CH59" s="326"/>
      <c r="CI59" s="326"/>
      <c r="CJ59" s="326"/>
      <c r="CK59" s="326"/>
      <c r="CL59" s="326"/>
      <c r="CM59" s="326"/>
      <c r="CN59" s="326"/>
      <c r="CO59" s="326"/>
      <c r="CP59" s="326"/>
      <c r="CQ59" s="326"/>
      <c r="CR59" s="326"/>
      <c r="CS59" s="326"/>
      <c r="CT59" s="326"/>
      <c r="CU59" s="326"/>
      <c r="CV59" s="326"/>
      <c r="CW59" s="326"/>
      <c r="CX59" s="326"/>
      <c r="CY59" s="326"/>
      <c r="CZ59" s="326"/>
      <c r="DA59" s="326"/>
      <c r="DB59" s="326"/>
      <c r="DC59" s="326"/>
      <c r="DD59" s="326"/>
      <c r="DE59" s="326"/>
      <c r="DF59" s="326"/>
      <c r="DG59" s="326"/>
      <c r="DH59" s="326"/>
      <c r="DI59" s="326"/>
      <c r="DJ59" s="326"/>
      <c r="DK59" s="326"/>
      <c r="DL59" s="326"/>
      <c r="DM59" s="326"/>
      <c r="DN59" s="326"/>
      <c r="DO59" s="326"/>
      <c r="DP59" s="326"/>
      <c r="DQ59" s="326"/>
      <c r="DR59" s="326"/>
      <c r="DS59" s="326"/>
      <c r="DT59" s="326"/>
      <c r="DU59" s="326"/>
      <c r="DV59" s="326"/>
      <c r="DW59" s="326"/>
      <c r="DX59" s="326"/>
      <c r="DY59" s="326"/>
      <c r="DZ59" s="326"/>
      <c r="EA59" s="326"/>
      <c r="EB59" s="326"/>
      <c r="EC59" s="326"/>
      <c r="ED59" s="326"/>
      <c r="EE59" s="326"/>
      <c r="EF59" s="326"/>
      <c r="EG59" s="326"/>
      <c r="EH59" s="326"/>
      <c r="EI59" s="326"/>
      <c r="EJ59" s="326"/>
      <c r="EK59" s="326"/>
      <c r="EL59" s="326"/>
      <c r="EM59" s="326"/>
      <c r="EN59" s="326"/>
      <c r="EO59" s="326"/>
      <c r="EP59" s="326"/>
      <c r="EQ59" s="326"/>
      <c r="ER59" s="326"/>
      <c r="ES59" s="326"/>
      <c r="ET59" s="326"/>
      <c r="EU59" s="326"/>
      <c r="EV59" s="326"/>
      <c r="EW59" s="326"/>
      <c r="EX59" s="326"/>
      <c r="EY59" s="326"/>
      <c r="EZ59" s="326"/>
      <c r="FA59" s="326"/>
      <c r="FB59" s="326"/>
      <c r="FC59" s="326"/>
      <c r="FD59" s="326"/>
      <c r="FE59" s="326"/>
      <c r="FF59" s="326"/>
      <c r="FG59" s="326"/>
      <c r="FH59" s="326"/>
      <c r="FI59" s="326"/>
      <c r="FJ59" s="326"/>
      <c r="FK59" s="326"/>
      <c r="FL59" s="326"/>
      <c r="FM59" s="326"/>
      <c r="FN59" s="326"/>
      <c r="FO59" s="326"/>
      <c r="FP59" s="326"/>
      <c r="FQ59" s="326"/>
      <c r="FR59" s="326"/>
      <c r="FS59" s="326"/>
      <c r="FT59" s="326"/>
      <c r="FU59" s="326"/>
      <c r="FV59" s="326"/>
      <c r="FW59" s="326"/>
      <c r="FX59" s="326"/>
      <c r="FY59" s="326"/>
      <c r="FZ59" s="326"/>
      <c r="GA59" s="326"/>
      <c r="GB59" s="326"/>
      <c r="GC59" s="326"/>
      <c r="GD59" s="326"/>
      <c r="GE59" s="326"/>
      <c r="GF59" s="326"/>
      <c r="GG59" s="326"/>
      <c r="GH59" s="326"/>
      <c r="GI59" s="326"/>
      <c r="GJ59" s="326"/>
      <c r="GK59" s="326"/>
      <c r="GL59" s="326"/>
      <c r="GM59" s="326"/>
      <c r="GN59" s="326"/>
      <c r="GO59" s="326"/>
      <c r="GP59" s="326"/>
      <c r="GQ59" s="326"/>
      <c r="GR59" s="326"/>
      <c r="GS59" s="326"/>
      <c r="GT59" s="326"/>
      <c r="GU59" s="326"/>
      <c r="GV59" s="326"/>
      <c r="GW59" s="326"/>
      <c r="GX59" s="326"/>
      <c r="GY59" s="326"/>
      <c r="GZ59" s="326"/>
      <c r="HA59" s="326"/>
      <c r="HB59" s="326"/>
      <c r="HC59" s="326"/>
      <c r="HD59" s="326"/>
      <c r="HE59" s="326"/>
      <c r="HF59" s="326"/>
      <c r="HG59" s="326"/>
      <c r="HH59" s="326"/>
      <c r="HI59" s="326"/>
      <c r="HJ59" s="326"/>
      <c r="HK59" s="326"/>
      <c r="HL59" s="326"/>
      <c r="HM59" s="326"/>
      <c r="HN59" s="326"/>
      <c r="HO59" s="326"/>
      <c r="HP59" s="326"/>
      <c r="HQ59" s="326"/>
      <c r="HR59" s="326"/>
      <c r="HS59" s="326"/>
      <c r="HT59" s="326"/>
      <c r="HU59" s="326"/>
      <c r="HV59" s="326"/>
      <c r="HW59" s="326"/>
      <c r="HX59" s="326"/>
      <c r="HY59" s="326"/>
      <c r="HZ59" s="326"/>
      <c r="IA59" s="326"/>
      <c r="IB59" s="326"/>
      <c r="IC59" s="326"/>
      <c r="ID59" s="326"/>
      <c r="IE59" s="326"/>
      <c r="IF59" s="326"/>
      <c r="IG59" s="326"/>
      <c r="IH59" s="326"/>
      <c r="II59" s="326"/>
      <c r="IJ59" s="326"/>
      <c r="IK59" s="326"/>
      <c r="IL59" s="326"/>
      <c r="IM59" s="326"/>
      <c r="IN59" s="326"/>
      <c r="IO59" s="326"/>
      <c r="IP59" s="326"/>
      <c r="IQ59" s="326"/>
      <c r="IR59" s="326"/>
      <c r="IS59" s="326"/>
      <c r="IT59" s="326"/>
      <c r="IU59" s="326"/>
      <c r="IV59" s="326"/>
    </row>
    <row r="60" spans="1:256" s="560" customFormat="1" ht="18" customHeight="1">
      <c r="A60" s="574">
        <v>51</v>
      </c>
      <c r="B60" s="568"/>
      <c r="C60" s="327"/>
      <c r="D60" s="483" t="s">
        <v>1091</v>
      </c>
      <c r="E60" s="335"/>
      <c r="F60" s="564"/>
      <c r="G60" s="336"/>
      <c r="H60" s="773"/>
      <c r="I60" s="788"/>
      <c r="J60" s="784"/>
      <c r="K60" s="784"/>
      <c r="L60" s="784"/>
      <c r="M60" s="561">
        <f>SUM(M58:M59)</f>
        <v>1905</v>
      </c>
      <c r="N60" s="784"/>
      <c r="O60" s="569">
        <f>SUM(I60:N60)</f>
        <v>1905</v>
      </c>
      <c r="P60" s="565"/>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c r="CE60" s="326"/>
      <c r="CF60" s="326"/>
      <c r="CG60" s="326"/>
      <c r="CH60" s="326"/>
      <c r="CI60" s="326"/>
      <c r="CJ60" s="326"/>
      <c r="CK60" s="326"/>
      <c r="CL60" s="326"/>
      <c r="CM60" s="326"/>
      <c r="CN60" s="326"/>
      <c r="CO60" s="326"/>
      <c r="CP60" s="326"/>
      <c r="CQ60" s="326"/>
      <c r="CR60" s="326"/>
      <c r="CS60" s="326"/>
      <c r="CT60" s="326"/>
      <c r="CU60" s="326"/>
      <c r="CV60" s="326"/>
      <c r="CW60" s="326"/>
      <c r="CX60" s="326"/>
      <c r="CY60" s="326"/>
      <c r="CZ60" s="326"/>
      <c r="DA60" s="326"/>
      <c r="DB60" s="326"/>
      <c r="DC60" s="326"/>
      <c r="DD60" s="326"/>
      <c r="DE60" s="326"/>
      <c r="DF60" s="326"/>
      <c r="DG60" s="326"/>
      <c r="DH60" s="326"/>
      <c r="DI60" s="326"/>
      <c r="DJ60" s="326"/>
      <c r="DK60" s="326"/>
      <c r="DL60" s="326"/>
      <c r="DM60" s="326"/>
      <c r="DN60" s="326"/>
      <c r="DO60" s="326"/>
      <c r="DP60" s="326"/>
      <c r="DQ60" s="326"/>
      <c r="DR60" s="326"/>
      <c r="DS60" s="326"/>
      <c r="DT60" s="326"/>
      <c r="DU60" s="326"/>
      <c r="DV60" s="326"/>
      <c r="DW60" s="326"/>
      <c r="DX60" s="326"/>
      <c r="DY60" s="326"/>
      <c r="DZ60" s="326"/>
      <c r="EA60" s="326"/>
      <c r="EB60" s="326"/>
      <c r="EC60" s="326"/>
      <c r="ED60" s="326"/>
      <c r="EE60" s="326"/>
      <c r="EF60" s="326"/>
      <c r="EG60" s="326"/>
      <c r="EH60" s="326"/>
      <c r="EI60" s="326"/>
      <c r="EJ60" s="326"/>
      <c r="EK60" s="326"/>
      <c r="EL60" s="326"/>
      <c r="EM60" s="326"/>
      <c r="EN60" s="326"/>
      <c r="EO60" s="326"/>
      <c r="EP60" s="326"/>
      <c r="EQ60" s="326"/>
      <c r="ER60" s="326"/>
      <c r="ES60" s="326"/>
      <c r="ET60" s="326"/>
      <c r="EU60" s="326"/>
      <c r="EV60" s="326"/>
      <c r="EW60" s="326"/>
      <c r="EX60" s="326"/>
      <c r="EY60" s="326"/>
      <c r="EZ60" s="326"/>
      <c r="FA60" s="326"/>
      <c r="FB60" s="326"/>
      <c r="FC60" s="326"/>
      <c r="FD60" s="326"/>
      <c r="FE60" s="326"/>
      <c r="FF60" s="326"/>
      <c r="FG60" s="326"/>
      <c r="FH60" s="326"/>
      <c r="FI60" s="326"/>
      <c r="FJ60" s="326"/>
      <c r="FK60" s="326"/>
      <c r="FL60" s="326"/>
      <c r="FM60" s="326"/>
      <c r="FN60" s="326"/>
      <c r="FO60" s="326"/>
      <c r="FP60" s="326"/>
      <c r="FQ60" s="326"/>
      <c r="FR60" s="326"/>
      <c r="FS60" s="326"/>
      <c r="FT60" s="326"/>
      <c r="FU60" s="326"/>
      <c r="FV60" s="326"/>
      <c r="FW60" s="326"/>
      <c r="FX60" s="326"/>
      <c r="FY60" s="326"/>
      <c r="FZ60" s="326"/>
      <c r="GA60" s="326"/>
      <c r="GB60" s="326"/>
      <c r="GC60" s="326"/>
      <c r="GD60" s="326"/>
      <c r="GE60" s="326"/>
      <c r="GF60" s="326"/>
      <c r="GG60" s="326"/>
      <c r="GH60" s="326"/>
      <c r="GI60" s="326"/>
      <c r="GJ60" s="326"/>
      <c r="GK60" s="326"/>
      <c r="GL60" s="326"/>
      <c r="GM60" s="326"/>
      <c r="GN60" s="326"/>
      <c r="GO60" s="326"/>
      <c r="GP60" s="326"/>
      <c r="GQ60" s="326"/>
      <c r="GR60" s="326"/>
      <c r="GS60" s="326"/>
      <c r="GT60" s="326"/>
      <c r="GU60" s="326"/>
      <c r="GV60" s="326"/>
      <c r="GW60" s="326"/>
      <c r="GX60" s="326"/>
      <c r="GY60" s="326"/>
      <c r="GZ60" s="326"/>
      <c r="HA60" s="326"/>
      <c r="HB60" s="326"/>
      <c r="HC60" s="326"/>
      <c r="HD60" s="326"/>
      <c r="HE60" s="326"/>
      <c r="HF60" s="326"/>
      <c r="HG60" s="326"/>
      <c r="HH60" s="326"/>
      <c r="HI60" s="326"/>
      <c r="HJ60" s="326"/>
      <c r="HK60" s="326"/>
      <c r="HL60" s="326"/>
      <c r="HM60" s="326"/>
      <c r="HN60" s="326"/>
      <c r="HO60" s="326"/>
      <c r="HP60" s="326"/>
      <c r="HQ60" s="326"/>
      <c r="HR60" s="326"/>
      <c r="HS60" s="326"/>
      <c r="HT60" s="326"/>
      <c r="HU60" s="326"/>
      <c r="HV60" s="326"/>
      <c r="HW60" s="326"/>
      <c r="HX60" s="326"/>
      <c r="HY60" s="326"/>
      <c r="HZ60" s="326"/>
      <c r="IA60" s="326"/>
      <c r="IB60" s="326"/>
      <c r="IC60" s="326"/>
      <c r="ID60" s="326"/>
      <c r="IE60" s="326"/>
      <c r="IF60" s="326"/>
      <c r="IG60" s="326"/>
      <c r="IH60" s="326"/>
      <c r="II60" s="326"/>
      <c r="IJ60" s="326"/>
      <c r="IK60" s="326"/>
      <c r="IL60" s="326"/>
      <c r="IM60" s="326"/>
      <c r="IN60" s="326"/>
      <c r="IO60" s="326"/>
      <c r="IP60" s="326"/>
      <c r="IQ60" s="326"/>
      <c r="IR60" s="326"/>
      <c r="IS60" s="326"/>
      <c r="IT60" s="326"/>
      <c r="IU60" s="326"/>
      <c r="IV60" s="326"/>
    </row>
    <row r="61" spans="1:256" s="560" customFormat="1" ht="42.75" customHeight="1">
      <c r="A61" s="574">
        <v>52</v>
      </c>
      <c r="B61" s="568"/>
      <c r="C61" s="366">
        <v>11</v>
      </c>
      <c r="D61" s="1950" t="s">
        <v>1008</v>
      </c>
      <c r="E61" s="335"/>
      <c r="F61" s="564"/>
      <c r="G61" s="336"/>
      <c r="H61" s="773" t="s">
        <v>23</v>
      </c>
      <c r="I61" s="788"/>
      <c r="J61" s="784"/>
      <c r="K61" s="784"/>
      <c r="L61" s="784"/>
      <c r="M61" s="784"/>
      <c r="N61" s="784"/>
      <c r="O61" s="758"/>
      <c r="P61" s="565"/>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c r="CE61" s="326"/>
      <c r="CF61" s="326"/>
      <c r="CG61" s="326"/>
      <c r="CH61" s="326"/>
      <c r="CI61" s="326"/>
      <c r="CJ61" s="326"/>
      <c r="CK61" s="326"/>
      <c r="CL61" s="326"/>
      <c r="CM61" s="326"/>
      <c r="CN61" s="326"/>
      <c r="CO61" s="326"/>
      <c r="CP61" s="326"/>
      <c r="CQ61" s="326"/>
      <c r="CR61" s="326"/>
      <c r="CS61" s="326"/>
      <c r="CT61" s="326"/>
      <c r="CU61" s="326"/>
      <c r="CV61" s="326"/>
      <c r="CW61" s="326"/>
      <c r="CX61" s="326"/>
      <c r="CY61" s="326"/>
      <c r="CZ61" s="326"/>
      <c r="DA61" s="326"/>
      <c r="DB61" s="326"/>
      <c r="DC61" s="326"/>
      <c r="DD61" s="326"/>
      <c r="DE61" s="326"/>
      <c r="DF61" s="326"/>
      <c r="DG61" s="326"/>
      <c r="DH61" s="326"/>
      <c r="DI61" s="326"/>
      <c r="DJ61" s="326"/>
      <c r="DK61" s="326"/>
      <c r="DL61" s="326"/>
      <c r="DM61" s="326"/>
      <c r="DN61" s="326"/>
      <c r="DO61" s="326"/>
      <c r="DP61" s="326"/>
      <c r="DQ61" s="326"/>
      <c r="DR61" s="326"/>
      <c r="DS61" s="326"/>
      <c r="DT61" s="326"/>
      <c r="DU61" s="326"/>
      <c r="DV61" s="326"/>
      <c r="DW61" s="326"/>
      <c r="DX61" s="326"/>
      <c r="DY61" s="326"/>
      <c r="DZ61" s="326"/>
      <c r="EA61" s="326"/>
      <c r="EB61" s="326"/>
      <c r="EC61" s="326"/>
      <c r="ED61" s="326"/>
      <c r="EE61" s="326"/>
      <c r="EF61" s="326"/>
      <c r="EG61" s="326"/>
      <c r="EH61" s="326"/>
      <c r="EI61" s="326"/>
      <c r="EJ61" s="326"/>
      <c r="EK61" s="326"/>
      <c r="EL61" s="326"/>
      <c r="EM61" s="326"/>
      <c r="EN61" s="326"/>
      <c r="EO61" s="326"/>
      <c r="EP61" s="326"/>
      <c r="EQ61" s="326"/>
      <c r="ER61" s="326"/>
      <c r="ES61" s="326"/>
      <c r="ET61" s="326"/>
      <c r="EU61" s="326"/>
      <c r="EV61" s="326"/>
      <c r="EW61" s="326"/>
      <c r="EX61" s="326"/>
      <c r="EY61" s="326"/>
      <c r="EZ61" s="326"/>
      <c r="FA61" s="326"/>
      <c r="FB61" s="326"/>
      <c r="FC61" s="326"/>
      <c r="FD61" s="326"/>
      <c r="FE61" s="326"/>
      <c r="FF61" s="326"/>
      <c r="FG61" s="326"/>
      <c r="FH61" s="326"/>
      <c r="FI61" s="326"/>
      <c r="FJ61" s="326"/>
      <c r="FK61" s="326"/>
      <c r="FL61" s="326"/>
      <c r="FM61" s="326"/>
      <c r="FN61" s="326"/>
      <c r="FO61" s="326"/>
      <c r="FP61" s="326"/>
      <c r="FQ61" s="326"/>
      <c r="FR61" s="326"/>
      <c r="FS61" s="326"/>
      <c r="FT61" s="326"/>
      <c r="FU61" s="326"/>
      <c r="FV61" s="326"/>
      <c r="FW61" s="326"/>
      <c r="FX61" s="326"/>
      <c r="FY61" s="326"/>
      <c r="FZ61" s="326"/>
      <c r="GA61" s="326"/>
      <c r="GB61" s="326"/>
      <c r="GC61" s="326"/>
      <c r="GD61" s="326"/>
      <c r="GE61" s="326"/>
      <c r="GF61" s="326"/>
      <c r="GG61" s="326"/>
      <c r="GH61" s="326"/>
      <c r="GI61" s="326"/>
      <c r="GJ61" s="326"/>
      <c r="GK61" s="326"/>
      <c r="GL61" s="326"/>
      <c r="GM61" s="326"/>
      <c r="GN61" s="326"/>
      <c r="GO61" s="326"/>
      <c r="GP61" s="326"/>
      <c r="GQ61" s="326"/>
      <c r="GR61" s="326"/>
      <c r="GS61" s="326"/>
      <c r="GT61" s="326"/>
      <c r="GU61" s="326"/>
      <c r="GV61" s="326"/>
      <c r="GW61" s="326"/>
      <c r="GX61" s="326"/>
      <c r="GY61" s="326"/>
      <c r="GZ61" s="326"/>
      <c r="HA61" s="326"/>
      <c r="HB61" s="326"/>
      <c r="HC61" s="326"/>
      <c r="HD61" s="326"/>
      <c r="HE61" s="326"/>
      <c r="HF61" s="326"/>
      <c r="HG61" s="326"/>
      <c r="HH61" s="326"/>
      <c r="HI61" s="326"/>
      <c r="HJ61" s="326"/>
      <c r="HK61" s="326"/>
      <c r="HL61" s="326"/>
      <c r="HM61" s="326"/>
      <c r="HN61" s="326"/>
      <c r="HO61" s="326"/>
      <c r="HP61" s="326"/>
      <c r="HQ61" s="326"/>
      <c r="HR61" s="326"/>
      <c r="HS61" s="326"/>
      <c r="HT61" s="326"/>
      <c r="HU61" s="326"/>
      <c r="HV61" s="326"/>
      <c r="HW61" s="326"/>
      <c r="HX61" s="326"/>
      <c r="HY61" s="326"/>
      <c r="HZ61" s="326"/>
      <c r="IA61" s="326"/>
      <c r="IB61" s="326"/>
      <c r="IC61" s="326"/>
      <c r="ID61" s="326"/>
      <c r="IE61" s="326"/>
      <c r="IF61" s="326"/>
      <c r="IG61" s="326"/>
      <c r="IH61" s="326"/>
      <c r="II61" s="326"/>
      <c r="IJ61" s="326"/>
      <c r="IK61" s="326"/>
      <c r="IL61" s="326"/>
      <c r="IM61" s="326"/>
      <c r="IN61" s="326"/>
      <c r="IO61" s="326"/>
      <c r="IP61" s="326"/>
      <c r="IQ61" s="326"/>
      <c r="IR61" s="326"/>
      <c r="IS61" s="326"/>
      <c r="IT61" s="326"/>
      <c r="IU61" s="326"/>
      <c r="IV61" s="326"/>
    </row>
    <row r="62" spans="1:256" s="560" customFormat="1" ht="18" customHeight="1">
      <c r="A62" s="574">
        <v>53</v>
      </c>
      <c r="B62" s="568"/>
      <c r="C62" s="327"/>
      <c r="D62" s="1324" t="s">
        <v>283</v>
      </c>
      <c r="E62" s="335">
        <f>F62+G62+O65+P62</f>
        <v>5000000</v>
      </c>
      <c r="F62" s="564"/>
      <c r="G62" s="336"/>
      <c r="H62" s="773"/>
      <c r="I62" s="788"/>
      <c r="J62" s="784"/>
      <c r="K62" s="784"/>
      <c r="L62" s="784"/>
      <c r="M62" s="784">
        <v>217000</v>
      </c>
      <c r="N62" s="784"/>
      <c r="O62" s="758">
        <f>SUM(I62:N62)</f>
        <v>217000</v>
      </c>
      <c r="P62" s="565">
        <f>283000+2204093+339921</f>
        <v>2827014</v>
      </c>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326"/>
      <c r="DF62" s="326"/>
      <c r="DG62" s="326"/>
      <c r="DH62" s="326"/>
      <c r="DI62" s="326"/>
      <c r="DJ62" s="326"/>
      <c r="DK62" s="326"/>
      <c r="DL62" s="326"/>
      <c r="DM62" s="326"/>
      <c r="DN62" s="326"/>
      <c r="DO62" s="326"/>
      <c r="DP62" s="326"/>
      <c r="DQ62" s="326"/>
      <c r="DR62" s="326"/>
      <c r="DS62" s="326"/>
      <c r="DT62" s="326"/>
      <c r="DU62" s="326"/>
      <c r="DV62" s="326"/>
      <c r="DW62" s="326"/>
      <c r="DX62" s="326"/>
      <c r="DY62" s="326"/>
      <c r="DZ62" s="326"/>
      <c r="EA62" s="326"/>
      <c r="EB62" s="326"/>
      <c r="EC62" s="326"/>
      <c r="ED62" s="326"/>
      <c r="EE62" s="326"/>
      <c r="EF62" s="326"/>
      <c r="EG62" s="326"/>
      <c r="EH62" s="326"/>
      <c r="EI62" s="326"/>
      <c r="EJ62" s="326"/>
      <c r="EK62" s="326"/>
      <c r="EL62" s="326"/>
      <c r="EM62" s="326"/>
      <c r="EN62" s="326"/>
      <c r="EO62" s="326"/>
      <c r="EP62" s="326"/>
      <c r="EQ62" s="326"/>
      <c r="ER62" s="326"/>
      <c r="ES62" s="326"/>
      <c r="ET62" s="326"/>
      <c r="EU62" s="326"/>
      <c r="EV62" s="326"/>
      <c r="EW62" s="326"/>
      <c r="EX62" s="326"/>
      <c r="EY62" s="326"/>
      <c r="EZ62" s="326"/>
      <c r="FA62" s="326"/>
      <c r="FB62" s="326"/>
      <c r="FC62" s="326"/>
      <c r="FD62" s="326"/>
      <c r="FE62" s="326"/>
      <c r="FF62" s="326"/>
      <c r="FG62" s="326"/>
      <c r="FH62" s="326"/>
      <c r="FI62" s="326"/>
      <c r="FJ62" s="326"/>
      <c r="FK62" s="326"/>
      <c r="FL62" s="326"/>
      <c r="FM62" s="326"/>
      <c r="FN62" s="326"/>
      <c r="FO62" s="326"/>
      <c r="FP62" s="326"/>
      <c r="FQ62" s="326"/>
      <c r="FR62" s="326"/>
      <c r="FS62" s="326"/>
      <c r="FT62" s="326"/>
      <c r="FU62" s="326"/>
      <c r="FV62" s="326"/>
      <c r="FW62" s="326"/>
      <c r="FX62" s="326"/>
      <c r="FY62" s="326"/>
      <c r="FZ62" s="326"/>
      <c r="GA62" s="326"/>
      <c r="GB62" s="326"/>
      <c r="GC62" s="326"/>
      <c r="GD62" s="326"/>
      <c r="GE62" s="326"/>
      <c r="GF62" s="326"/>
      <c r="GG62" s="326"/>
      <c r="GH62" s="326"/>
      <c r="GI62" s="326"/>
      <c r="GJ62" s="326"/>
      <c r="GK62" s="326"/>
      <c r="GL62" s="326"/>
      <c r="GM62" s="326"/>
      <c r="GN62" s="326"/>
      <c r="GO62" s="326"/>
      <c r="GP62" s="326"/>
      <c r="GQ62" s="326"/>
      <c r="GR62" s="326"/>
      <c r="GS62" s="326"/>
      <c r="GT62" s="326"/>
      <c r="GU62" s="326"/>
      <c r="GV62" s="326"/>
      <c r="GW62" s="326"/>
      <c r="GX62" s="326"/>
      <c r="GY62" s="326"/>
      <c r="GZ62" s="326"/>
      <c r="HA62" s="326"/>
      <c r="HB62" s="326"/>
      <c r="HC62" s="326"/>
      <c r="HD62" s="326"/>
      <c r="HE62" s="326"/>
      <c r="HF62" s="326"/>
      <c r="HG62" s="326"/>
      <c r="HH62" s="326"/>
      <c r="HI62" s="326"/>
      <c r="HJ62" s="326"/>
      <c r="HK62" s="326"/>
      <c r="HL62" s="326"/>
      <c r="HM62" s="326"/>
      <c r="HN62" s="326"/>
      <c r="HO62" s="326"/>
      <c r="HP62" s="326"/>
      <c r="HQ62" s="326"/>
      <c r="HR62" s="326"/>
      <c r="HS62" s="326"/>
      <c r="HT62" s="326"/>
      <c r="HU62" s="326"/>
      <c r="HV62" s="326"/>
      <c r="HW62" s="326"/>
      <c r="HX62" s="326"/>
      <c r="HY62" s="326"/>
      <c r="HZ62" s="326"/>
      <c r="IA62" s="326"/>
      <c r="IB62" s="326"/>
      <c r="IC62" s="326"/>
      <c r="ID62" s="326"/>
      <c r="IE62" s="326"/>
      <c r="IF62" s="326"/>
      <c r="IG62" s="326"/>
      <c r="IH62" s="326"/>
      <c r="II62" s="326"/>
      <c r="IJ62" s="326"/>
      <c r="IK62" s="326"/>
      <c r="IL62" s="326"/>
      <c r="IM62" s="326"/>
      <c r="IN62" s="326"/>
      <c r="IO62" s="326"/>
      <c r="IP62" s="326"/>
      <c r="IQ62" s="326"/>
      <c r="IR62" s="326"/>
      <c r="IS62" s="326"/>
      <c r="IT62" s="326"/>
      <c r="IU62" s="326"/>
      <c r="IV62" s="326"/>
    </row>
    <row r="63" spans="1:256" s="560" customFormat="1" ht="18" customHeight="1">
      <c r="A63" s="574">
        <v>54</v>
      </c>
      <c r="B63" s="568"/>
      <c r="C63" s="327"/>
      <c r="D63" s="483" t="s">
        <v>938</v>
      </c>
      <c r="E63" s="335"/>
      <c r="F63" s="564"/>
      <c r="G63" s="336"/>
      <c r="H63" s="773"/>
      <c r="I63" s="788"/>
      <c r="J63" s="784"/>
      <c r="K63" s="784"/>
      <c r="L63" s="784"/>
      <c r="M63" s="561">
        <v>217000</v>
      </c>
      <c r="N63" s="784"/>
      <c r="O63" s="569">
        <f>SUM(I63:N63)</f>
        <v>217000</v>
      </c>
      <c r="P63" s="565"/>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6"/>
      <c r="CK63" s="326"/>
      <c r="CL63" s="326"/>
      <c r="CM63" s="326"/>
      <c r="CN63" s="326"/>
      <c r="CO63" s="326"/>
      <c r="CP63" s="326"/>
      <c r="CQ63" s="326"/>
      <c r="CR63" s="326"/>
      <c r="CS63" s="326"/>
      <c r="CT63" s="326"/>
      <c r="CU63" s="326"/>
      <c r="CV63" s="326"/>
      <c r="CW63" s="326"/>
      <c r="CX63" s="326"/>
      <c r="CY63" s="326"/>
      <c r="CZ63" s="326"/>
      <c r="DA63" s="326"/>
      <c r="DB63" s="326"/>
      <c r="DC63" s="326"/>
      <c r="DD63" s="326"/>
      <c r="DE63" s="326"/>
      <c r="DF63" s="326"/>
      <c r="DG63" s="326"/>
      <c r="DH63" s="326"/>
      <c r="DI63" s="326"/>
      <c r="DJ63" s="326"/>
      <c r="DK63" s="326"/>
      <c r="DL63" s="326"/>
      <c r="DM63" s="326"/>
      <c r="DN63" s="326"/>
      <c r="DO63" s="326"/>
      <c r="DP63" s="326"/>
      <c r="DQ63" s="326"/>
      <c r="DR63" s="326"/>
      <c r="DS63" s="326"/>
      <c r="DT63" s="326"/>
      <c r="DU63" s="326"/>
      <c r="DV63" s="326"/>
      <c r="DW63" s="326"/>
      <c r="DX63" s="326"/>
      <c r="DY63" s="326"/>
      <c r="DZ63" s="326"/>
      <c r="EA63" s="326"/>
      <c r="EB63" s="326"/>
      <c r="EC63" s="326"/>
      <c r="ED63" s="326"/>
      <c r="EE63" s="326"/>
      <c r="EF63" s="326"/>
      <c r="EG63" s="326"/>
      <c r="EH63" s="326"/>
      <c r="EI63" s="326"/>
      <c r="EJ63" s="326"/>
      <c r="EK63" s="326"/>
      <c r="EL63" s="326"/>
      <c r="EM63" s="326"/>
      <c r="EN63" s="326"/>
      <c r="EO63" s="326"/>
      <c r="EP63" s="326"/>
      <c r="EQ63" s="326"/>
      <c r="ER63" s="326"/>
      <c r="ES63" s="326"/>
      <c r="ET63" s="326"/>
      <c r="EU63" s="326"/>
      <c r="EV63" s="326"/>
      <c r="EW63" s="326"/>
      <c r="EX63" s="326"/>
      <c r="EY63" s="326"/>
      <c r="EZ63" s="326"/>
      <c r="FA63" s="326"/>
      <c r="FB63" s="326"/>
      <c r="FC63" s="326"/>
      <c r="FD63" s="326"/>
      <c r="FE63" s="326"/>
      <c r="FF63" s="326"/>
      <c r="FG63" s="326"/>
      <c r="FH63" s="326"/>
      <c r="FI63" s="326"/>
      <c r="FJ63" s="326"/>
      <c r="FK63" s="326"/>
      <c r="FL63" s="326"/>
      <c r="FM63" s="326"/>
      <c r="FN63" s="326"/>
      <c r="FO63" s="326"/>
      <c r="FP63" s="326"/>
      <c r="FQ63" s="326"/>
      <c r="FR63" s="326"/>
      <c r="FS63" s="326"/>
      <c r="FT63" s="326"/>
      <c r="FU63" s="326"/>
      <c r="FV63" s="326"/>
      <c r="FW63" s="326"/>
      <c r="FX63" s="326"/>
      <c r="FY63" s="326"/>
      <c r="FZ63" s="326"/>
      <c r="GA63" s="326"/>
      <c r="GB63" s="326"/>
      <c r="GC63" s="326"/>
      <c r="GD63" s="326"/>
      <c r="GE63" s="326"/>
      <c r="GF63" s="326"/>
      <c r="GG63" s="326"/>
      <c r="GH63" s="326"/>
      <c r="GI63" s="326"/>
      <c r="GJ63" s="326"/>
      <c r="GK63" s="326"/>
      <c r="GL63" s="326"/>
      <c r="GM63" s="326"/>
      <c r="GN63" s="326"/>
      <c r="GO63" s="326"/>
      <c r="GP63" s="326"/>
      <c r="GQ63" s="326"/>
      <c r="GR63" s="326"/>
      <c r="GS63" s="326"/>
      <c r="GT63" s="326"/>
      <c r="GU63" s="326"/>
      <c r="GV63" s="326"/>
      <c r="GW63" s="326"/>
      <c r="GX63" s="326"/>
      <c r="GY63" s="326"/>
      <c r="GZ63" s="326"/>
      <c r="HA63" s="326"/>
      <c r="HB63" s="326"/>
      <c r="HC63" s="326"/>
      <c r="HD63" s="326"/>
      <c r="HE63" s="326"/>
      <c r="HF63" s="326"/>
      <c r="HG63" s="326"/>
      <c r="HH63" s="326"/>
      <c r="HI63" s="326"/>
      <c r="HJ63" s="326"/>
      <c r="HK63" s="326"/>
      <c r="HL63" s="326"/>
      <c r="HM63" s="326"/>
      <c r="HN63" s="326"/>
      <c r="HO63" s="326"/>
      <c r="HP63" s="326"/>
      <c r="HQ63" s="326"/>
      <c r="HR63" s="326"/>
      <c r="HS63" s="326"/>
      <c r="HT63" s="326"/>
      <c r="HU63" s="326"/>
      <c r="HV63" s="326"/>
      <c r="HW63" s="326"/>
      <c r="HX63" s="326"/>
      <c r="HY63" s="326"/>
      <c r="HZ63" s="326"/>
      <c r="IA63" s="326"/>
      <c r="IB63" s="326"/>
      <c r="IC63" s="326"/>
      <c r="ID63" s="326"/>
      <c r="IE63" s="326"/>
      <c r="IF63" s="326"/>
      <c r="IG63" s="326"/>
      <c r="IH63" s="326"/>
      <c r="II63" s="326"/>
      <c r="IJ63" s="326"/>
      <c r="IK63" s="326"/>
      <c r="IL63" s="326"/>
      <c r="IM63" s="326"/>
      <c r="IN63" s="326"/>
      <c r="IO63" s="326"/>
      <c r="IP63" s="326"/>
      <c r="IQ63" s="326"/>
      <c r="IR63" s="326"/>
      <c r="IS63" s="326"/>
      <c r="IT63" s="326"/>
      <c r="IU63" s="326"/>
      <c r="IV63" s="326"/>
    </row>
    <row r="64" spans="1:256" s="560" customFormat="1" ht="18" customHeight="1">
      <c r="A64" s="574">
        <v>55</v>
      </c>
      <c r="B64" s="568"/>
      <c r="C64" s="327"/>
      <c r="D64" s="1146" t="s">
        <v>961</v>
      </c>
      <c r="E64" s="335"/>
      <c r="F64" s="564"/>
      <c r="G64" s="336"/>
      <c r="H64" s="773"/>
      <c r="I64" s="788"/>
      <c r="J64" s="784"/>
      <c r="K64" s="1306">
        <v>41688</v>
      </c>
      <c r="L64" s="784"/>
      <c r="M64" s="1306">
        <v>1914298</v>
      </c>
      <c r="N64" s="784"/>
      <c r="O64" s="1327">
        <f>SUM(I64:N64)</f>
        <v>1955986</v>
      </c>
      <c r="P64" s="565"/>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26"/>
      <c r="EJ64" s="326"/>
      <c r="EK64" s="326"/>
      <c r="EL64" s="326"/>
      <c r="EM64" s="326"/>
      <c r="EN64" s="326"/>
      <c r="EO64" s="326"/>
      <c r="EP64" s="326"/>
      <c r="EQ64" s="326"/>
      <c r="ER64" s="326"/>
      <c r="ES64" s="326"/>
      <c r="ET64" s="326"/>
      <c r="EU64" s="326"/>
      <c r="EV64" s="326"/>
      <c r="EW64" s="326"/>
      <c r="EX64" s="326"/>
      <c r="EY64" s="326"/>
      <c r="EZ64" s="326"/>
      <c r="FA64" s="326"/>
      <c r="FB64" s="326"/>
      <c r="FC64" s="326"/>
      <c r="FD64" s="326"/>
      <c r="FE64" s="326"/>
      <c r="FF64" s="326"/>
      <c r="FG64" s="326"/>
      <c r="FH64" s="326"/>
      <c r="FI64" s="326"/>
      <c r="FJ64" s="326"/>
      <c r="FK64" s="326"/>
      <c r="FL64" s="326"/>
      <c r="FM64" s="326"/>
      <c r="FN64" s="326"/>
      <c r="FO64" s="326"/>
      <c r="FP64" s="326"/>
      <c r="FQ64" s="326"/>
      <c r="FR64" s="326"/>
      <c r="FS64" s="326"/>
      <c r="FT64" s="326"/>
      <c r="FU64" s="326"/>
      <c r="FV64" s="326"/>
      <c r="FW64" s="326"/>
      <c r="FX64" s="326"/>
      <c r="FY64" s="326"/>
      <c r="FZ64" s="326"/>
      <c r="GA64" s="326"/>
      <c r="GB64" s="326"/>
      <c r="GC64" s="326"/>
      <c r="GD64" s="326"/>
      <c r="GE64" s="326"/>
      <c r="GF64" s="326"/>
      <c r="GG64" s="326"/>
      <c r="GH64" s="326"/>
      <c r="GI64" s="326"/>
      <c r="GJ64" s="326"/>
      <c r="GK64" s="326"/>
      <c r="GL64" s="326"/>
      <c r="GM64" s="326"/>
      <c r="GN64" s="326"/>
      <c r="GO64" s="326"/>
      <c r="GP64" s="326"/>
      <c r="GQ64" s="326"/>
      <c r="GR64" s="326"/>
      <c r="GS64" s="326"/>
      <c r="GT64" s="326"/>
      <c r="GU64" s="326"/>
      <c r="GV64" s="326"/>
      <c r="GW64" s="326"/>
      <c r="GX64" s="326"/>
      <c r="GY64" s="326"/>
      <c r="GZ64" s="326"/>
      <c r="HA64" s="326"/>
      <c r="HB64" s="326"/>
      <c r="HC64" s="326"/>
      <c r="HD64" s="326"/>
      <c r="HE64" s="326"/>
      <c r="HF64" s="326"/>
      <c r="HG64" s="326"/>
      <c r="HH64" s="326"/>
      <c r="HI64" s="326"/>
      <c r="HJ64" s="326"/>
      <c r="HK64" s="326"/>
      <c r="HL64" s="326"/>
      <c r="HM64" s="326"/>
      <c r="HN64" s="326"/>
      <c r="HO64" s="326"/>
      <c r="HP64" s="326"/>
      <c r="HQ64" s="326"/>
      <c r="HR64" s="326"/>
      <c r="HS64" s="326"/>
      <c r="HT64" s="326"/>
      <c r="HU64" s="326"/>
      <c r="HV64" s="326"/>
      <c r="HW64" s="326"/>
      <c r="HX64" s="326"/>
      <c r="HY64" s="326"/>
      <c r="HZ64" s="326"/>
      <c r="IA64" s="326"/>
      <c r="IB64" s="326"/>
      <c r="IC64" s="326"/>
      <c r="ID64" s="326"/>
      <c r="IE64" s="326"/>
      <c r="IF64" s="326"/>
      <c r="IG64" s="326"/>
      <c r="IH64" s="326"/>
      <c r="II64" s="326"/>
      <c r="IJ64" s="326"/>
      <c r="IK64" s="326"/>
      <c r="IL64" s="326"/>
      <c r="IM64" s="326"/>
      <c r="IN64" s="326"/>
      <c r="IO64" s="326"/>
      <c r="IP64" s="326"/>
      <c r="IQ64" s="326"/>
      <c r="IR64" s="326"/>
      <c r="IS64" s="326"/>
      <c r="IT64" s="326"/>
      <c r="IU64" s="326"/>
      <c r="IV64" s="326"/>
    </row>
    <row r="65" spans="1:256" s="560" customFormat="1" ht="18" customHeight="1">
      <c r="A65" s="574">
        <v>56</v>
      </c>
      <c r="B65" s="568"/>
      <c r="C65" s="327"/>
      <c r="D65" s="483" t="s">
        <v>1091</v>
      </c>
      <c r="E65" s="335"/>
      <c r="F65" s="564"/>
      <c r="G65" s="336"/>
      <c r="H65" s="773"/>
      <c r="I65" s="788"/>
      <c r="J65" s="784"/>
      <c r="K65" s="561">
        <f>SUM(K64)</f>
        <v>41688</v>
      </c>
      <c r="L65" s="784"/>
      <c r="M65" s="561">
        <f>SUM(M63:M64)</f>
        <v>2131298</v>
      </c>
      <c r="N65" s="784"/>
      <c r="O65" s="569">
        <f>SUM(I65:N65)</f>
        <v>2172986</v>
      </c>
      <c r="P65" s="565"/>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6"/>
      <c r="CK65" s="326"/>
      <c r="CL65" s="326"/>
      <c r="CM65" s="326"/>
      <c r="CN65" s="326"/>
      <c r="CO65" s="326"/>
      <c r="CP65" s="326"/>
      <c r="CQ65" s="326"/>
      <c r="CR65" s="326"/>
      <c r="CS65" s="326"/>
      <c r="CT65" s="326"/>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326"/>
      <c r="DW65" s="326"/>
      <c r="DX65" s="326"/>
      <c r="DY65" s="326"/>
      <c r="DZ65" s="326"/>
      <c r="EA65" s="326"/>
      <c r="EB65" s="326"/>
      <c r="EC65" s="326"/>
      <c r="ED65" s="326"/>
      <c r="EE65" s="326"/>
      <c r="EF65" s="326"/>
      <c r="EG65" s="326"/>
      <c r="EH65" s="326"/>
      <c r="EI65" s="326"/>
      <c r="EJ65" s="326"/>
      <c r="EK65" s="326"/>
      <c r="EL65" s="326"/>
      <c r="EM65" s="326"/>
      <c r="EN65" s="326"/>
      <c r="EO65" s="326"/>
      <c r="EP65" s="326"/>
      <c r="EQ65" s="326"/>
      <c r="ER65" s="326"/>
      <c r="ES65" s="326"/>
      <c r="ET65" s="326"/>
      <c r="EU65" s="326"/>
      <c r="EV65" s="326"/>
      <c r="EW65" s="326"/>
      <c r="EX65" s="326"/>
      <c r="EY65" s="326"/>
      <c r="EZ65" s="326"/>
      <c r="FA65" s="326"/>
      <c r="FB65" s="326"/>
      <c r="FC65" s="326"/>
      <c r="FD65" s="326"/>
      <c r="FE65" s="326"/>
      <c r="FF65" s="326"/>
      <c r="FG65" s="326"/>
      <c r="FH65" s="326"/>
      <c r="FI65" s="326"/>
      <c r="FJ65" s="326"/>
      <c r="FK65" s="326"/>
      <c r="FL65" s="326"/>
      <c r="FM65" s="326"/>
      <c r="FN65" s="326"/>
      <c r="FO65" s="326"/>
      <c r="FP65" s="326"/>
      <c r="FQ65" s="326"/>
      <c r="FR65" s="326"/>
      <c r="FS65" s="326"/>
      <c r="FT65" s="326"/>
      <c r="FU65" s="326"/>
      <c r="FV65" s="326"/>
      <c r="FW65" s="326"/>
      <c r="FX65" s="326"/>
      <c r="FY65" s="326"/>
      <c r="FZ65" s="326"/>
      <c r="GA65" s="326"/>
      <c r="GB65" s="326"/>
      <c r="GC65" s="326"/>
      <c r="GD65" s="326"/>
      <c r="GE65" s="326"/>
      <c r="GF65" s="326"/>
      <c r="GG65" s="326"/>
      <c r="GH65" s="326"/>
      <c r="GI65" s="326"/>
      <c r="GJ65" s="326"/>
      <c r="GK65" s="326"/>
      <c r="GL65" s="326"/>
      <c r="GM65" s="326"/>
      <c r="GN65" s="326"/>
      <c r="GO65" s="326"/>
      <c r="GP65" s="326"/>
      <c r="GQ65" s="326"/>
      <c r="GR65" s="326"/>
      <c r="GS65" s="326"/>
      <c r="GT65" s="326"/>
      <c r="GU65" s="326"/>
      <c r="GV65" s="326"/>
      <c r="GW65" s="326"/>
      <c r="GX65" s="326"/>
      <c r="GY65" s="326"/>
      <c r="GZ65" s="326"/>
      <c r="HA65" s="326"/>
      <c r="HB65" s="326"/>
      <c r="HC65" s="326"/>
      <c r="HD65" s="326"/>
      <c r="HE65" s="326"/>
      <c r="HF65" s="326"/>
      <c r="HG65" s="326"/>
      <c r="HH65" s="326"/>
      <c r="HI65" s="326"/>
      <c r="HJ65" s="326"/>
      <c r="HK65" s="326"/>
      <c r="HL65" s="326"/>
      <c r="HM65" s="326"/>
      <c r="HN65" s="326"/>
      <c r="HO65" s="326"/>
      <c r="HP65" s="326"/>
      <c r="HQ65" s="326"/>
      <c r="HR65" s="326"/>
      <c r="HS65" s="326"/>
      <c r="HT65" s="326"/>
      <c r="HU65" s="326"/>
      <c r="HV65" s="326"/>
      <c r="HW65" s="326"/>
      <c r="HX65" s="326"/>
      <c r="HY65" s="326"/>
      <c r="HZ65" s="326"/>
      <c r="IA65" s="326"/>
      <c r="IB65" s="326"/>
      <c r="IC65" s="326"/>
      <c r="ID65" s="326"/>
      <c r="IE65" s="326"/>
      <c r="IF65" s="326"/>
      <c r="IG65" s="326"/>
      <c r="IH65" s="326"/>
      <c r="II65" s="326"/>
      <c r="IJ65" s="326"/>
      <c r="IK65" s="326"/>
      <c r="IL65" s="326"/>
      <c r="IM65" s="326"/>
      <c r="IN65" s="326"/>
      <c r="IO65" s="326"/>
      <c r="IP65" s="326"/>
      <c r="IQ65" s="326"/>
      <c r="IR65" s="326"/>
      <c r="IS65" s="326"/>
      <c r="IT65" s="326"/>
      <c r="IU65" s="326"/>
      <c r="IV65" s="326"/>
    </row>
    <row r="66" spans="1:256" s="560" customFormat="1" ht="22.5" customHeight="1">
      <c r="A66" s="574">
        <v>57</v>
      </c>
      <c r="B66" s="568"/>
      <c r="C66" s="366">
        <v>12</v>
      </c>
      <c r="D66" s="931" t="s">
        <v>599</v>
      </c>
      <c r="E66" s="335"/>
      <c r="F66" s="564"/>
      <c r="G66" s="336"/>
      <c r="H66" s="773" t="s">
        <v>23</v>
      </c>
      <c r="I66" s="788"/>
      <c r="J66" s="784"/>
      <c r="K66" s="784"/>
      <c r="L66" s="784"/>
      <c r="M66" s="784"/>
      <c r="N66" s="784"/>
      <c r="O66" s="758"/>
      <c r="P66" s="565"/>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c r="BT66" s="326"/>
      <c r="BU66" s="326"/>
      <c r="BV66" s="326"/>
      <c r="BW66" s="326"/>
      <c r="BX66" s="326"/>
      <c r="BY66" s="326"/>
      <c r="BZ66" s="326"/>
      <c r="CA66" s="326"/>
      <c r="CB66" s="326"/>
      <c r="CC66" s="326"/>
      <c r="CD66" s="326"/>
      <c r="CE66" s="326"/>
      <c r="CF66" s="326"/>
      <c r="CG66" s="326"/>
      <c r="CH66" s="326"/>
      <c r="CI66" s="326"/>
      <c r="CJ66" s="326"/>
      <c r="CK66" s="326"/>
      <c r="CL66" s="326"/>
      <c r="CM66" s="326"/>
      <c r="CN66" s="326"/>
      <c r="CO66" s="326"/>
      <c r="CP66" s="326"/>
      <c r="CQ66" s="326"/>
      <c r="CR66" s="326"/>
      <c r="CS66" s="326"/>
      <c r="CT66" s="326"/>
      <c r="CU66" s="326"/>
      <c r="CV66" s="326"/>
      <c r="CW66" s="326"/>
      <c r="CX66" s="326"/>
      <c r="CY66" s="326"/>
      <c r="CZ66" s="326"/>
      <c r="DA66" s="326"/>
      <c r="DB66" s="326"/>
      <c r="DC66" s="326"/>
      <c r="DD66" s="326"/>
      <c r="DE66" s="326"/>
      <c r="DF66" s="326"/>
      <c r="DG66" s="326"/>
      <c r="DH66" s="326"/>
      <c r="DI66" s="326"/>
      <c r="DJ66" s="326"/>
      <c r="DK66" s="326"/>
      <c r="DL66" s="326"/>
      <c r="DM66" s="326"/>
      <c r="DN66" s="326"/>
      <c r="DO66" s="326"/>
      <c r="DP66" s="326"/>
      <c r="DQ66" s="326"/>
      <c r="DR66" s="326"/>
      <c r="DS66" s="326"/>
      <c r="DT66" s="326"/>
      <c r="DU66" s="326"/>
      <c r="DV66" s="326"/>
      <c r="DW66" s="326"/>
      <c r="DX66" s="326"/>
      <c r="DY66" s="326"/>
      <c r="DZ66" s="326"/>
      <c r="EA66" s="326"/>
      <c r="EB66" s="326"/>
      <c r="EC66" s="326"/>
      <c r="ED66" s="326"/>
      <c r="EE66" s="326"/>
      <c r="EF66" s="326"/>
      <c r="EG66" s="326"/>
      <c r="EH66" s="326"/>
      <c r="EI66" s="326"/>
      <c r="EJ66" s="326"/>
      <c r="EK66" s="326"/>
      <c r="EL66" s="326"/>
      <c r="EM66" s="326"/>
      <c r="EN66" s="326"/>
      <c r="EO66" s="326"/>
      <c r="EP66" s="326"/>
      <c r="EQ66" s="326"/>
      <c r="ER66" s="326"/>
      <c r="ES66" s="326"/>
      <c r="ET66" s="326"/>
      <c r="EU66" s="326"/>
      <c r="EV66" s="326"/>
      <c r="EW66" s="326"/>
      <c r="EX66" s="326"/>
      <c r="EY66" s="326"/>
      <c r="EZ66" s="326"/>
      <c r="FA66" s="326"/>
      <c r="FB66" s="326"/>
      <c r="FC66" s="326"/>
      <c r="FD66" s="326"/>
      <c r="FE66" s="326"/>
      <c r="FF66" s="326"/>
      <c r="FG66" s="326"/>
      <c r="FH66" s="326"/>
      <c r="FI66" s="326"/>
      <c r="FJ66" s="326"/>
      <c r="FK66" s="326"/>
      <c r="FL66" s="326"/>
      <c r="FM66" s="326"/>
      <c r="FN66" s="326"/>
      <c r="FO66" s="326"/>
      <c r="FP66" s="326"/>
      <c r="FQ66" s="326"/>
      <c r="FR66" s="326"/>
      <c r="FS66" s="326"/>
      <c r="FT66" s="326"/>
      <c r="FU66" s="326"/>
      <c r="FV66" s="326"/>
      <c r="FW66" s="326"/>
      <c r="FX66" s="326"/>
      <c r="FY66" s="326"/>
      <c r="FZ66" s="326"/>
      <c r="GA66" s="326"/>
      <c r="GB66" s="326"/>
      <c r="GC66" s="326"/>
      <c r="GD66" s="326"/>
      <c r="GE66" s="326"/>
      <c r="GF66" s="326"/>
      <c r="GG66" s="326"/>
      <c r="GH66" s="326"/>
      <c r="GI66" s="326"/>
      <c r="GJ66" s="326"/>
      <c r="GK66" s="326"/>
      <c r="GL66" s="326"/>
      <c r="GM66" s="326"/>
      <c r="GN66" s="326"/>
      <c r="GO66" s="326"/>
      <c r="GP66" s="326"/>
      <c r="GQ66" s="326"/>
      <c r="GR66" s="326"/>
      <c r="GS66" s="326"/>
      <c r="GT66" s="326"/>
      <c r="GU66" s="326"/>
      <c r="GV66" s="326"/>
      <c r="GW66" s="326"/>
      <c r="GX66" s="326"/>
      <c r="GY66" s="326"/>
      <c r="GZ66" s="326"/>
      <c r="HA66" s="326"/>
      <c r="HB66" s="326"/>
      <c r="HC66" s="326"/>
      <c r="HD66" s="326"/>
      <c r="HE66" s="326"/>
      <c r="HF66" s="326"/>
      <c r="HG66" s="326"/>
      <c r="HH66" s="326"/>
      <c r="HI66" s="326"/>
      <c r="HJ66" s="326"/>
      <c r="HK66" s="326"/>
      <c r="HL66" s="326"/>
      <c r="HM66" s="326"/>
      <c r="HN66" s="326"/>
      <c r="HO66" s="326"/>
      <c r="HP66" s="326"/>
      <c r="HQ66" s="326"/>
      <c r="HR66" s="326"/>
      <c r="HS66" s="326"/>
      <c r="HT66" s="326"/>
      <c r="HU66" s="326"/>
      <c r="HV66" s="326"/>
      <c r="HW66" s="326"/>
      <c r="HX66" s="326"/>
      <c r="HY66" s="326"/>
      <c r="HZ66" s="326"/>
      <c r="IA66" s="326"/>
      <c r="IB66" s="326"/>
      <c r="IC66" s="326"/>
      <c r="ID66" s="326"/>
      <c r="IE66" s="326"/>
      <c r="IF66" s="326"/>
      <c r="IG66" s="326"/>
      <c r="IH66" s="326"/>
      <c r="II66" s="326"/>
      <c r="IJ66" s="326"/>
      <c r="IK66" s="326"/>
      <c r="IL66" s="326"/>
      <c r="IM66" s="326"/>
      <c r="IN66" s="326"/>
      <c r="IO66" s="326"/>
      <c r="IP66" s="326"/>
      <c r="IQ66" s="326"/>
      <c r="IR66" s="326"/>
      <c r="IS66" s="326"/>
      <c r="IT66" s="326"/>
      <c r="IU66" s="326"/>
      <c r="IV66" s="326"/>
    </row>
    <row r="67" spans="1:256" s="560" customFormat="1" ht="18" customHeight="1">
      <c r="A67" s="574">
        <v>58</v>
      </c>
      <c r="B67" s="568"/>
      <c r="C67" s="327"/>
      <c r="D67" s="1324" t="s">
        <v>283</v>
      </c>
      <c r="E67" s="335">
        <f>F67+G67+O70+P67</f>
        <v>10</v>
      </c>
      <c r="F67" s="564"/>
      <c r="G67" s="336"/>
      <c r="H67" s="773"/>
      <c r="I67" s="788"/>
      <c r="J67" s="784"/>
      <c r="K67" s="784"/>
      <c r="L67" s="784"/>
      <c r="M67" s="784">
        <v>10</v>
      </c>
      <c r="N67" s="784"/>
      <c r="O67" s="758">
        <f>SUM(I67:N67)</f>
        <v>10</v>
      </c>
      <c r="P67" s="565"/>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6"/>
      <c r="BZ67" s="326"/>
      <c r="CA67" s="326"/>
      <c r="CB67" s="326"/>
      <c r="CC67" s="326"/>
      <c r="CD67" s="326"/>
      <c r="CE67" s="326"/>
      <c r="CF67" s="326"/>
      <c r="CG67" s="326"/>
      <c r="CH67" s="326"/>
      <c r="CI67" s="326"/>
      <c r="CJ67" s="326"/>
      <c r="CK67" s="326"/>
      <c r="CL67" s="326"/>
      <c r="CM67" s="326"/>
      <c r="CN67" s="326"/>
      <c r="CO67" s="326"/>
      <c r="CP67" s="326"/>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326"/>
      <c r="DM67" s="326"/>
      <c r="DN67" s="326"/>
      <c r="DO67" s="326"/>
      <c r="DP67" s="326"/>
      <c r="DQ67" s="326"/>
      <c r="DR67" s="326"/>
      <c r="DS67" s="326"/>
      <c r="DT67" s="326"/>
      <c r="DU67" s="326"/>
      <c r="DV67" s="326"/>
      <c r="DW67" s="326"/>
      <c r="DX67" s="326"/>
      <c r="DY67" s="326"/>
      <c r="DZ67" s="326"/>
      <c r="EA67" s="326"/>
      <c r="EB67" s="326"/>
      <c r="EC67" s="326"/>
      <c r="ED67" s="326"/>
      <c r="EE67" s="326"/>
      <c r="EF67" s="326"/>
      <c r="EG67" s="326"/>
      <c r="EH67" s="326"/>
      <c r="EI67" s="326"/>
      <c r="EJ67" s="326"/>
      <c r="EK67" s="326"/>
      <c r="EL67" s="326"/>
      <c r="EM67" s="326"/>
      <c r="EN67" s="326"/>
      <c r="EO67" s="326"/>
      <c r="EP67" s="326"/>
      <c r="EQ67" s="326"/>
      <c r="ER67" s="326"/>
      <c r="ES67" s="326"/>
      <c r="ET67" s="326"/>
      <c r="EU67" s="326"/>
      <c r="EV67" s="326"/>
      <c r="EW67" s="326"/>
      <c r="EX67" s="326"/>
      <c r="EY67" s="326"/>
      <c r="EZ67" s="326"/>
      <c r="FA67" s="326"/>
      <c r="FB67" s="326"/>
      <c r="FC67" s="326"/>
      <c r="FD67" s="326"/>
      <c r="FE67" s="326"/>
      <c r="FF67" s="326"/>
      <c r="FG67" s="326"/>
      <c r="FH67" s="326"/>
      <c r="FI67" s="326"/>
      <c r="FJ67" s="326"/>
      <c r="FK67" s="326"/>
      <c r="FL67" s="326"/>
      <c r="FM67" s="326"/>
      <c r="FN67" s="326"/>
      <c r="FO67" s="326"/>
      <c r="FP67" s="326"/>
      <c r="FQ67" s="326"/>
      <c r="FR67" s="326"/>
      <c r="FS67" s="326"/>
      <c r="FT67" s="326"/>
      <c r="FU67" s="326"/>
      <c r="FV67" s="326"/>
      <c r="FW67" s="326"/>
      <c r="FX67" s="326"/>
      <c r="FY67" s="326"/>
      <c r="FZ67" s="326"/>
      <c r="GA67" s="326"/>
      <c r="GB67" s="326"/>
      <c r="GC67" s="326"/>
      <c r="GD67" s="326"/>
      <c r="GE67" s="326"/>
      <c r="GF67" s="326"/>
      <c r="GG67" s="326"/>
      <c r="GH67" s="326"/>
      <c r="GI67" s="326"/>
      <c r="GJ67" s="326"/>
      <c r="GK67" s="326"/>
      <c r="GL67" s="326"/>
      <c r="GM67" s="326"/>
      <c r="GN67" s="326"/>
      <c r="GO67" s="326"/>
      <c r="GP67" s="326"/>
      <c r="GQ67" s="326"/>
      <c r="GR67" s="326"/>
      <c r="GS67" s="326"/>
      <c r="GT67" s="326"/>
      <c r="GU67" s="326"/>
      <c r="GV67" s="326"/>
      <c r="GW67" s="326"/>
      <c r="GX67" s="326"/>
      <c r="GY67" s="326"/>
      <c r="GZ67" s="326"/>
      <c r="HA67" s="326"/>
      <c r="HB67" s="326"/>
      <c r="HC67" s="326"/>
      <c r="HD67" s="326"/>
      <c r="HE67" s="326"/>
      <c r="HF67" s="326"/>
      <c r="HG67" s="326"/>
      <c r="HH67" s="326"/>
      <c r="HI67" s="326"/>
      <c r="HJ67" s="326"/>
      <c r="HK67" s="326"/>
      <c r="HL67" s="326"/>
      <c r="HM67" s="326"/>
      <c r="HN67" s="326"/>
      <c r="HO67" s="326"/>
      <c r="HP67" s="326"/>
      <c r="HQ67" s="326"/>
      <c r="HR67" s="326"/>
      <c r="HS67" s="326"/>
      <c r="HT67" s="326"/>
      <c r="HU67" s="326"/>
      <c r="HV67" s="326"/>
      <c r="HW67" s="326"/>
      <c r="HX67" s="326"/>
      <c r="HY67" s="326"/>
      <c r="HZ67" s="326"/>
      <c r="IA67" s="326"/>
      <c r="IB67" s="326"/>
      <c r="IC67" s="326"/>
      <c r="ID67" s="326"/>
      <c r="IE67" s="326"/>
      <c r="IF67" s="326"/>
      <c r="IG67" s="326"/>
      <c r="IH67" s="326"/>
      <c r="II67" s="326"/>
      <c r="IJ67" s="326"/>
      <c r="IK67" s="326"/>
      <c r="IL67" s="326"/>
      <c r="IM67" s="326"/>
      <c r="IN67" s="326"/>
      <c r="IO67" s="326"/>
      <c r="IP67" s="326"/>
      <c r="IQ67" s="326"/>
      <c r="IR67" s="326"/>
      <c r="IS67" s="326"/>
      <c r="IT67" s="326"/>
      <c r="IU67" s="326"/>
      <c r="IV67" s="326"/>
    </row>
    <row r="68" spans="1:256" s="560" customFormat="1" ht="18" customHeight="1">
      <c r="A68" s="574">
        <v>59</v>
      </c>
      <c r="B68" s="568"/>
      <c r="C68" s="327"/>
      <c r="D68" s="483" t="s">
        <v>938</v>
      </c>
      <c r="E68" s="335"/>
      <c r="F68" s="564"/>
      <c r="G68" s="336"/>
      <c r="H68" s="773"/>
      <c r="I68" s="788"/>
      <c r="J68" s="784"/>
      <c r="K68" s="784"/>
      <c r="L68" s="784"/>
      <c r="M68" s="561">
        <v>10</v>
      </c>
      <c r="N68" s="561"/>
      <c r="O68" s="569">
        <f>SUM(I68:N68)</f>
        <v>10</v>
      </c>
      <c r="P68" s="565"/>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c r="CO68" s="326"/>
      <c r="CP68" s="326"/>
      <c r="CQ68" s="326"/>
      <c r="CR68" s="326"/>
      <c r="CS68" s="326"/>
      <c r="CT68" s="326"/>
      <c r="CU68" s="326"/>
      <c r="CV68" s="326"/>
      <c r="CW68" s="326"/>
      <c r="CX68" s="326"/>
      <c r="CY68" s="326"/>
      <c r="CZ68" s="326"/>
      <c r="DA68" s="326"/>
      <c r="DB68" s="326"/>
      <c r="DC68" s="326"/>
      <c r="DD68" s="326"/>
      <c r="DE68" s="326"/>
      <c r="DF68" s="326"/>
      <c r="DG68" s="326"/>
      <c r="DH68" s="326"/>
      <c r="DI68" s="326"/>
      <c r="DJ68" s="326"/>
      <c r="DK68" s="326"/>
      <c r="DL68" s="326"/>
      <c r="DM68" s="326"/>
      <c r="DN68" s="326"/>
      <c r="DO68" s="326"/>
      <c r="DP68" s="326"/>
      <c r="DQ68" s="326"/>
      <c r="DR68" s="326"/>
      <c r="DS68" s="326"/>
      <c r="DT68" s="326"/>
      <c r="DU68" s="326"/>
      <c r="DV68" s="326"/>
      <c r="DW68" s="326"/>
      <c r="DX68" s="326"/>
      <c r="DY68" s="326"/>
      <c r="DZ68" s="326"/>
      <c r="EA68" s="326"/>
      <c r="EB68" s="326"/>
      <c r="EC68" s="326"/>
      <c r="ED68" s="326"/>
      <c r="EE68" s="326"/>
      <c r="EF68" s="326"/>
      <c r="EG68" s="326"/>
      <c r="EH68" s="326"/>
      <c r="EI68" s="326"/>
      <c r="EJ68" s="326"/>
      <c r="EK68" s="326"/>
      <c r="EL68" s="326"/>
      <c r="EM68" s="326"/>
      <c r="EN68" s="326"/>
      <c r="EO68" s="326"/>
      <c r="EP68" s="326"/>
      <c r="EQ68" s="326"/>
      <c r="ER68" s="326"/>
      <c r="ES68" s="326"/>
      <c r="ET68" s="326"/>
      <c r="EU68" s="326"/>
      <c r="EV68" s="326"/>
      <c r="EW68" s="326"/>
      <c r="EX68" s="326"/>
      <c r="EY68" s="326"/>
      <c r="EZ68" s="326"/>
      <c r="FA68" s="326"/>
      <c r="FB68" s="326"/>
      <c r="FC68" s="326"/>
      <c r="FD68" s="326"/>
      <c r="FE68" s="326"/>
      <c r="FF68" s="326"/>
      <c r="FG68" s="326"/>
      <c r="FH68" s="326"/>
      <c r="FI68" s="326"/>
      <c r="FJ68" s="326"/>
      <c r="FK68" s="326"/>
      <c r="FL68" s="326"/>
      <c r="FM68" s="326"/>
      <c r="FN68" s="326"/>
      <c r="FO68" s="326"/>
      <c r="FP68" s="326"/>
      <c r="FQ68" s="326"/>
      <c r="FR68" s="326"/>
      <c r="FS68" s="326"/>
      <c r="FT68" s="326"/>
      <c r="FU68" s="326"/>
      <c r="FV68" s="326"/>
      <c r="FW68" s="326"/>
      <c r="FX68" s="326"/>
      <c r="FY68" s="326"/>
      <c r="FZ68" s="326"/>
      <c r="GA68" s="326"/>
      <c r="GB68" s="326"/>
      <c r="GC68" s="326"/>
      <c r="GD68" s="326"/>
      <c r="GE68" s="326"/>
      <c r="GF68" s="326"/>
      <c r="GG68" s="326"/>
      <c r="GH68" s="326"/>
      <c r="GI68" s="326"/>
      <c r="GJ68" s="326"/>
      <c r="GK68" s="326"/>
      <c r="GL68" s="326"/>
      <c r="GM68" s="326"/>
      <c r="GN68" s="326"/>
      <c r="GO68" s="326"/>
      <c r="GP68" s="326"/>
      <c r="GQ68" s="326"/>
      <c r="GR68" s="326"/>
      <c r="GS68" s="326"/>
      <c r="GT68" s="326"/>
      <c r="GU68" s="326"/>
      <c r="GV68" s="326"/>
      <c r="GW68" s="326"/>
      <c r="GX68" s="326"/>
      <c r="GY68" s="326"/>
      <c r="GZ68" s="326"/>
      <c r="HA68" s="326"/>
      <c r="HB68" s="326"/>
      <c r="HC68" s="326"/>
      <c r="HD68" s="326"/>
      <c r="HE68" s="326"/>
      <c r="HF68" s="326"/>
      <c r="HG68" s="326"/>
      <c r="HH68" s="326"/>
      <c r="HI68" s="326"/>
      <c r="HJ68" s="326"/>
      <c r="HK68" s="326"/>
      <c r="HL68" s="326"/>
      <c r="HM68" s="326"/>
      <c r="HN68" s="326"/>
      <c r="HO68" s="326"/>
      <c r="HP68" s="326"/>
      <c r="HQ68" s="326"/>
      <c r="HR68" s="326"/>
      <c r="HS68" s="326"/>
      <c r="HT68" s="326"/>
      <c r="HU68" s="326"/>
      <c r="HV68" s="326"/>
      <c r="HW68" s="326"/>
      <c r="HX68" s="326"/>
      <c r="HY68" s="326"/>
      <c r="HZ68" s="326"/>
      <c r="IA68" s="326"/>
      <c r="IB68" s="326"/>
      <c r="IC68" s="326"/>
      <c r="ID68" s="326"/>
      <c r="IE68" s="326"/>
      <c r="IF68" s="326"/>
      <c r="IG68" s="326"/>
      <c r="IH68" s="326"/>
      <c r="II68" s="326"/>
      <c r="IJ68" s="326"/>
      <c r="IK68" s="326"/>
      <c r="IL68" s="326"/>
      <c r="IM68" s="326"/>
      <c r="IN68" s="326"/>
      <c r="IO68" s="326"/>
      <c r="IP68" s="326"/>
      <c r="IQ68" s="326"/>
      <c r="IR68" s="326"/>
      <c r="IS68" s="326"/>
      <c r="IT68" s="326"/>
      <c r="IU68" s="326"/>
      <c r="IV68" s="326"/>
    </row>
    <row r="69" spans="1:256" s="560" customFormat="1" ht="18" customHeight="1">
      <c r="A69" s="574">
        <v>60</v>
      </c>
      <c r="B69" s="568"/>
      <c r="C69" s="327"/>
      <c r="D69" s="1146" t="s">
        <v>674</v>
      </c>
      <c r="E69" s="335"/>
      <c r="F69" s="564"/>
      <c r="G69" s="336"/>
      <c r="H69" s="773"/>
      <c r="I69" s="788"/>
      <c r="J69" s="784"/>
      <c r="K69" s="784"/>
      <c r="L69" s="784"/>
      <c r="M69" s="784"/>
      <c r="N69" s="784"/>
      <c r="O69" s="1327">
        <f>SUM(I69:N69)</f>
        <v>0</v>
      </c>
      <c r="P69" s="565"/>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c r="CH69" s="326"/>
      <c r="CI69" s="326"/>
      <c r="CJ69" s="326"/>
      <c r="CK69" s="326"/>
      <c r="CL69" s="326"/>
      <c r="CM69" s="326"/>
      <c r="CN69" s="326"/>
      <c r="CO69" s="326"/>
      <c r="CP69" s="326"/>
      <c r="CQ69" s="326"/>
      <c r="CR69" s="326"/>
      <c r="CS69" s="326"/>
      <c r="CT69" s="326"/>
      <c r="CU69" s="326"/>
      <c r="CV69" s="326"/>
      <c r="CW69" s="326"/>
      <c r="CX69" s="326"/>
      <c r="CY69" s="326"/>
      <c r="CZ69" s="326"/>
      <c r="DA69" s="326"/>
      <c r="DB69" s="326"/>
      <c r="DC69" s="326"/>
      <c r="DD69" s="326"/>
      <c r="DE69" s="326"/>
      <c r="DF69" s="326"/>
      <c r="DG69" s="326"/>
      <c r="DH69" s="326"/>
      <c r="DI69" s="326"/>
      <c r="DJ69" s="326"/>
      <c r="DK69" s="326"/>
      <c r="DL69" s="326"/>
      <c r="DM69" s="326"/>
      <c r="DN69" s="326"/>
      <c r="DO69" s="326"/>
      <c r="DP69" s="326"/>
      <c r="DQ69" s="326"/>
      <c r="DR69" s="326"/>
      <c r="DS69" s="326"/>
      <c r="DT69" s="326"/>
      <c r="DU69" s="326"/>
      <c r="DV69" s="326"/>
      <c r="DW69" s="326"/>
      <c r="DX69" s="326"/>
      <c r="DY69" s="326"/>
      <c r="DZ69" s="326"/>
      <c r="EA69" s="326"/>
      <c r="EB69" s="326"/>
      <c r="EC69" s="326"/>
      <c r="ED69" s="326"/>
      <c r="EE69" s="326"/>
      <c r="EF69" s="326"/>
      <c r="EG69" s="326"/>
      <c r="EH69" s="326"/>
      <c r="EI69" s="326"/>
      <c r="EJ69" s="326"/>
      <c r="EK69" s="326"/>
      <c r="EL69" s="326"/>
      <c r="EM69" s="326"/>
      <c r="EN69" s="326"/>
      <c r="EO69" s="326"/>
      <c r="EP69" s="326"/>
      <c r="EQ69" s="326"/>
      <c r="ER69" s="326"/>
      <c r="ES69" s="326"/>
      <c r="ET69" s="326"/>
      <c r="EU69" s="326"/>
      <c r="EV69" s="326"/>
      <c r="EW69" s="326"/>
      <c r="EX69" s="326"/>
      <c r="EY69" s="326"/>
      <c r="EZ69" s="326"/>
      <c r="FA69" s="326"/>
      <c r="FB69" s="326"/>
      <c r="FC69" s="326"/>
      <c r="FD69" s="326"/>
      <c r="FE69" s="326"/>
      <c r="FF69" s="326"/>
      <c r="FG69" s="326"/>
      <c r="FH69" s="326"/>
      <c r="FI69" s="326"/>
      <c r="FJ69" s="326"/>
      <c r="FK69" s="326"/>
      <c r="FL69" s="326"/>
      <c r="FM69" s="326"/>
      <c r="FN69" s="326"/>
      <c r="FO69" s="326"/>
      <c r="FP69" s="326"/>
      <c r="FQ69" s="326"/>
      <c r="FR69" s="326"/>
      <c r="FS69" s="326"/>
      <c r="FT69" s="326"/>
      <c r="FU69" s="326"/>
      <c r="FV69" s="326"/>
      <c r="FW69" s="326"/>
      <c r="FX69" s="326"/>
      <c r="FY69" s="326"/>
      <c r="FZ69" s="326"/>
      <c r="GA69" s="326"/>
      <c r="GB69" s="326"/>
      <c r="GC69" s="326"/>
      <c r="GD69" s="326"/>
      <c r="GE69" s="326"/>
      <c r="GF69" s="326"/>
      <c r="GG69" s="326"/>
      <c r="GH69" s="326"/>
      <c r="GI69" s="326"/>
      <c r="GJ69" s="326"/>
      <c r="GK69" s="326"/>
      <c r="GL69" s="326"/>
      <c r="GM69" s="326"/>
      <c r="GN69" s="326"/>
      <c r="GO69" s="326"/>
      <c r="GP69" s="326"/>
      <c r="GQ69" s="326"/>
      <c r="GR69" s="326"/>
      <c r="GS69" s="326"/>
      <c r="GT69" s="326"/>
      <c r="GU69" s="326"/>
      <c r="GV69" s="326"/>
      <c r="GW69" s="326"/>
      <c r="GX69" s="326"/>
      <c r="GY69" s="326"/>
      <c r="GZ69" s="326"/>
      <c r="HA69" s="326"/>
      <c r="HB69" s="326"/>
      <c r="HC69" s="326"/>
      <c r="HD69" s="326"/>
      <c r="HE69" s="326"/>
      <c r="HF69" s="326"/>
      <c r="HG69" s="326"/>
      <c r="HH69" s="326"/>
      <c r="HI69" s="326"/>
      <c r="HJ69" s="326"/>
      <c r="HK69" s="326"/>
      <c r="HL69" s="326"/>
      <c r="HM69" s="326"/>
      <c r="HN69" s="326"/>
      <c r="HO69" s="326"/>
      <c r="HP69" s="326"/>
      <c r="HQ69" s="326"/>
      <c r="HR69" s="326"/>
      <c r="HS69" s="326"/>
      <c r="HT69" s="326"/>
      <c r="HU69" s="326"/>
      <c r="HV69" s="326"/>
      <c r="HW69" s="326"/>
      <c r="HX69" s="326"/>
      <c r="HY69" s="326"/>
      <c r="HZ69" s="326"/>
      <c r="IA69" s="326"/>
      <c r="IB69" s="326"/>
      <c r="IC69" s="326"/>
      <c r="ID69" s="326"/>
      <c r="IE69" s="326"/>
      <c r="IF69" s="326"/>
      <c r="IG69" s="326"/>
      <c r="IH69" s="326"/>
      <c r="II69" s="326"/>
      <c r="IJ69" s="326"/>
      <c r="IK69" s="326"/>
      <c r="IL69" s="326"/>
      <c r="IM69" s="326"/>
      <c r="IN69" s="326"/>
      <c r="IO69" s="326"/>
      <c r="IP69" s="326"/>
      <c r="IQ69" s="326"/>
      <c r="IR69" s="326"/>
      <c r="IS69" s="326"/>
      <c r="IT69" s="326"/>
      <c r="IU69" s="326"/>
      <c r="IV69" s="326"/>
    </row>
    <row r="70" spans="1:256" s="560" customFormat="1" ht="18" customHeight="1">
      <c r="A70" s="574">
        <v>61</v>
      </c>
      <c r="B70" s="568"/>
      <c r="C70" s="327"/>
      <c r="D70" s="483" t="s">
        <v>1091</v>
      </c>
      <c r="E70" s="335"/>
      <c r="F70" s="564"/>
      <c r="G70" s="336"/>
      <c r="H70" s="773"/>
      <c r="I70" s="788"/>
      <c r="J70" s="784"/>
      <c r="K70" s="784"/>
      <c r="L70" s="784"/>
      <c r="M70" s="561">
        <f>SUM(M68:M69)</f>
        <v>10</v>
      </c>
      <c r="N70" s="784"/>
      <c r="O70" s="569">
        <f>SUM(I70:N70)</f>
        <v>10</v>
      </c>
      <c r="P70" s="565"/>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6"/>
      <c r="BX70" s="326"/>
      <c r="BY70" s="326"/>
      <c r="BZ70" s="326"/>
      <c r="CA70" s="326"/>
      <c r="CB70" s="326"/>
      <c r="CC70" s="326"/>
      <c r="CD70" s="326"/>
      <c r="CE70" s="326"/>
      <c r="CF70" s="326"/>
      <c r="CG70" s="326"/>
      <c r="CH70" s="326"/>
      <c r="CI70" s="326"/>
      <c r="CJ70" s="326"/>
      <c r="CK70" s="326"/>
      <c r="CL70" s="326"/>
      <c r="CM70" s="326"/>
      <c r="CN70" s="326"/>
      <c r="CO70" s="326"/>
      <c r="CP70" s="326"/>
      <c r="CQ70" s="326"/>
      <c r="CR70" s="326"/>
      <c r="CS70" s="326"/>
      <c r="CT70" s="326"/>
      <c r="CU70" s="326"/>
      <c r="CV70" s="326"/>
      <c r="CW70" s="326"/>
      <c r="CX70" s="326"/>
      <c r="CY70" s="326"/>
      <c r="CZ70" s="326"/>
      <c r="DA70" s="326"/>
      <c r="DB70" s="326"/>
      <c r="DC70" s="326"/>
      <c r="DD70" s="326"/>
      <c r="DE70" s="326"/>
      <c r="DF70" s="326"/>
      <c r="DG70" s="326"/>
      <c r="DH70" s="326"/>
      <c r="DI70" s="326"/>
      <c r="DJ70" s="326"/>
      <c r="DK70" s="326"/>
      <c r="DL70" s="326"/>
      <c r="DM70" s="326"/>
      <c r="DN70" s="326"/>
      <c r="DO70" s="326"/>
      <c r="DP70" s="326"/>
      <c r="DQ70" s="326"/>
      <c r="DR70" s="326"/>
      <c r="DS70" s="326"/>
      <c r="DT70" s="326"/>
      <c r="DU70" s="326"/>
      <c r="DV70" s="326"/>
      <c r="DW70" s="326"/>
      <c r="DX70" s="326"/>
      <c r="DY70" s="326"/>
      <c r="DZ70" s="326"/>
      <c r="EA70" s="326"/>
      <c r="EB70" s="326"/>
      <c r="EC70" s="326"/>
      <c r="ED70" s="326"/>
      <c r="EE70" s="326"/>
      <c r="EF70" s="326"/>
      <c r="EG70" s="326"/>
      <c r="EH70" s="326"/>
      <c r="EI70" s="326"/>
      <c r="EJ70" s="326"/>
      <c r="EK70" s="326"/>
      <c r="EL70" s="326"/>
      <c r="EM70" s="326"/>
      <c r="EN70" s="326"/>
      <c r="EO70" s="326"/>
      <c r="EP70" s="326"/>
      <c r="EQ70" s="326"/>
      <c r="ER70" s="326"/>
      <c r="ES70" s="326"/>
      <c r="ET70" s="326"/>
      <c r="EU70" s="326"/>
      <c r="EV70" s="326"/>
      <c r="EW70" s="326"/>
      <c r="EX70" s="326"/>
      <c r="EY70" s="326"/>
      <c r="EZ70" s="326"/>
      <c r="FA70" s="326"/>
      <c r="FB70" s="326"/>
      <c r="FC70" s="326"/>
      <c r="FD70" s="326"/>
      <c r="FE70" s="326"/>
      <c r="FF70" s="326"/>
      <c r="FG70" s="326"/>
      <c r="FH70" s="326"/>
      <c r="FI70" s="326"/>
      <c r="FJ70" s="326"/>
      <c r="FK70" s="326"/>
      <c r="FL70" s="326"/>
      <c r="FM70" s="326"/>
      <c r="FN70" s="326"/>
      <c r="FO70" s="326"/>
      <c r="FP70" s="326"/>
      <c r="FQ70" s="326"/>
      <c r="FR70" s="326"/>
      <c r="FS70" s="326"/>
      <c r="FT70" s="326"/>
      <c r="FU70" s="326"/>
      <c r="FV70" s="326"/>
      <c r="FW70" s="326"/>
      <c r="FX70" s="326"/>
      <c r="FY70" s="326"/>
      <c r="FZ70" s="326"/>
      <c r="GA70" s="326"/>
      <c r="GB70" s="326"/>
      <c r="GC70" s="326"/>
      <c r="GD70" s="326"/>
      <c r="GE70" s="326"/>
      <c r="GF70" s="326"/>
      <c r="GG70" s="326"/>
      <c r="GH70" s="326"/>
      <c r="GI70" s="326"/>
      <c r="GJ70" s="326"/>
      <c r="GK70" s="326"/>
      <c r="GL70" s="326"/>
      <c r="GM70" s="326"/>
      <c r="GN70" s="326"/>
      <c r="GO70" s="326"/>
      <c r="GP70" s="326"/>
      <c r="GQ70" s="326"/>
      <c r="GR70" s="326"/>
      <c r="GS70" s="326"/>
      <c r="GT70" s="326"/>
      <c r="GU70" s="326"/>
      <c r="GV70" s="326"/>
      <c r="GW70" s="326"/>
      <c r="GX70" s="326"/>
      <c r="GY70" s="326"/>
      <c r="GZ70" s="326"/>
      <c r="HA70" s="326"/>
      <c r="HB70" s="326"/>
      <c r="HC70" s="326"/>
      <c r="HD70" s="326"/>
      <c r="HE70" s="326"/>
      <c r="HF70" s="326"/>
      <c r="HG70" s="326"/>
      <c r="HH70" s="326"/>
      <c r="HI70" s="326"/>
      <c r="HJ70" s="326"/>
      <c r="HK70" s="326"/>
      <c r="HL70" s="326"/>
      <c r="HM70" s="326"/>
      <c r="HN70" s="326"/>
      <c r="HO70" s="326"/>
      <c r="HP70" s="326"/>
      <c r="HQ70" s="326"/>
      <c r="HR70" s="326"/>
      <c r="HS70" s="326"/>
      <c r="HT70" s="326"/>
      <c r="HU70" s="326"/>
      <c r="HV70" s="326"/>
      <c r="HW70" s="326"/>
      <c r="HX70" s="326"/>
      <c r="HY70" s="326"/>
      <c r="HZ70" s="326"/>
      <c r="IA70" s="326"/>
      <c r="IB70" s="326"/>
      <c r="IC70" s="326"/>
      <c r="ID70" s="326"/>
      <c r="IE70" s="326"/>
      <c r="IF70" s="326"/>
      <c r="IG70" s="326"/>
      <c r="IH70" s="326"/>
      <c r="II70" s="326"/>
      <c r="IJ70" s="326"/>
      <c r="IK70" s="326"/>
      <c r="IL70" s="326"/>
      <c r="IM70" s="326"/>
      <c r="IN70" s="326"/>
      <c r="IO70" s="326"/>
      <c r="IP70" s="326"/>
      <c r="IQ70" s="326"/>
      <c r="IR70" s="326"/>
      <c r="IS70" s="326"/>
      <c r="IT70" s="326"/>
      <c r="IU70" s="326"/>
      <c r="IV70" s="326"/>
    </row>
    <row r="71" spans="1:256" s="560" customFormat="1" ht="22.5" customHeight="1">
      <c r="A71" s="574">
        <v>62</v>
      </c>
      <c r="B71" s="568"/>
      <c r="C71" s="366">
        <v>13</v>
      </c>
      <c r="D71" s="931" t="s">
        <v>672</v>
      </c>
      <c r="E71" s="335"/>
      <c r="F71" s="564"/>
      <c r="G71" s="336"/>
      <c r="H71" s="773" t="s">
        <v>23</v>
      </c>
      <c r="I71" s="788"/>
      <c r="J71" s="784"/>
      <c r="K71" s="784"/>
      <c r="L71" s="784"/>
      <c r="M71" s="784"/>
      <c r="N71" s="784"/>
      <c r="O71" s="758"/>
      <c r="P71" s="565"/>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6"/>
      <c r="BT71" s="326"/>
      <c r="BU71" s="326"/>
      <c r="BV71" s="326"/>
      <c r="BW71" s="326"/>
      <c r="BX71" s="326"/>
      <c r="BY71" s="326"/>
      <c r="BZ71" s="326"/>
      <c r="CA71" s="326"/>
      <c r="CB71" s="326"/>
      <c r="CC71" s="326"/>
      <c r="CD71" s="326"/>
      <c r="CE71" s="326"/>
      <c r="CF71" s="326"/>
      <c r="CG71" s="326"/>
      <c r="CH71" s="326"/>
      <c r="CI71" s="326"/>
      <c r="CJ71" s="326"/>
      <c r="CK71" s="326"/>
      <c r="CL71" s="326"/>
      <c r="CM71" s="326"/>
      <c r="CN71" s="326"/>
      <c r="CO71" s="326"/>
      <c r="CP71" s="326"/>
      <c r="CQ71" s="326"/>
      <c r="CR71" s="326"/>
      <c r="CS71" s="326"/>
      <c r="CT71" s="326"/>
      <c r="CU71" s="326"/>
      <c r="CV71" s="326"/>
      <c r="CW71" s="326"/>
      <c r="CX71" s="326"/>
      <c r="CY71" s="326"/>
      <c r="CZ71" s="326"/>
      <c r="DA71" s="326"/>
      <c r="DB71" s="326"/>
      <c r="DC71" s="326"/>
      <c r="DD71" s="326"/>
      <c r="DE71" s="326"/>
      <c r="DF71" s="326"/>
      <c r="DG71" s="326"/>
      <c r="DH71" s="326"/>
      <c r="DI71" s="326"/>
      <c r="DJ71" s="326"/>
      <c r="DK71" s="326"/>
      <c r="DL71" s="326"/>
      <c r="DM71" s="326"/>
      <c r="DN71" s="326"/>
      <c r="DO71" s="326"/>
      <c r="DP71" s="326"/>
      <c r="DQ71" s="326"/>
      <c r="DR71" s="326"/>
      <c r="DS71" s="326"/>
      <c r="DT71" s="326"/>
      <c r="DU71" s="326"/>
      <c r="DV71" s="326"/>
      <c r="DW71" s="326"/>
      <c r="DX71" s="326"/>
      <c r="DY71" s="326"/>
      <c r="DZ71" s="326"/>
      <c r="EA71" s="326"/>
      <c r="EB71" s="326"/>
      <c r="EC71" s="326"/>
      <c r="ED71" s="326"/>
      <c r="EE71" s="326"/>
      <c r="EF71" s="326"/>
      <c r="EG71" s="326"/>
      <c r="EH71" s="326"/>
      <c r="EI71" s="326"/>
      <c r="EJ71" s="326"/>
      <c r="EK71" s="326"/>
      <c r="EL71" s="326"/>
      <c r="EM71" s="326"/>
      <c r="EN71" s="326"/>
      <c r="EO71" s="326"/>
      <c r="EP71" s="326"/>
      <c r="EQ71" s="326"/>
      <c r="ER71" s="326"/>
      <c r="ES71" s="326"/>
      <c r="ET71" s="326"/>
      <c r="EU71" s="326"/>
      <c r="EV71" s="326"/>
      <c r="EW71" s="326"/>
      <c r="EX71" s="326"/>
      <c r="EY71" s="326"/>
      <c r="EZ71" s="326"/>
      <c r="FA71" s="326"/>
      <c r="FB71" s="326"/>
      <c r="FC71" s="326"/>
      <c r="FD71" s="326"/>
      <c r="FE71" s="326"/>
      <c r="FF71" s="326"/>
      <c r="FG71" s="326"/>
      <c r="FH71" s="326"/>
      <c r="FI71" s="326"/>
      <c r="FJ71" s="326"/>
      <c r="FK71" s="326"/>
      <c r="FL71" s="326"/>
      <c r="FM71" s="326"/>
      <c r="FN71" s="326"/>
      <c r="FO71" s="326"/>
      <c r="FP71" s="326"/>
      <c r="FQ71" s="326"/>
      <c r="FR71" s="326"/>
      <c r="FS71" s="326"/>
      <c r="FT71" s="326"/>
      <c r="FU71" s="326"/>
      <c r="FV71" s="326"/>
      <c r="FW71" s="326"/>
      <c r="FX71" s="326"/>
      <c r="FY71" s="326"/>
      <c r="FZ71" s="326"/>
      <c r="GA71" s="326"/>
      <c r="GB71" s="326"/>
      <c r="GC71" s="326"/>
      <c r="GD71" s="326"/>
      <c r="GE71" s="326"/>
      <c r="GF71" s="326"/>
      <c r="GG71" s="326"/>
      <c r="GH71" s="326"/>
      <c r="GI71" s="326"/>
      <c r="GJ71" s="326"/>
      <c r="GK71" s="326"/>
      <c r="GL71" s="326"/>
      <c r="GM71" s="326"/>
      <c r="GN71" s="326"/>
      <c r="GO71" s="326"/>
      <c r="GP71" s="326"/>
      <c r="GQ71" s="326"/>
      <c r="GR71" s="326"/>
      <c r="GS71" s="326"/>
      <c r="GT71" s="326"/>
      <c r="GU71" s="326"/>
      <c r="GV71" s="326"/>
      <c r="GW71" s="326"/>
      <c r="GX71" s="326"/>
      <c r="GY71" s="326"/>
      <c r="GZ71" s="326"/>
      <c r="HA71" s="326"/>
      <c r="HB71" s="326"/>
      <c r="HC71" s="326"/>
      <c r="HD71" s="326"/>
      <c r="HE71" s="326"/>
      <c r="HF71" s="326"/>
      <c r="HG71" s="326"/>
      <c r="HH71" s="326"/>
      <c r="HI71" s="326"/>
      <c r="HJ71" s="326"/>
      <c r="HK71" s="326"/>
      <c r="HL71" s="326"/>
      <c r="HM71" s="326"/>
      <c r="HN71" s="326"/>
      <c r="HO71" s="326"/>
      <c r="HP71" s="326"/>
      <c r="HQ71" s="326"/>
      <c r="HR71" s="326"/>
      <c r="HS71" s="326"/>
      <c r="HT71" s="326"/>
      <c r="HU71" s="326"/>
      <c r="HV71" s="326"/>
      <c r="HW71" s="326"/>
      <c r="HX71" s="326"/>
      <c r="HY71" s="326"/>
      <c r="HZ71" s="326"/>
      <c r="IA71" s="326"/>
      <c r="IB71" s="326"/>
      <c r="IC71" s="326"/>
      <c r="ID71" s="326"/>
      <c r="IE71" s="326"/>
      <c r="IF71" s="326"/>
      <c r="IG71" s="326"/>
      <c r="IH71" s="326"/>
      <c r="II71" s="326"/>
      <c r="IJ71" s="326"/>
      <c r="IK71" s="326"/>
      <c r="IL71" s="326"/>
      <c r="IM71" s="326"/>
      <c r="IN71" s="326"/>
      <c r="IO71" s="326"/>
      <c r="IP71" s="326"/>
      <c r="IQ71" s="326"/>
      <c r="IR71" s="326"/>
      <c r="IS71" s="326"/>
      <c r="IT71" s="326"/>
      <c r="IU71" s="326"/>
      <c r="IV71" s="326"/>
    </row>
    <row r="72" spans="1:256" s="560" customFormat="1" ht="18" customHeight="1">
      <c r="A72" s="574">
        <v>63</v>
      </c>
      <c r="B72" s="568"/>
      <c r="C72" s="327"/>
      <c r="D72" s="1324" t="s">
        <v>283</v>
      </c>
      <c r="E72" s="335">
        <f>F72+G72+O75+P72</f>
        <v>499990</v>
      </c>
      <c r="F72" s="564"/>
      <c r="G72" s="336"/>
      <c r="H72" s="773"/>
      <c r="I72" s="788"/>
      <c r="J72" s="784"/>
      <c r="K72" s="784"/>
      <c r="L72" s="784"/>
      <c r="M72" s="784">
        <v>499990</v>
      </c>
      <c r="N72" s="784"/>
      <c r="O72" s="758">
        <f>SUM(I72:N72)</f>
        <v>499990</v>
      </c>
      <c r="P72" s="565"/>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c r="DU72" s="326"/>
      <c r="DV72" s="326"/>
      <c r="DW72" s="326"/>
      <c r="DX72" s="326"/>
      <c r="DY72" s="326"/>
      <c r="DZ72" s="326"/>
      <c r="EA72" s="326"/>
      <c r="EB72" s="326"/>
      <c r="EC72" s="326"/>
      <c r="ED72" s="326"/>
      <c r="EE72" s="326"/>
      <c r="EF72" s="326"/>
      <c r="EG72" s="326"/>
      <c r="EH72" s="326"/>
      <c r="EI72" s="326"/>
      <c r="EJ72" s="326"/>
      <c r="EK72" s="326"/>
      <c r="EL72" s="326"/>
      <c r="EM72" s="326"/>
      <c r="EN72" s="326"/>
      <c r="EO72" s="326"/>
      <c r="EP72" s="326"/>
      <c r="EQ72" s="326"/>
      <c r="ER72" s="326"/>
      <c r="ES72" s="326"/>
      <c r="ET72" s="326"/>
      <c r="EU72" s="326"/>
      <c r="EV72" s="326"/>
      <c r="EW72" s="326"/>
      <c r="EX72" s="326"/>
      <c r="EY72" s="326"/>
      <c r="EZ72" s="326"/>
      <c r="FA72" s="326"/>
      <c r="FB72" s="326"/>
      <c r="FC72" s="326"/>
      <c r="FD72" s="326"/>
      <c r="FE72" s="326"/>
      <c r="FF72" s="326"/>
      <c r="FG72" s="326"/>
      <c r="FH72" s="326"/>
      <c r="FI72" s="326"/>
      <c r="FJ72" s="326"/>
      <c r="FK72" s="326"/>
      <c r="FL72" s="326"/>
      <c r="FM72" s="326"/>
      <c r="FN72" s="326"/>
      <c r="FO72" s="326"/>
      <c r="FP72" s="326"/>
      <c r="FQ72" s="326"/>
      <c r="FR72" s="326"/>
      <c r="FS72" s="326"/>
      <c r="FT72" s="326"/>
      <c r="FU72" s="326"/>
      <c r="FV72" s="326"/>
      <c r="FW72" s="326"/>
      <c r="FX72" s="326"/>
      <c r="FY72" s="326"/>
      <c r="FZ72" s="326"/>
      <c r="GA72" s="326"/>
      <c r="GB72" s="326"/>
      <c r="GC72" s="326"/>
      <c r="GD72" s="326"/>
      <c r="GE72" s="326"/>
      <c r="GF72" s="326"/>
      <c r="GG72" s="326"/>
      <c r="GH72" s="326"/>
      <c r="GI72" s="326"/>
      <c r="GJ72" s="326"/>
      <c r="GK72" s="326"/>
      <c r="GL72" s="326"/>
      <c r="GM72" s="326"/>
      <c r="GN72" s="326"/>
      <c r="GO72" s="326"/>
      <c r="GP72" s="326"/>
      <c r="GQ72" s="326"/>
      <c r="GR72" s="326"/>
      <c r="GS72" s="326"/>
      <c r="GT72" s="326"/>
      <c r="GU72" s="326"/>
      <c r="GV72" s="326"/>
      <c r="GW72" s="326"/>
      <c r="GX72" s="326"/>
      <c r="GY72" s="326"/>
      <c r="GZ72" s="326"/>
      <c r="HA72" s="326"/>
      <c r="HB72" s="326"/>
      <c r="HC72" s="326"/>
      <c r="HD72" s="326"/>
      <c r="HE72" s="326"/>
      <c r="HF72" s="326"/>
      <c r="HG72" s="326"/>
      <c r="HH72" s="326"/>
      <c r="HI72" s="326"/>
      <c r="HJ72" s="326"/>
      <c r="HK72" s="326"/>
      <c r="HL72" s="326"/>
      <c r="HM72" s="326"/>
      <c r="HN72" s="326"/>
      <c r="HO72" s="326"/>
      <c r="HP72" s="326"/>
      <c r="HQ72" s="326"/>
      <c r="HR72" s="326"/>
      <c r="HS72" s="326"/>
      <c r="HT72" s="326"/>
      <c r="HU72" s="326"/>
      <c r="HV72" s="326"/>
      <c r="HW72" s="326"/>
      <c r="HX72" s="326"/>
      <c r="HY72" s="326"/>
      <c r="HZ72" s="326"/>
      <c r="IA72" s="326"/>
      <c r="IB72" s="326"/>
      <c r="IC72" s="326"/>
      <c r="ID72" s="326"/>
      <c r="IE72" s="326"/>
      <c r="IF72" s="326"/>
      <c r="IG72" s="326"/>
      <c r="IH72" s="326"/>
      <c r="II72" s="326"/>
      <c r="IJ72" s="326"/>
      <c r="IK72" s="326"/>
      <c r="IL72" s="326"/>
      <c r="IM72" s="326"/>
      <c r="IN72" s="326"/>
      <c r="IO72" s="326"/>
      <c r="IP72" s="326"/>
      <c r="IQ72" s="326"/>
      <c r="IR72" s="326"/>
      <c r="IS72" s="326"/>
      <c r="IT72" s="326"/>
      <c r="IU72" s="326"/>
      <c r="IV72" s="326"/>
    </row>
    <row r="73" spans="1:256" s="560" customFormat="1" ht="18" customHeight="1">
      <c r="A73" s="574">
        <v>64</v>
      </c>
      <c r="B73" s="568"/>
      <c r="C73" s="327"/>
      <c r="D73" s="483" t="s">
        <v>938</v>
      </c>
      <c r="E73" s="335"/>
      <c r="F73" s="564"/>
      <c r="G73" s="336"/>
      <c r="H73" s="773"/>
      <c r="I73" s="788"/>
      <c r="J73" s="784"/>
      <c r="K73" s="784"/>
      <c r="L73" s="784"/>
      <c r="M73" s="561">
        <v>499990</v>
      </c>
      <c r="N73" s="561"/>
      <c r="O73" s="569">
        <f>SUM(I73:N73)</f>
        <v>499990</v>
      </c>
      <c r="P73" s="565"/>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6"/>
      <c r="DO73" s="326"/>
      <c r="DP73" s="326"/>
      <c r="DQ73" s="326"/>
      <c r="DR73" s="326"/>
      <c r="DS73" s="326"/>
      <c r="DT73" s="326"/>
      <c r="DU73" s="326"/>
      <c r="DV73" s="326"/>
      <c r="DW73" s="326"/>
      <c r="DX73" s="326"/>
      <c r="DY73" s="326"/>
      <c r="DZ73" s="326"/>
      <c r="EA73" s="326"/>
      <c r="EB73" s="326"/>
      <c r="EC73" s="326"/>
      <c r="ED73" s="326"/>
      <c r="EE73" s="326"/>
      <c r="EF73" s="326"/>
      <c r="EG73" s="326"/>
      <c r="EH73" s="326"/>
      <c r="EI73" s="326"/>
      <c r="EJ73" s="326"/>
      <c r="EK73" s="326"/>
      <c r="EL73" s="326"/>
      <c r="EM73" s="326"/>
      <c r="EN73" s="326"/>
      <c r="EO73" s="326"/>
      <c r="EP73" s="326"/>
      <c r="EQ73" s="326"/>
      <c r="ER73" s="326"/>
      <c r="ES73" s="326"/>
      <c r="ET73" s="326"/>
      <c r="EU73" s="326"/>
      <c r="EV73" s="326"/>
      <c r="EW73" s="326"/>
      <c r="EX73" s="326"/>
      <c r="EY73" s="326"/>
      <c r="EZ73" s="326"/>
      <c r="FA73" s="326"/>
      <c r="FB73" s="326"/>
      <c r="FC73" s="326"/>
      <c r="FD73" s="326"/>
      <c r="FE73" s="326"/>
      <c r="FF73" s="326"/>
      <c r="FG73" s="326"/>
      <c r="FH73" s="326"/>
      <c r="FI73" s="326"/>
      <c r="FJ73" s="326"/>
      <c r="FK73" s="326"/>
      <c r="FL73" s="326"/>
      <c r="FM73" s="326"/>
      <c r="FN73" s="326"/>
      <c r="FO73" s="326"/>
      <c r="FP73" s="326"/>
      <c r="FQ73" s="326"/>
      <c r="FR73" s="326"/>
      <c r="FS73" s="326"/>
      <c r="FT73" s="326"/>
      <c r="FU73" s="326"/>
      <c r="FV73" s="326"/>
      <c r="FW73" s="326"/>
      <c r="FX73" s="326"/>
      <c r="FY73" s="326"/>
      <c r="FZ73" s="326"/>
      <c r="GA73" s="326"/>
      <c r="GB73" s="326"/>
      <c r="GC73" s="326"/>
      <c r="GD73" s="326"/>
      <c r="GE73" s="326"/>
      <c r="GF73" s="326"/>
      <c r="GG73" s="326"/>
      <c r="GH73" s="326"/>
      <c r="GI73" s="326"/>
      <c r="GJ73" s="326"/>
      <c r="GK73" s="326"/>
      <c r="GL73" s="326"/>
      <c r="GM73" s="326"/>
      <c r="GN73" s="326"/>
      <c r="GO73" s="326"/>
      <c r="GP73" s="326"/>
      <c r="GQ73" s="326"/>
      <c r="GR73" s="326"/>
      <c r="GS73" s="326"/>
      <c r="GT73" s="326"/>
      <c r="GU73" s="326"/>
      <c r="GV73" s="326"/>
      <c r="GW73" s="326"/>
      <c r="GX73" s="326"/>
      <c r="GY73" s="326"/>
      <c r="GZ73" s="326"/>
      <c r="HA73" s="326"/>
      <c r="HB73" s="326"/>
      <c r="HC73" s="326"/>
      <c r="HD73" s="326"/>
      <c r="HE73" s="326"/>
      <c r="HF73" s="326"/>
      <c r="HG73" s="326"/>
      <c r="HH73" s="326"/>
      <c r="HI73" s="326"/>
      <c r="HJ73" s="326"/>
      <c r="HK73" s="326"/>
      <c r="HL73" s="326"/>
      <c r="HM73" s="326"/>
      <c r="HN73" s="326"/>
      <c r="HO73" s="326"/>
      <c r="HP73" s="326"/>
      <c r="HQ73" s="326"/>
      <c r="HR73" s="326"/>
      <c r="HS73" s="326"/>
      <c r="HT73" s="326"/>
      <c r="HU73" s="326"/>
      <c r="HV73" s="326"/>
      <c r="HW73" s="326"/>
      <c r="HX73" s="326"/>
      <c r="HY73" s="326"/>
      <c r="HZ73" s="326"/>
      <c r="IA73" s="326"/>
      <c r="IB73" s="326"/>
      <c r="IC73" s="326"/>
      <c r="ID73" s="326"/>
      <c r="IE73" s="326"/>
      <c r="IF73" s="326"/>
      <c r="IG73" s="326"/>
      <c r="IH73" s="326"/>
      <c r="II73" s="326"/>
      <c r="IJ73" s="326"/>
      <c r="IK73" s="326"/>
      <c r="IL73" s="326"/>
      <c r="IM73" s="326"/>
      <c r="IN73" s="326"/>
      <c r="IO73" s="326"/>
      <c r="IP73" s="326"/>
      <c r="IQ73" s="326"/>
      <c r="IR73" s="326"/>
      <c r="IS73" s="326"/>
      <c r="IT73" s="326"/>
      <c r="IU73" s="326"/>
      <c r="IV73" s="326"/>
    </row>
    <row r="74" spans="1:256" s="560" customFormat="1" ht="18" customHeight="1">
      <c r="A74" s="574">
        <v>65</v>
      </c>
      <c r="B74" s="568"/>
      <c r="C74" s="327"/>
      <c r="D74" s="1146" t="s">
        <v>674</v>
      </c>
      <c r="E74" s="335"/>
      <c r="F74" s="564"/>
      <c r="G74" s="336"/>
      <c r="H74" s="773"/>
      <c r="I74" s="788"/>
      <c r="J74" s="784"/>
      <c r="K74" s="784"/>
      <c r="L74" s="784"/>
      <c r="M74" s="784"/>
      <c r="N74" s="784"/>
      <c r="O74" s="1327">
        <f>SUM(I74:N74)</f>
        <v>0</v>
      </c>
      <c r="P74" s="565"/>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6"/>
      <c r="DP74" s="326"/>
      <c r="DQ74" s="326"/>
      <c r="DR74" s="326"/>
      <c r="DS74" s="326"/>
      <c r="DT74" s="326"/>
      <c r="DU74" s="326"/>
      <c r="DV74" s="326"/>
      <c r="DW74" s="326"/>
      <c r="DX74" s="326"/>
      <c r="DY74" s="326"/>
      <c r="DZ74" s="326"/>
      <c r="EA74" s="326"/>
      <c r="EB74" s="326"/>
      <c r="EC74" s="326"/>
      <c r="ED74" s="326"/>
      <c r="EE74" s="326"/>
      <c r="EF74" s="326"/>
      <c r="EG74" s="326"/>
      <c r="EH74" s="326"/>
      <c r="EI74" s="326"/>
      <c r="EJ74" s="326"/>
      <c r="EK74" s="326"/>
      <c r="EL74" s="326"/>
      <c r="EM74" s="326"/>
      <c r="EN74" s="326"/>
      <c r="EO74" s="326"/>
      <c r="EP74" s="326"/>
      <c r="EQ74" s="326"/>
      <c r="ER74" s="326"/>
      <c r="ES74" s="326"/>
      <c r="ET74" s="326"/>
      <c r="EU74" s="326"/>
      <c r="EV74" s="326"/>
      <c r="EW74" s="326"/>
      <c r="EX74" s="326"/>
      <c r="EY74" s="326"/>
      <c r="EZ74" s="326"/>
      <c r="FA74" s="326"/>
      <c r="FB74" s="326"/>
      <c r="FC74" s="326"/>
      <c r="FD74" s="326"/>
      <c r="FE74" s="326"/>
      <c r="FF74" s="326"/>
      <c r="FG74" s="326"/>
      <c r="FH74" s="326"/>
      <c r="FI74" s="326"/>
      <c r="FJ74" s="326"/>
      <c r="FK74" s="326"/>
      <c r="FL74" s="326"/>
      <c r="FM74" s="326"/>
      <c r="FN74" s="326"/>
      <c r="FO74" s="326"/>
      <c r="FP74" s="326"/>
      <c r="FQ74" s="326"/>
      <c r="FR74" s="326"/>
      <c r="FS74" s="326"/>
      <c r="FT74" s="326"/>
      <c r="FU74" s="326"/>
      <c r="FV74" s="326"/>
      <c r="FW74" s="326"/>
      <c r="FX74" s="326"/>
      <c r="FY74" s="326"/>
      <c r="FZ74" s="326"/>
      <c r="GA74" s="326"/>
      <c r="GB74" s="326"/>
      <c r="GC74" s="326"/>
      <c r="GD74" s="326"/>
      <c r="GE74" s="326"/>
      <c r="GF74" s="326"/>
      <c r="GG74" s="326"/>
      <c r="GH74" s="326"/>
      <c r="GI74" s="326"/>
      <c r="GJ74" s="326"/>
      <c r="GK74" s="326"/>
      <c r="GL74" s="326"/>
      <c r="GM74" s="326"/>
      <c r="GN74" s="326"/>
      <c r="GO74" s="326"/>
      <c r="GP74" s="326"/>
      <c r="GQ74" s="326"/>
      <c r="GR74" s="326"/>
      <c r="GS74" s="326"/>
      <c r="GT74" s="326"/>
      <c r="GU74" s="326"/>
      <c r="GV74" s="326"/>
      <c r="GW74" s="326"/>
      <c r="GX74" s="326"/>
      <c r="GY74" s="326"/>
      <c r="GZ74" s="326"/>
      <c r="HA74" s="326"/>
      <c r="HB74" s="326"/>
      <c r="HC74" s="326"/>
      <c r="HD74" s="326"/>
      <c r="HE74" s="326"/>
      <c r="HF74" s="326"/>
      <c r="HG74" s="326"/>
      <c r="HH74" s="326"/>
      <c r="HI74" s="326"/>
      <c r="HJ74" s="326"/>
      <c r="HK74" s="326"/>
      <c r="HL74" s="326"/>
      <c r="HM74" s="326"/>
      <c r="HN74" s="326"/>
      <c r="HO74" s="326"/>
      <c r="HP74" s="326"/>
      <c r="HQ74" s="326"/>
      <c r="HR74" s="326"/>
      <c r="HS74" s="326"/>
      <c r="HT74" s="326"/>
      <c r="HU74" s="326"/>
      <c r="HV74" s="326"/>
      <c r="HW74" s="326"/>
      <c r="HX74" s="326"/>
      <c r="HY74" s="326"/>
      <c r="HZ74" s="326"/>
      <c r="IA74" s="326"/>
      <c r="IB74" s="326"/>
      <c r="IC74" s="326"/>
      <c r="ID74" s="326"/>
      <c r="IE74" s="326"/>
      <c r="IF74" s="326"/>
      <c r="IG74" s="326"/>
      <c r="IH74" s="326"/>
      <c r="II74" s="326"/>
      <c r="IJ74" s="326"/>
      <c r="IK74" s="326"/>
      <c r="IL74" s="326"/>
      <c r="IM74" s="326"/>
      <c r="IN74" s="326"/>
      <c r="IO74" s="326"/>
      <c r="IP74" s="326"/>
      <c r="IQ74" s="326"/>
      <c r="IR74" s="326"/>
      <c r="IS74" s="326"/>
      <c r="IT74" s="326"/>
      <c r="IU74" s="326"/>
      <c r="IV74" s="326"/>
    </row>
    <row r="75" spans="1:256" s="560" customFormat="1" ht="18" customHeight="1">
      <c r="A75" s="574">
        <v>66</v>
      </c>
      <c r="B75" s="568"/>
      <c r="C75" s="327"/>
      <c r="D75" s="483" t="s">
        <v>1091</v>
      </c>
      <c r="E75" s="335"/>
      <c r="F75" s="564"/>
      <c r="G75" s="336"/>
      <c r="H75" s="773"/>
      <c r="I75" s="788"/>
      <c r="J75" s="784"/>
      <c r="K75" s="784"/>
      <c r="L75" s="784"/>
      <c r="M75" s="561">
        <f>SUM(M73:M74)</f>
        <v>499990</v>
      </c>
      <c r="N75" s="784"/>
      <c r="O75" s="569">
        <f>SUM(I75:N75)</f>
        <v>499990</v>
      </c>
      <c r="P75" s="565"/>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c r="EI75" s="326"/>
      <c r="EJ75" s="326"/>
      <c r="EK75" s="326"/>
      <c r="EL75" s="326"/>
      <c r="EM75" s="326"/>
      <c r="EN75" s="326"/>
      <c r="EO75" s="326"/>
      <c r="EP75" s="326"/>
      <c r="EQ75" s="326"/>
      <c r="ER75" s="326"/>
      <c r="ES75" s="326"/>
      <c r="ET75" s="326"/>
      <c r="EU75" s="326"/>
      <c r="EV75" s="326"/>
      <c r="EW75" s="326"/>
      <c r="EX75" s="326"/>
      <c r="EY75" s="326"/>
      <c r="EZ75" s="326"/>
      <c r="FA75" s="326"/>
      <c r="FB75" s="326"/>
      <c r="FC75" s="326"/>
      <c r="FD75" s="326"/>
      <c r="FE75" s="326"/>
      <c r="FF75" s="326"/>
      <c r="FG75" s="326"/>
      <c r="FH75" s="326"/>
      <c r="FI75" s="326"/>
      <c r="FJ75" s="326"/>
      <c r="FK75" s="326"/>
      <c r="FL75" s="326"/>
      <c r="FM75" s="326"/>
      <c r="FN75" s="326"/>
      <c r="FO75" s="326"/>
      <c r="FP75" s="326"/>
      <c r="FQ75" s="326"/>
      <c r="FR75" s="326"/>
      <c r="FS75" s="326"/>
      <c r="FT75" s="326"/>
      <c r="FU75" s="326"/>
      <c r="FV75" s="326"/>
      <c r="FW75" s="326"/>
      <c r="FX75" s="326"/>
      <c r="FY75" s="326"/>
      <c r="FZ75" s="326"/>
      <c r="GA75" s="326"/>
      <c r="GB75" s="326"/>
      <c r="GC75" s="326"/>
      <c r="GD75" s="326"/>
      <c r="GE75" s="326"/>
      <c r="GF75" s="326"/>
      <c r="GG75" s="326"/>
      <c r="GH75" s="326"/>
      <c r="GI75" s="326"/>
      <c r="GJ75" s="326"/>
      <c r="GK75" s="326"/>
      <c r="GL75" s="326"/>
      <c r="GM75" s="326"/>
      <c r="GN75" s="326"/>
      <c r="GO75" s="326"/>
      <c r="GP75" s="326"/>
      <c r="GQ75" s="326"/>
      <c r="GR75" s="326"/>
      <c r="GS75" s="326"/>
      <c r="GT75" s="326"/>
      <c r="GU75" s="326"/>
      <c r="GV75" s="326"/>
      <c r="GW75" s="326"/>
      <c r="GX75" s="326"/>
      <c r="GY75" s="326"/>
      <c r="GZ75" s="326"/>
      <c r="HA75" s="326"/>
      <c r="HB75" s="326"/>
      <c r="HC75" s="326"/>
      <c r="HD75" s="326"/>
      <c r="HE75" s="326"/>
      <c r="HF75" s="326"/>
      <c r="HG75" s="326"/>
      <c r="HH75" s="326"/>
      <c r="HI75" s="326"/>
      <c r="HJ75" s="326"/>
      <c r="HK75" s="326"/>
      <c r="HL75" s="326"/>
      <c r="HM75" s="326"/>
      <c r="HN75" s="326"/>
      <c r="HO75" s="326"/>
      <c r="HP75" s="326"/>
      <c r="HQ75" s="326"/>
      <c r="HR75" s="326"/>
      <c r="HS75" s="326"/>
      <c r="HT75" s="326"/>
      <c r="HU75" s="326"/>
      <c r="HV75" s="326"/>
      <c r="HW75" s="326"/>
      <c r="HX75" s="326"/>
      <c r="HY75" s="326"/>
      <c r="HZ75" s="326"/>
      <c r="IA75" s="326"/>
      <c r="IB75" s="326"/>
      <c r="IC75" s="326"/>
      <c r="ID75" s="326"/>
      <c r="IE75" s="326"/>
      <c r="IF75" s="326"/>
      <c r="IG75" s="326"/>
      <c r="IH75" s="326"/>
      <c r="II75" s="326"/>
      <c r="IJ75" s="326"/>
      <c r="IK75" s="326"/>
      <c r="IL75" s="326"/>
      <c r="IM75" s="326"/>
      <c r="IN75" s="326"/>
      <c r="IO75" s="326"/>
      <c r="IP75" s="326"/>
      <c r="IQ75" s="326"/>
      <c r="IR75" s="326"/>
      <c r="IS75" s="326"/>
      <c r="IT75" s="326"/>
      <c r="IU75" s="326"/>
      <c r="IV75" s="326"/>
    </row>
    <row r="76" spans="1:256" s="560" customFormat="1" ht="22.5" customHeight="1">
      <c r="A76" s="574">
        <v>67</v>
      </c>
      <c r="B76" s="568"/>
      <c r="C76" s="366">
        <v>14</v>
      </c>
      <c r="D76" s="572" t="s">
        <v>598</v>
      </c>
      <c r="E76" s="335"/>
      <c r="F76" s="564"/>
      <c r="G76" s="336"/>
      <c r="H76" s="773" t="s">
        <v>23</v>
      </c>
      <c r="I76" s="788"/>
      <c r="J76" s="784"/>
      <c r="K76" s="784"/>
      <c r="L76" s="784"/>
      <c r="M76" s="784"/>
      <c r="N76" s="784"/>
      <c r="O76" s="758"/>
      <c r="P76" s="565"/>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26"/>
      <c r="BM76" s="326"/>
      <c r="BN76" s="326"/>
      <c r="BO76" s="326"/>
      <c r="BP76" s="326"/>
      <c r="BQ76" s="326"/>
      <c r="BR76" s="326"/>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326"/>
      <c r="DW76" s="326"/>
      <c r="DX76" s="326"/>
      <c r="DY76" s="326"/>
      <c r="DZ76" s="326"/>
      <c r="EA76" s="326"/>
      <c r="EB76" s="326"/>
      <c r="EC76" s="326"/>
      <c r="ED76" s="326"/>
      <c r="EE76" s="326"/>
      <c r="EF76" s="326"/>
      <c r="EG76" s="326"/>
      <c r="EH76" s="326"/>
      <c r="EI76" s="326"/>
      <c r="EJ76" s="326"/>
      <c r="EK76" s="326"/>
      <c r="EL76" s="326"/>
      <c r="EM76" s="326"/>
      <c r="EN76" s="326"/>
      <c r="EO76" s="326"/>
      <c r="EP76" s="326"/>
      <c r="EQ76" s="326"/>
      <c r="ER76" s="326"/>
      <c r="ES76" s="326"/>
      <c r="ET76" s="326"/>
      <c r="EU76" s="326"/>
      <c r="EV76" s="326"/>
      <c r="EW76" s="326"/>
      <c r="EX76" s="326"/>
      <c r="EY76" s="326"/>
      <c r="EZ76" s="326"/>
      <c r="FA76" s="326"/>
      <c r="FB76" s="326"/>
      <c r="FC76" s="326"/>
      <c r="FD76" s="326"/>
      <c r="FE76" s="326"/>
      <c r="FF76" s="326"/>
      <c r="FG76" s="326"/>
      <c r="FH76" s="326"/>
      <c r="FI76" s="326"/>
      <c r="FJ76" s="326"/>
      <c r="FK76" s="326"/>
      <c r="FL76" s="326"/>
      <c r="FM76" s="326"/>
      <c r="FN76" s="326"/>
      <c r="FO76" s="326"/>
      <c r="FP76" s="326"/>
      <c r="FQ76" s="326"/>
      <c r="FR76" s="326"/>
      <c r="FS76" s="326"/>
      <c r="FT76" s="326"/>
      <c r="FU76" s="326"/>
      <c r="FV76" s="326"/>
      <c r="FW76" s="326"/>
      <c r="FX76" s="326"/>
      <c r="FY76" s="326"/>
      <c r="FZ76" s="326"/>
      <c r="GA76" s="326"/>
      <c r="GB76" s="326"/>
      <c r="GC76" s="326"/>
      <c r="GD76" s="326"/>
      <c r="GE76" s="326"/>
      <c r="GF76" s="326"/>
      <c r="GG76" s="326"/>
      <c r="GH76" s="326"/>
      <c r="GI76" s="326"/>
      <c r="GJ76" s="326"/>
      <c r="GK76" s="326"/>
      <c r="GL76" s="326"/>
      <c r="GM76" s="326"/>
      <c r="GN76" s="326"/>
      <c r="GO76" s="326"/>
      <c r="GP76" s="326"/>
      <c r="GQ76" s="326"/>
      <c r="GR76" s="326"/>
      <c r="GS76" s="326"/>
      <c r="GT76" s="326"/>
      <c r="GU76" s="326"/>
      <c r="GV76" s="326"/>
      <c r="GW76" s="326"/>
      <c r="GX76" s="326"/>
      <c r="GY76" s="326"/>
      <c r="GZ76" s="326"/>
      <c r="HA76" s="326"/>
      <c r="HB76" s="326"/>
      <c r="HC76" s="326"/>
      <c r="HD76" s="326"/>
      <c r="HE76" s="326"/>
      <c r="HF76" s="326"/>
      <c r="HG76" s="326"/>
      <c r="HH76" s="326"/>
      <c r="HI76" s="326"/>
      <c r="HJ76" s="326"/>
      <c r="HK76" s="326"/>
      <c r="HL76" s="326"/>
      <c r="HM76" s="326"/>
      <c r="HN76" s="326"/>
      <c r="HO76" s="326"/>
      <c r="HP76" s="326"/>
      <c r="HQ76" s="326"/>
      <c r="HR76" s="326"/>
      <c r="HS76" s="326"/>
      <c r="HT76" s="326"/>
      <c r="HU76" s="326"/>
      <c r="HV76" s="326"/>
      <c r="HW76" s="326"/>
      <c r="HX76" s="326"/>
      <c r="HY76" s="326"/>
      <c r="HZ76" s="326"/>
      <c r="IA76" s="326"/>
      <c r="IB76" s="326"/>
      <c r="IC76" s="326"/>
      <c r="ID76" s="326"/>
      <c r="IE76" s="326"/>
      <c r="IF76" s="326"/>
      <c r="IG76" s="326"/>
      <c r="IH76" s="326"/>
      <c r="II76" s="326"/>
      <c r="IJ76" s="326"/>
      <c r="IK76" s="326"/>
      <c r="IL76" s="326"/>
      <c r="IM76" s="326"/>
      <c r="IN76" s="326"/>
      <c r="IO76" s="326"/>
      <c r="IP76" s="326"/>
      <c r="IQ76" s="326"/>
      <c r="IR76" s="326"/>
      <c r="IS76" s="326"/>
      <c r="IT76" s="326"/>
      <c r="IU76" s="326"/>
      <c r="IV76" s="326"/>
    </row>
    <row r="77" spans="1:256" s="560" customFormat="1" ht="18" customHeight="1">
      <c r="A77" s="574">
        <v>68</v>
      </c>
      <c r="B77" s="568"/>
      <c r="C77" s="327"/>
      <c r="D77" s="1324" t="s">
        <v>283</v>
      </c>
      <c r="E77" s="335">
        <f>F77+G77+O80+P77</f>
        <v>1500</v>
      </c>
      <c r="F77" s="564"/>
      <c r="G77" s="336"/>
      <c r="H77" s="773"/>
      <c r="I77" s="788"/>
      <c r="J77" s="784"/>
      <c r="K77" s="784">
        <v>1500</v>
      </c>
      <c r="L77" s="784"/>
      <c r="M77" s="784"/>
      <c r="N77" s="784"/>
      <c r="O77" s="758">
        <f>SUM(I77:N77)</f>
        <v>1500</v>
      </c>
      <c r="P77" s="565"/>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c r="BM77" s="326"/>
      <c r="BN77" s="326"/>
      <c r="BO77" s="326"/>
      <c r="BP77" s="326"/>
      <c r="BQ77" s="326"/>
      <c r="BR77" s="326"/>
      <c r="BS77" s="326"/>
      <c r="BT77" s="326"/>
      <c r="BU77" s="326"/>
      <c r="BV77" s="326"/>
      <c r="BW77" s="326"/>
      <c r="BX77" s="326"/>
      <c r="BY77" s="326"/>
      <c r="BZ77" s="326"/>
      <c r="CA77" s="326"/>
      <c r="CB77" s="326"/>
      <c r="CC77" s="326"/>
      <c r="CD77" s="326"/>
      <c r="CE77" s="326"/>
      <c r="CF77" s="326"/>
      <c r="CG77" s="326"/>
      <c r="CH77" s="326"/>
      <c r="CI77" s="326"/>
      <c r="CJ77" s="326"/>
      <c r="CK77" s="326"/>
      <c r="CL77" s="326"/>
      <c r="CM77" s="326"/>
      <c r="CN77" s="326"/>
      <c r="CO77" s="326"/>
      <c r="CP77" s="326"/>
      <c r="CQ77" s="326"/>
      <c r="CR77" s="326"/>
      <c r="CS77" s="326"/>
      <c r="CT77" s="326"/>
      <c r="CU77" s="326"/>
      <c r="CV77" s="326"/>
      <c r="CW77" s="326"/>
      <c r="CX77" s="326"/>
      <c r="CY77" s="326"/>
      <c r="CZ77" s="326"/>
      <c r="DA77" s="326"/>
      <c r="DB77" s="326"/>
      <c r="DC77" s="326"/>
      <c r="DD77" s="326"/>
      <c r="DE77" s="326"/>
      <c r="DF77" s="326"/>
      <c r="DG77" s="326"/>
      <c r="DH77" s="326"/>
      <c r="DI77" s="326"/>
      <c r="DJ77" s="326"/>
      <c r="DK77" s="326"/>
      <c r="DL77" s="326"/>
      <c r="DM77" s="326"/>
      <c r="DN77" s="326"/>
      <c r="DO77" s="326"/>
      <c r="DP77" s="326"/>
      <c r="DQ77" s="326"/>
      <c r="DR77" s="326"/>
      <c r="DS77" s="326"/>
      <c r="DT77" s="326"/>
      <c r="DU77" s="326"/>
      <c r="DV77" s="326"/>
      <c r="DW77" s="326"/>
      <c r="DX77" s="326"/>
      <c r="DY77" s="326"/>
      <c r="DZ77" s="326"/>
      <c r="EA77" s="326"/>
      <c r="EB77" s="326"/>
      <c r="EC77" s="326"/>
      <c r="ED77" s="326"/>
      <c r="EE77" s="326"/>
      <c r="EF77" s="326"/>
      <c r="EG77" s="326"/>
      <c r="EH77" s="326"/>
      <c r="EI77" s="326"/>
      <c r="EJ77" s="326"/>
      <c r="EK77" s="326"/>
      <c r="EL77" s="326"/>
      <c r="EM77" s="326"/>
      <c r="EN77" s="326"/>
      <c r="EO77" s="326"/>
      <c r="EP77" s="326"/>
      <c r="EQ77" s="326"/>
      <c r="ER77" s="326"/>
      <c r="ES77" s="326"/>
      <c r="ET77" s="326"/>
      <c r="EU77" s="326"/>
      <c r="EV77" s="326"/>
      <c r="EW77" s="326"/>
      <c r="EX77" s="326"/>
      <c r="EY77" s="326"/>
      <c r="EZ77" s="326"/>
      <c r="FA77" s="326"/>
      <c r="FB77" s="326"/>
      <c r="FC77" s="326"/>
      <c r="FD77" s="326"/>
      <c r="FE77" s="326"/>
      <c r="FF77" s="326"/>
      <c r="FG77" s="326"/>
      <c r="FH77" s="326"/>
      <c r="FI77" s="326"/>
      <c r="FJ77" s="326"/>
      <c r="FK77" s="326"/>
      <c r="FL77" s="326"/>
      <c r="FM77" s="326"/>
      <c r="FN77" s="326"/>
      <c r="FO77" s="326"/>
      <c r="FP77" s="326"/>
      <c r="FQ77" s="326"/>
      <c r="FR77" s="326"/>
      <c r="FS77" s="326"/>
      <c r="FT77" s="326"/>
      <c r="FU77" s="326"/>
      <c r="FV77" s="326"/>
      <c r="FW77" s="326"/>
      <c r="FX77" s="326"/>
      <c r="FY77" s="326"/>
      <c r="FZ77" s="326"/>
      <c r="GA77" s="326"/>
      <c r="GB77" s="326"/>
      <c r="GC77" s="326"/>
      <c r="GD77" s="326"/>
      <c r="GE77" s="326"/>
      <c r="GF77" s="326"/>
      <c r="GG77" s="326"/>
      <c r="GH77" s="326"/>
      <c r="GI77" s="326"/>
      <c r="GJ77" s="326"/>
      <c r="GK77" s="326"/>
      <c r="GL77" s="326"/>
      <c r="GM77" s="326"/>
      <c r="GN77" s="326"/>
      <c r="GO77" s="326"/>
      <c r="GP77" s="326"/>
      <c r="GQ77" s="326"/>
      <c r="GR77" s="326"/>
      <c r="GS77" s="326"/>
      <c r="GT77" s="326"/>
      <c r="GU77" s="326"/>
      <c r="GV77" s="326"/>
      <c r="GW77" s="326"/>
      <c r="GX77" s="326"/>
      <c r="GY77" s="326"/>
      <c r="GZ77" s="326"/>
      <c r="HA77" s="326"/>
      <c r="HB77" s="326"/>
      <c r="HC77" s="326"/>
      <c r="HD77" s="326"/>
      <c r="HE77" s="326"/>
      <c r="HF77" s="326"/>
      <c r="HG77" s="326"/>
      <c r="HH77" s="326"/>
      <c r="HI77" s="326"/>
      <c r="HJ77" s="326"/>
      <c r="HK77" s="326"/>
      <c r="HL77" s="326"/>
      <c r="HM77" s="326"/>
      <c r="HN77" s="326"/>
      <c r="HO77" s="326"/>
      <c r="HP77" s="326"/>
      <c r="HQ77" s="326"/>
      <c r="HR77" s="326"/>
      <c r="HS77" s="326"/>
      <c r="HT77" s="326"/>
      <c r="HU77" s="326"/>
      <c r="HV77" s="326"/>
      <c r="HW77" s="326"/>
      <c r="HX77" s="326"/>
      <c r="HY77" s="326"/>
      <c r="HZ77" s="326"/>
      <c r="IA77" s="326"/>
      <c r="IB77" s="326"/>
      <c r="IC77" s="326"/>
      <c r="ID77" s="326"/>
      <c r="IE77" s="326"/>
      <c r="IF77" s="326"/>
      <c r="IG77" s="326"/>
      <c r="IH77" s="326"/>
      <c r="II77" s="326"/>
      <c r="IJ77" s="326"/>
      <c r="IK77" s="326"/>
      <c r="IL77" s="326"/>
      <c r="IM77" s="326"/>
      <c r="IN77" s="326"/>
      <c r="IO77" s="326"/>
      <c r="IP77" s="326"/>
      <c r="IQ77" s="326"/>
      <c r="IR77" s="326"/>
      <c r="IS77" s="326"/>
      <c r="IT77" s="326"/>
      <c r="IU77" s="326"/>
      <c r="IV77" s="326"/>
    </row>
    <row r="78" spans="1:256" s="560" customFormat="1" ht="18" customHeight="1">
      <c r="A78" s="574">
        <v>69</v>
      </c>
      <c r="B78" s="568"/>
      <c r="C78" s="327"/>
      <c r="D78" s="483" t="s">
        <v>938</v>
      </c>
      <c r="E78" s="335"/>
      <c r="F78" s="564"/>
      <c r="G78" s="336"/>
      <c r="H78" s="773"/>
      <c r="I78" s="788"/>
      <c r="J78" s="784"/>
      <c r="K78" s="561">
        <v>1500</v>
      </c>
      <c r="L78" s="561"/>
      <c r="M78" s="561"/>
      <c r="N78" s="561"/>
      <c r="O78" s="569">
        <f>SUM(I78:N78)</f>
        <v>1500</v>
      </c>
      <c r="P78" s="565"/>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c r="EI78" s="326"/>
      <c r="EJ78" s="326"/>
      <c r="EK78" s="326"/>
      <c r="EL78" s="326"/>
      <c r="EM78" s="326"/>
      <c r="EN78" s="326"/>
      <c r="EO78" s="326"/>
      <c r="EP78" s="326"/>
      <c r="EQ78" s="326"/>
      <c r="ER78" s="326"/>
      <c r="ES78" s="326"/>
      <c r="ET78" s="326"/>
      <c r="EU78" s="326"/>
      <c r="EV78" s="326"/>
      <c r="EW78" s="326"/>
      <c r="EX78" s="326"/>
      <c r="EY78" s="326"/>
      <c r="EZ78" s="326"/>
      <c r="FA78" s="326"/>
      <c r="FB78" s="326"/>
      <c r="FC78" s="326"/>
      <c r="FD78" s="326"/>
      <c r="FE78" s="326"/>
      <c r="FF78" s="326"/>
      <c r="FG78" s="326"/>
      <c r="FH78" s="326"/>
      <c r="FI78" s="326"/>
      <c r="FJ78" s="326"/>
      <c r="FK78" s="326"/>
      <c r="FL78" s="326"/>
      <c r="FM78" s="326"/>
      <c r="FN78" s="326"/>
      <c r="FO78" s="326"/>
      <c r="FP78" s="326"/>
      <c r="FQ78" s="326"/>
      <c r="FR78" s="326"/>
      <c r="FS78" s="326"/>
      <c r="FT78" s="326"/>
      <c r="FU78" s="326"/>
      <c r="FV78" s="326"/>
      <c r="FW78" s="326"/>
      <c r="FX78" s="326"/>
      <c r="FY78" s="326"/>
      <c r="FZ78" s="326"/>
      <c r="GA78" s="326"/>
      <c r="GB78" s="326"/>
      <c r="GC78" s="326"/>
      <c r="GD78" s="326"/>
      <c r="GE78" s="326"/>
      <c r="GF78" s="326"/>
      <c r="GG78" s="326"/>
      <c r="GH78" s="326"/>
      <c r="GI78" s="326"/>
      <c r="GJ78" s="326"/>
      <c r="GK78" s="326"/>
      <c r="GL78" s="326"/>
      <c r="GM78" s="326"/>
      <c r="GN78" s="326"/>
      <c r="GO78" s="326"/>
      <c r="GP78" s="326"/>
      <c r="GQ78" s="326"/>
      <c r="GR78" s="326"/>
      <c r="GS78" s="326"/>
      <c r="GT78" s="326"/>
      <c r="GU78" s="326"/>
      <c r="GV78" s="326"/>
      <c r="GW78" s="326"/>
      <c r="GX78" s="326"/>
      <c r="GY78" s="326"/>
      <c r="GZ78" s="326"/>
      <c r="HA78" s="326"/>
      <c r="HB78" s="326"/>
      <c r="HC78" s="326"/>
      <c r="HD78" s="326"/>
      <c r="HE78" s="326"/>
      <c r="HF78" s="326"/>
      <c r="HG78" s="326"/>
      <c r="HH78" s="326"/>
      <c r="HI78" s="326"/>
      <c r="HJ78" s="326"/>
      <c r="HK78" s="326"/>
      <c r="HL78" s="326"/>
      <c r="HM78" s="326"/>
      <c r="HN78" s="326"/>
      <c r="HO78" s="326"/>
      <c r="HP78" s="326"/>
      <c r="HQ78" s="326"/>
      <c r="HR78" s="326"/>
      <c r="HS78" s="326"/>
      <c r="HT78" s="326"/>
      <c r="HU78" s="326"/>
      <c r="HV78" s="326"/>
      <c r="HW78" s="326"/>
      <c r="HX78" s="326"/>
      <c r="HY78" s="326"/>
      <c r="HZ78" s="326"/>
      <c r="IA78" s="326"/>
      <c r="IB78" s="326"/>
      <c r="IC78" s="326"/>
      <c r="ID78" s="326"/>
      <c r="IE78" s="326"/>
      <c r="IF78" s="326"/>
      <c r="IG78" s="326"/>
      <c r="IH78" s="326"/>
      <c r="II78" s="326"/>
      <c r="IJ78" s="326"/>
      <c r="IK78" s="326"/>
      <c r="IL78" s="326"/>
      <c r="IM78" s="326"/>
      <c r="IN78" s="326"/>
      <c r="IO78" s="326"/>
      <c r="IP78" s="326"/>
      <c r="IQ78" s="326"/>
      <c r="IR78" s="326"/>
      <c r="IS78" s="326"/>
      <c r="IT78" s="326"/>
      <c r="IU78" s="326"/>
      <c r="IV78" s="326"/>
    </row>
    <row r="79" spans="1:256" s="560" customFormat="1" ht="18" customHeight="1">
      <c r="A79" s="574">
        <v>70</v>
      </c>
      <c r="B79" s="568"/>
      <c r="C79" s="327"/>
      <c r="D79" s="1146" t="s">
        <v>674</v>
      </c>
      <c r="E79" s="335"/>
      <c r="F79" s="564"/>
      <c r="G79" s="336"/>
      <c r="H79" s="773"/>
      <c r="I79" s="788"/>
      <c r="J79" s="784"/>
      <c r="K79" s="784"/>
      <c r="L79" s="784"/>
      <c r="M79" s="784"/>
      <c r="N79" s="784"/>
      <c r="O79" s="1327">
        <f>SUM(I79:N79)</f>
        <v>0</v>
      </c>
      <c r="P79" s="565"/>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c r="EI79" s="326"/>
      <c r="EJ79" s="326"/>
      <c r="EK79" s="326"/>
      <c r="EL79" s="326"/>
      <c r="EM79" s="326"/>
      <c r="EN79" s="326"/>
      <c r="EO79" s="326"/>
      <c r="EP79" s="326"/>
      <c r="EQ79" s="326"/>
      <c r="ER79" s="326"/>
      <c r="ES79" s="326"/>
      <c r="ET79" s="326"/>
      <c r="EU79" s="326"/>
      <c r="EV79" s="326"/>
      <c r="EW79" s="326"/>
      <c r="EX79" s="326"/>
      <c r="EY79" s="326"/>
      <c r="EZ79" s="326"/>
      <c r="FA79" s="326"/>
      <c r="FB79" s="326"/>
      <c r="FC79" s="326"/>
      <c r="FD79" s="326"/>
      <c r="FE79" s="326"/>
      <c r="FF79" s="326"/>
      <c r="FG79" s="326"/>
      <c r="FH79" s="326"/>
      <c r="FI79" s="326"/>
      <c r="FJ79" s="326"/>
      <c r="FK79" s="326"/>
      <c r="FL79" s="326"/>
      <c r="FM79" s="326"/>
      <c r="FN79" s="326"/>
      <c r="FO79" s="326"/>
      <c r="FP79" s="326"/>
      <c r="FQ79" s="326"/>
      <c r="FR79" s="326"/>
      <c r="FS79" s="326"/>
      <c r="FT79" s="326"/>
      <c r="FU79" s="326"/>
      <c r="FV79" s="326"/>
      <c r="FW79" s="326"/>
      <c r="FX79" s="326"/>
      <c r="FY79" s="326"/>
      <c r="FZ79" s="326"/>
      <c r="GA79" s="326"/>
      <c r="GB79" s="326"/>
      <c r="GC79" s="326"/>
      <c r="GD79" s="326"/>
      <c r="GE79" s="326"/>
      <c r="GF79" s="326"/>
      <c r="GG79" s="326"/>
      <c r="GH79" s="326"/>
      <c r="GI79" s="326"/>
      <c r="GJ79" s="326"/>
      <c r="GK79" s="326"/>
      <c r="GL79" s="326"/>
      <c r="GM79" s="326"/>
      <c r="GN79" s="326"/>
      <c r="GO79" s="326"/>
      <c r="GP79" s="326"/>
      <c r="GQ79" s="326"/>
      <c r="GR79" s="326"/>
      <c r="GS79" s="326"/>
      <c r="GT79" s="326"/>
      <c r="GU79" s="326"/>
      <c r="GV79" s="326"/>
      <c r="GW79" s="326"/>
      <c r="GX79" s="326"/>
      <c r="GY79" s="326"/>
      <c r="GZ79" s="326"/>
      <c r="HA79" s="326"/>
      <c r="HB79" s="326"/>
      <c r="HC79" s="326"/>
      <c r="HD79" s="326"/>
      <c r="HE79" s="326"/>
      <c r="HF79" s="326"/>
      <c r="HG79" s="326"/>
      <c r="HH79" s="326"/>
      <c r="HI79" s="326"/>
      <c r="HJ79" s="326"/>
      <c r="HK79" s="326"/>
      <c r="HL79" s="326"/>
      <c r="HM79" s="326"/>
      <c r="HN79" s="326"/>
      <c r="HO79" s="326"/>
      <c r="HP79" s="326"/>
      <c r="HQ79" s="326"/>
      <c r="HR79" s="326"/>
      <c r="HS79" s="326"/>
      <c r="HT79" s="326"/>
      <c r="HU79" s="326"/>
      <c r="HV79" s="326"/>
      <c r="HW79" s="326"/>
      <c r="HX79" s="326"/>
      <c r="HY79" s="326"/>
      <c r="HZ79" s="326"/>
      <c r="IA79" s="326"/>
      <c r="IB79" s="326"/>
      <c r="IC79" s="326"/>
      <c r="ID79" s="326"/>
      <c r="IE79" s="326"/>
      <c r="IF79" s="326"/>
      <c r="IG79" s="326"/>
      <c r="IH79" s="326"/>
      <c r="II79" s="326"/>
      <c r="IJ79" s="326"/>
      <c r="IK79" s="326"/>
      <c r="IL79" s="326"/>
      <c r="IM79" s="326"/>
      <c r="IN79" s="326"/>
      <c r="IO79" s="326"/>
      <c r="IP79" s="326"/>
      <c r="IQ79" s="326"/>
      <c r="IR79" s="326"/>
      <c r="IS79" s="326"/>
      <c r="IT79" s="326"/>
      <c r="IU79" s="326"/>
      <c r="IV79" s="326"/>
    </row>
    <row r="80" spans="1:256" s="560" customFormat="1" ht="18" customHeight="1">
      <c r="A80" s="574">
        <v>71</v>
      </c>
      <c r="B80" s="568"/>
      <c r="C80" s="327"/>
      <c r="D80" s="483" t="s">
        <v>1091</v>
      </c>
      <c r="E80" s="335"/>
      <c r="F80" s="564"/>
      <c r="G80" s="336"/>
      <c r="H80" s="773"/>
      <c r="I80" s="788"/>
      <c r="J80" s="784"/>
      <c r="K80" s="561">
        <f>SUM(K78:K79)</f>
        <v>1500</v>
      </c>
      <c r="L80" s="784"/>
      <c r="M80" s="784"/>
      <c r="N80" s="784"/>
      <c r="O80" s="569">
        <f>SUM(I80:N80)</f>
        <v>1500</v>
      </c>
      <c r="P80" s="565"/>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c r="EI80" s="326"/>
      <c r="EJ80" s="326"/>
      <c r="EK80" s="326"/>
      <c r="EL80" s="326"/>
      <c r="EM80" s="326"/>
      <c r="EN80" s="326"/>
      <c r="EO80" s="326"/>
      <c r="EP80" s="326"/>
      <c r="EQ80" s="326"/>
      <c r="ER80" s="326"/>
      <c r="ES80" s="326"/>
      <c r="ET80" s="326"/>
      <c r="EU80" s="326"/>
      <c r="EV80" s="326"/>
      <c r="EW80" s="326"/>
      <c r="EX80" s="326"/>
      <c r="EY80" s="326"/>
      <c r="EZ80" s="326"/>
      <c r="FA80" s="326"/>
      <c r="FB80" s="326"/>
      <c r="FC80" s="326"/>
      <c r="FD80" s="326"/>
      <c r="FE80" s="326"/>
      <c r="FF80" s="326"/>
      <c r="FG80" s="326"/>
      <c r="FH80" s="326"/>
      <c r="FI80" s="326"/>
      <c r="FJ80" s="326"/>
      <c r="FK80" s="326"/>
      <c r="FL80" s="326"/>
      <c r="FM80" s="326"/>
      <c r="FN80" s="326"/>
      <c r="FO80" s="326"/>
      <c r="FP80" s="326"/>
      <c r="FQ80" s="326"/>
      <c r="FR80" s="326"/>
      <c r="FS80" s="326"/>
      <c r="FT80" s="326"/>
      <c r="FU80" s="326"/>
      <c r="FV80" s="326"/>
      <c r="FW80" s="326"/>
      <c r="FX80" s="326"/>
      <c r="FY80" s="326"/>
      <c r="FZ80" s="326"/>
      <c r="GA80" s="326"/>
      <c r="GB80" s="326"/>
      <c r="GC80" s="326"/>
      <c r="GD80" s="326"/>
      <c r="GE80" s="326"/>
      <c r="GF80" s="326"/>
      <c r="GG80" s="326"/>
      <c r="GH80" s="326"/>
      <c r="GI80" s="326"/>
      <c r="GJ80" s="326"/>
      <c r="GK80" s="326"/>
      <c r="GL80" s="326"/>
      <c r="GM80" s="326"/>
      <c r="GN80" s="326"/>
      <c r="GO80" s="326"/>
      <c r="GP80" s="326"/>
      <c r="GQ80" s="326"/>
      <c r="GR80" s="326"/>
      <c r="GS80" s="326"/>
      <c r="GT80" s="326"/>
      <c r="GU80" s="326"/>
      <c r="GV80" s="326"/>
      <c r="GW80" s="326"/>
      <c r="GX80" s="326"/>
      <c r="GY80" s="326"/>
      <c r="GZ80" s="326"/>
      <c r="HA80" s="326"/>
      <c r="HB80" s="326"/>
      <c r="HC80" s="326"/>
      <c r="HD80" s="326"/>
      <c r="HE80" s="326"/>
      <c r="HF80" s="326"/>
      <c r="HG80" s="326"/>
      <c r="HH80" s="326"/>
      <c r="HI80" s="326"/>
      <c r="HJ80" s="326"/>
      <c r="HK80" s="326"/>
      <c r="HL80" s="326"/>
      <c r="HM80" s="326"/>
      <c r="HN80" s="326"/>
      <c r="HO80" s="326"/>
      <c r="HP80" s="326"/>
      <c r="HQ80" s="326"/>
      <c r="HR80" s="326"/>
      <c r="HS80" s="326"/>
      <c r="HT80" s="326"/>
      <c r="HU80" s="326"/>
      <c r="HV80" s="326"/>
      <c r="HW80" s="326"/>
      <c r="HX80" s="326"/>
      <c r="HY80" s="326"/>
      <c r="HZ80" s="326"/>
      <c r="IA80" s="326"/>
      <c r="IB80" s="326"/>
      <c r="IC80" s="326"/>
      <c r="ID80" s="326"/>
      <c r="IE80" s="326"/>
      <c r="IF80" s="326"/>
      <c r="IG80" s="326"/>
      <c r="IH80" s="326"/>
      <c r="II80" s="326"/>
      <c r="IJ80" s="326"/>
      <c r="IK80" s="326"/>
      <c r="IL80" s="326"/>
      <c r="IM80" s="326"/>
      <c r="IN80" s="326"/>
      <c r="IO80" s="326"/>
      <c r="IP80" s="326"/>
      <c r="IQ80" s="326"/>
      <c r="IR80" s="326"/>
      <c r="IS80" s="326"/>
      <c r="IT80" s="326"/>
      <c r="IU80" s="326"/>
      <c r="IV80" s="326"/>
    </row>
    <row r="81" spans="1:256" s="560" customFormat="1" ht="22.5" customHeight="1">
      <c r="A81" s="574">
        <v>72</v>
      </c>
      <c r="B81" s="568"/>
      <c r="C81" s="366">
        <v>15</v>
      </c>
      <c r="D81" s="572" t="s">
        <v>474</v>
      </c>
      <c r="E81" s="335"/>
      <c r="F81" s="564"/>
      <c r="G81" s="336"/>
      <c r="H81" s="773" t="s">
        <v>23</v>
      </c>
      <c r="I81" s="788"/>
      <c r="J81" s="784"/>
      <c r="K81" s="784"/>
      <c r="L81" s="784"/>
      <c r="M81" s="784"/>
      <c r="N81" s="784"/>
      <c r="O81" s="758"/>
      <c r="P81" s="565"/>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326"/>
      <c r="DW81" s="326"/>
      <c r="DX81" s="326"/>
      <c r="DY81" s="326"/>
      <c r="DZ81" s="326"/>
      <c r="EA81" s="326"/>
      <c r="EB81" s="326"/>
      <c r="EC81" s="326"/>
      <c r="ED81" s="326"/>
      <c r="EE81" s="326"/>
      <c r="EF81" s="326"/>
      <c r="EG81" s="326"/>
      <c r="EH81" s="326"/>
      <c r="EI81" s="326"/>
      <c r="EJ81" s="326"/>
      <c r="EK81" s="326"/>
      <c r="EL81" s="326"/>
      <c r="EM81" s="326"/>
      <c r="EN81" s="326"/>
      <c r="EO81" s="326"/>
      <c r="EP81" s="326"/>
      <c r="EQ81" s="326"/>
      <c r="ER81" s="326"/>
      <c r="ES81" s="326"/>
      <c r="ET81" s="326"/>
      <c r="EU81" s="326"/>
      <c r="EV81" s="326"/>
      <c r="EW81" s="326"/>
      <c r="EX81" s="326"/>
      <c r="EY81" s="326"/>
      <c r="EZ81" s="326"/>
      <c r="FA81" s="326"/>
      <c r="FB81" s="326"/>
      <c r="FC81" s="326"/>
      <c r="FD81" s="326"/>
      <c r="FE81" s="326"/>
      <c r="FF81" s="326"/>
      <c r="FG81" s="326"/>
      <c r="FH81" s="326"/>
      <c r="FI81" s="326"/>
      <c r="FJ81" s="326"/>
      <c r="FK81" s="326"/>
      <c r="FL81" s="326"/>
      <c r="FM81" s="326"/>
      <c r="FN81" s="326"/>
      <c r="FO81" s="326"/>
      <c r="FP81" s="326"/>
      <c r="FQ81" s="326"/>
      <c r="FR81" s="326"/>
      <c r="FS81" s="326"/>
      <c r="FT81" s="326"/>
      <c r="FU81" s="326"/>
      <c r="FV81" s="326"/>
      <c r="FW81" s="326"/>
      <c r="FX81" s="326"/>
      <c r="FY81" s="326"/>
      <c r="FZ81" s="326"/>
      <c r="GA81" s="326"/>
      <c r="GB81" s="326"/>
      <c r="GC81" s="326"/>
      <c r="GD81" s="326"/>
      <c r="GE81" s="326"/>
      <c r="GF81" s="326"/>
      <c r="GG81" s="326"/>
      <c r="GH81" s="326"/>
      <c r="GI81" s="326"/>
      <c r="GJ81" s="326"/>
      <c r="GK81" s="326"/>
      <c r="GL81" s="326"/>
      <c r="GM81" s="326"/>
      <c r="GN81" s="326"/>
      <c r="GO81" s="326"/>
      <c r="GP81" s="326"/>
      <c r="GQ81" s="326"/>
      <c r="GR81" s="326"/>
      <c r="GS81" s="326"/>
      <c r="GT81" s="326"/>
      <c r="GU81" s="326"/>
      <c r="GV81" s="326"/>
      <c r="GW81" s="326"/>
      <c r="GX81" s="326"/>
      <c r="GY81" s="326"/>
      <c r="GZ81" s="326"/>
      <c r="HA81" s="326"/>
      <c r="HB81" s="326"/>
      <c r="HC81" s="326"/>
      <c r="HD81" s="326"/>
      <c r="HE81" s="326"/>
      <c r="HF81" s="326"/>
      <c r="HG81" s="326"/>
      <c r="HH81" s="326"/>
      <c r="HI81" s="326"/>
      <c r="HJ81" s="326"/>
      <c r="HK81" s="326"/>
      <c r="HL81" s="326"/>
      <c r="HM81" s="326"/>
      <c r="HN81" s="326"/>
      <c r="HO81" s="326"/>
      <c r="HP81" s="326"/>
      <c r="HQ81" s="326"/>
      <c r="HR81" s="326"/>
      <c r="HS81" s="326"/>
      <c r="HT81" s="326"/>
      <c r="HU81" s="326"/>
      <c r="HV81" s="326"/>
      <c r="HW81" s="326"/>
      <c r="HX81" s="326"/>
      <c r="HY81" s="326"/>
      <c r="HZ81" s="326"/>
      <c r="IA81" s="326"/>
      <c r="IB81" s="326"/>
      <c r="IC81" s="326"/>
      <c r="ID81" s="326"/>
      <c r="IE81" s="326"/>
      <c r="IF81" s="326"/>
      <c r="IG81" s="326"/>
      <c r="IH81" s="326"/>
      <c r="II81" s="326"/>
      <c r="IJ81" s="326"/>
      <c r="IK81" s="326"/>
      <c r="IL81" s="326"/>
      <c r="IM81" s="326"/>
      <c r="IN81" s="326"/>
      <c r="IO81" s="326"/>
      <c r="IP81" s="326"/>
      <c r="IQ81" s="326"/>
      <c r="IR81" s="326"/>
      <c r="IS81" s="326"/>
      <c r="IT81" s="326"/>
      <c r="IU81" s="326"/>
      <c r="IV81" s="326"/>
    </row>
    <row r="82" spans="1:256" s="560" customFormat="1" ht="18" customHeight="1">
      <c r="A82" s="574">
        <v>73</v>
      </c>
      <c r="B82" s="568"/>
      <c r="C82" s="327"/>
      <c r="D82" s="1324" t="s">
        <v>283</v>
      </c>
      <c r="E82" s="335">
        <f>F82+G82+O85+P82</f>
        <v>5521</v>
      </c>
      <c r="F82" s="564"/>
      <c r="G82" s="336"/>
      <c r="H82" s="773"/>
      <c r="I82" s="788"/>
      <c r="J82" s="784"/>
      <c r="K82" s="784">
        <v>79</v>
      </c>
      <c r="L82" s="784"/>
      <c r="M82" s="784">
        <v>5442</v>
      </c>
      <c r="N82" s="784"/>
      <c r="O82" s="758">
        <f>SUM(I82:N82)</f>
        <v>5521</v>
      </c>
      <c r="P82" s="565"/>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326"/>
      <c r="CM82" s="326"/>
      <c r="CN82" s="326"/>
      <c r="CO82" s="326"/>
      <c r="CP82" s="326"/>
      <c r="CQ82" s="326"/>
      <c r="CR82" s="326"/>
      <c r="CS82" s="326"/>
      <c r="CT82" s="326"/>
      <c r="CU82" s="326"/>
      <c r="CV82" s="326"/>
      <c r="CW82" s="326"/>
      <c r="CX82" s="326"/>
      <c r="CY82" s="326"/>
      <c r="CZ82" s="326"/>
      <c r="DA82" s="326"/>
      <c r="DB82" s="326"/>
      <c r="DC82" s="326"/>
      <c r="DD82" s="326"/>
      <c r="DE82" s="326"/>
      <c r="DF82" s="326"/>
      <c r="DG82" s="326"/>
      <c r="DH82" s="326"/>
      <c r="DI82" s="326"/>
      <c r="DJ82" s="326"/>
      <c r="DK82" s="326"/>
      <c r="DL82" s="326"/>
      <c r="DM82" s="326"/>
      <c r="DN82" s="326"/>
      <c r="DO82" s="326"/>
      <c r="DP82" s="326"/>
      <c r="DQ82" s="326"/>
      <c r="DR82" s="326"/>
      <c r="DS82" s="326"/>
      <c r="DT82" s="326"/>
      <c r="DU82" s="326"/>
      <c r="DV82" s="326"/>
      <c r="DW82" s="326"/>
      <c r="DX82" s="326"/>
      <c r="DY82" s="326"/>
      <c r="DZ82" s="326"/>
      <c r="EA82" s="326"/>
      <c r="EB82" s="326"/>
      <c r="EC82" s="326"/>
      <c r="ED82" s="326"/>
      <c r="EE82" s="326"/>
      <c r="EF82" s="326"/>
      <c r="EG82" s="326"/>
      <c r="EH82" s="326"/>
      <c r="EI82" s="326"/>
      <c r="EJ82" s="326"/>
      <c r="EK82" s="326"/>
      <c r="EL82" s="326"/>
      <c r="EM82" s="326"/>
      <c r="EN82" s="326"/>
      <c r="EO82" s="326"/>
      <c r="EP82" s="326"/>
      <c r="EQ82" s="326"/>
      <c r="ER82" s="326"/>
      <c r="ES82" s="326"/>
      <c r="ET82" s="326"/>
      <c r="EU82" s="326"/>
      <c r="EV82" s="326"/>
      <c r="EW82" s="326"/>
      <c r="EX82" s="326"/>
      <c r="EY82" s="326"/>
      <c r="EZ82" s="326"/>
      <c r="FA82" s="326"/>
      <c r="FB82" s="326"/>
      <c r="FC82" s="326"/>
      <c r="FD82" s="326"/>
      <c r="FE82" s="326"/>
      <c r="FF82" s="326"/>
      <c r="FG82" s="326"/>
      <c r="FH82" s="326"/>
      <c r="FI82" s="326"/>
      <c r="FJ82" s="326"/>
      <c r="FK82" s="326"/>
      <c r="FL82" s="326"/>
      <c r="FM82" s="326"/>
      <c r="FN82" s="326"/>
      <c r="FO82" s="326"/>
      <c r="FP82" s="326"/>
      <c r="FQ82" s="326"/>
      <c r="FR82" s="326"/>
      <c r="FS82" s="326"/>
      <c r="FT82" s="326"/>
      <c r="FU82" s="326"/>
      <c r="FV82" s="326"/>
      <c r="FW82" s="326"/>
      <c r="FX82" s="326"/>
      <c r="FY82" s="326"/>
      <c r="FZ82" s="326"/>
      <c r="GA82" s="326"/>
      <c r="GB82" s="326"/>
      <c r="GC82" s="326"/>
      <c r="GD82" s="326"/>
      <c r="GE82" s="326"/>
      <c r="GF82" s="326"/>
      <c r="GG82" s="326"/>
      <c r="GH82" s="326"/>
      <c r="GI82" s="326"/>
      <c r="GJ82" s="326"/>
      <c r="GK82" s="326"/>
      <c r="GL82" s="326"/>
      <c r="GM82" s="326"/>
      <c r="GN82" s="326"/>
      <c r="GO82" s="326"/>
      <c r="GP82" s="326"/>
      <c r="GQ82" s="326"/>
      <c r="GR82" s="326"/>
      <c r="GS82" s="326"/>
      <c r="GT82" s="326"/>
      <c r="GU82" s="326"/>
      <c r="GV82" s="326"/>
      <c r="GW82" s="326"/>
      <c r="GX82" s="326"/>
      <c r="GY82" s="326"/>
      <c r="GZ82" s="326"/>
      <c r="HA82" s="326"/>
      <c r="HB82" s="326"/>
      <c r="HC82" s="326"/>
      <c r="HD82" s="326"/>
      <c r="HE82" s="326"/>
      <c r="HF82" s="326"/>
      <c r="HG82" s="326"/>
      <c r="HH82" s="326"/>
      <c r="HI82" s="326"/>
      <c r="HJ82" s="326"/>
      <c r="HK82" s="326"/>
      <c r="HL82" s="326"/>
      <c r="HM82" s="326"/>
      <c r="HN82" s="326"/>
      <c r="HO82" s="326"/>
      <c r="HP82" s="326"/>
      <c r="HQ82" s="326"/>
      <c r="HR82" s="326"/>
      <c r="HS82" s="326"/>
      <c r="HT82" s="326"/>
      <c r="HU82" s="326"/>
      <c r="HV82" s="326"/>
      <c r="HW82" s="326"/>
      <c r="HX82" s="326"/>
      <c r="HY82" s="326"/>
      <c r="HZ82" s="326"/>
      <c r="IA82" s="326"/>
      <c r="IB82" s="326"/>
      <c r="IC82" s="326"/>
      <c r="ID82" s="326"/>
      <c r="IE82" s="326"/>
      <c r="IF82" s="326"/>
      <c r="IG82" s="326"/>
      <c r="IH82" s="326"/>
      <c r="II82" s="326"/>
      <c r="IJ82" s="326"/>
      <c r="IK82" s="326"/>
      <c r="IL82" s="326"/>
      <c r="IM82" s="326"/>
      <c r="IN82" s="326"/>
      <c r="IO82" s="326"/>
      <c r="IP82" s="326"/>
      <c r="IQ82" s="326"/>
      <c r="IR82" s="326"/>
      <c r="IS82" s="326"/>
      <c r="IT82" s="326"/>
      <c r="IU82" s="326"/>
      <c r="IV82" s="326"/>
    </row>
    <row r="83" spans="1:256" s="560" customFormat="1" ht="18" customHeight="1">
      <c r="A83" s="574">
        <v>74</v>
      </c>
      <c r="B83" s="568"/>
      <c r="C83" s="327"/>
      <c r="D83" s="483" t="s">
        <v>938</v>
      </c>
      <c r="E83" s="335"/>
      <c r="F83" s="564"/>
      <c r="G83" s="336"/>
      <c r="H83" s="773"/>
      <c r="I83" s="788"/>
      <c r="J83" s="784"/>
      <c r="K83" s="561">
        <v>79</v>
      </c>
      <c r="L83" s="561"/>
      <c r="M83" s="561">
        <v>5442</v>
      </c>
      <c r="N83" s="561"/>
      <c r="O83" s="569">
        <f>SUM(I83:N83)</f>
        <v>5521</v>
      </c>
      <c r="P83" s="565"/>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c r="EI83" s="326"/>
      <c r="EJ83" s="326"/>
      <c r="EK83" s="326"/>
      <c r="EL83" s="326"/>
      <c r="EM83" s="326"/>
      <c r="EN83" s="326"/>
      <c r="EO83" s="326"/>
      <c r="EP83" s="326"/>
      <c r="EQ83" s="326"/>
      <c r="ER83" s="326"/>
      <c r="ES83" s="326"/>
      <c r="ET83" s="326"/>
      <c r="EU83" s="326"/>
      <c r="EV83" s="326"/>
      <c r="EW83" s="326"/>
      <c r="EX83" s="326"/>
      <c r="EY83" s="326"/>
      <c r="EZ83" s="326"/>
      <c r="FA83" s="326"/>
      <c r="FB83" s="326"/>
      <c r="FC83" s="326"/>
      <c r="FD83" s="326"/>
      <c r="FE83" s="326"/>
      <c r="FF83" s="326"/>
      <c r="FG83" s="326"/>
      <c r="FH83" s="326"/>
      <c r="FI83" s="326"/>
      <c r="FJ83" s="326"/>
      <c r="FK83" s="326"/>
      <c r="FL83" s="326"/>
      <c r="FM83" s="326"/>
      <c r="FN83" s="326"/>
      <c r="FO83" s="326"/>
      <c r="FP83" s="326"/>
      <c r="FQ83" s="326"/>
      <c r="FR83" s="326"/>
      <c r="FS83" s="326"/>
      <c r="FT83" s="326"/>
      <c r="FU83" s="326"/>
      <c r="FV83" s="326"/>
      <c r="FW83" s="326"/>
      <c r="FX83" s="326"/>
      <c r="FY83" s="326"/>
      <c r="FZ83" s="326"/>
      <c r="GA83" s="326"/>
      <c r="GB83" s="326"/>
      <c r="GC83" s="326"/>
      <c r="GD83" s="326"/>
      <c r="GE83" s="326"/>
      <c r="GF83" s="326"/>
      <c r="GG83" s="326"/>
      <c r="GH83" s="326"/>
      <c r="GI83" s="326"/>
      <c r="GJ83" s="326"/>
      <c r="GK83" s="326"/>
      <c r="GL83" s="326"/>
      <c r="GM83" s="326"/>
      <c r="GN83" s="326"/>
      <c r="GO83" s="326"/>
      <c r="GP83" s="326"/>
      <c r="GQ83" s="326"/>
      <c r="GR83" s="326"/>
      <c r="GS83" s="326"/>
      <c r="GT83" s="326"/>
      <c r="GU83" s="326"/>
      <c r="GV83" s="326"/>
      <c r="GW83" s="326"/>
      <c r="GX83" s="326"/>
      <c r="GY83" s="326"/>
      <c r="GZ83" s="326"/>
      <c r="HA83" s="326"/>
      <c r="HB83" s="326"/>
      <c r="HC83" s="326"/>
      <c r="HD83" s="326"/>
      <c r="HE83" s="326"/>
      <c r="HF83" s="326"/>
      <c r="HG83" s="326"/>
      <c r="HH83" s="326"/>
      <c r="HI83" s="326"/>
      <c r="HJ83" s="326"/>
      <c r="HK83" s="326"/>
      <c r="HL83" s="326"/>
      <c r="HM83" s="326"/>
      <c r="HN83" s="326"/>
      <c r="HO83" s="326"/>
      <c r="HP83" s="326"/>
      <c r="HQ83" s="326"/>
      <c r="HR83" s="326"/>
      <c r="HS83" s="326"/>
      <c r="HT83" s="326"/>
      <c r="HU83" s="326"/>
      <c r="HV83" s="326"/>
      <c r="HW83" s="326"/>
      <c r="HX83" s="326"/>
      <c r="HY83" s="326"/>
      <c r="HZ83" s="326"/>
      <c r="IA83" s="326"/>
      <c r="IB83" s="326"/>
      <c r="IC83" s="326"/>
      <c r="ID83" s="326"/>
      <c r="IE83" s="326"/>
      <c r="IF83" s="326"/>
      <c r="IG83" s="326"/>
      <c r="IH83" s="326"/>
      <c r="II83" s="326"/>
      <c r="IJ83" s="326"/>
      <c r="IK83" s="326"/>
      <c r="IL83" s="326"/>
      <c r="IM83" s="326"/>
      <c r="IN83" s="326"/>
      <c r="IO83" s="326"/>
      <c r="IP83" s="326"/>
      <c r="IQ83" s="326"/>
      <c r="IR83" s="326"/>
      <c r="IS83" s="326"/>
      <c r="IT83" s="326"/>
      <c r="IU83" s="326"/>
      <c r="IV83" s="326"/>
    </row>
    <row r="84" spans="1:256" s="560" customFormat="1" ht="18" customHeight="1">
      <c r="A84" s="574">
        <v>75</v>
      </c>
      <c r="B84" s="568"/>
      <c r="C84" s="327"/>
      <c r="D84" s="1146" t="s">
        <v>689</v>
      </c>
      <c r="E84" s="335"/>
      <c r="F84" s="564"/>
      <c r="G84" s="336"/>
      <c r="H84" s="773"/>
      <c r="I84" s="788"/>
      <c r="J84" s="784"/>
      <c r="K84" s="1306">
        <v>-6</v>
      </c>
      <c r="L84" s="1949">
        <v>6</v>
      </c>
      <c r="M84" s="784"/>
      <c r="N84" s="784"/>
      <c r="O84" s="1327">
        <f>SUM(I84:N84)</f>
        <v>0</v>
      </c>
      <c r="P84" s="565"/>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c r="EI84" s="326"/>
      <c r="EJ84" s="326"/>
      <c r="EK84" s="326"/>
      <c r="EL84" s="326"/>
      <c r="EM84" s="326"/>
      <c r="EN84" s="326"/>
      <c r="EO84" s="326"/>
      <c r="EP84" s="326"/>
      <c r="EQ84" s="326"/>
      <c r="ER84" s="326"/>
      <c r="ES84" s="326"/>
      <c r="ET84" s="326"/>
      <c r="EU84" s="326"/>
      <c r="EV84" s="326"/>
      <c r="EW84" s="326"/>
      <c r="EX84" s="326"/>
      <c r="EY84" s="326"/>
      <c r="EZ84" s="326"/>
      <c r="FA84" s="326"/>
      <c r="FB84" s="326"/>
      <c r="FC84" s="326"/>
      <c r="FD84" s="326"/>
      <c r="FE84" s="326"/>
      <c r="FF84" s="326"/>
      <c r="FG84" s="326"/>
      <c r="FH84" s="326"/>
      <c r="FI84" s="326"/>
      <c r="FJ84" s="326"/>
      <c r="FK84" s="326"/>
      <c r="FL84" s="326"/>
      <c r="FM84" s="326"/>
      <c r="FN84" s="326"/>
      <c r="FO84" s="326"/>
      <c r="FP84" s="326"/>
      <c r="FQ84" s="326"/>
      <c r="FR84" s="326"/>
      <c r="FS84" s="326"/>
      <c r="FT84" s="326"/>
      <c r="FU84" s="326"/>
      <c r="FV84" s="326"/>
      <c r="FW84" s="326"/>
      <c r="FX84" s="326"/>
      <c r="FY84" s="326"/>
      <c r="FZ84" s="326"/>
      <c r="GA84" s="326"/>
      <c r="GB84" s="326"/>
      <c r="GC84" s="326"/>
      <c r="GD84" s="326"/>
      <c r="GE84" s="326"/>
      <c r="GF84" s="326"/>
      <c r="GG84" s="326"/>
      <c r="GH84" s="326"/>
      <c r="GI84" s="326"/>
      <c r="GJ84" s="326"/>
      <c r="GK84" s="326"/>
      <c r="GL84" s="326"/>
      <c r="GM84" s="326"/>
      <c r="GN84" s="326"/>
      <c r="GO84" s="326"/>
      <c r="GP84" s="326"/>
      <c r="GQ84" s="326"/>
      <c r="GR84" s="326"/>
      <c r="GS84" s="326"/>
      <c r="GT84" s="326"/>
      <c r="GU84" s="326"/>
      <c r="GV84" s="326"/>
      <c r="GW84" s="326"/>
      <c r="GX84" s="326"/>
      <c r="GY84" s="326"/>
      <c r="GZ84" s="326"/>
      <c r="HA84" s="326"/>
      <c r="HB84" s="326"/>
      <c r="HC84" s="326"/>
      <c r="HD84" s="326"/>
      <c r="HE84" s="326"/>
      <c r="HF84" s="326"/>
      <c r="HG84" s="326"/>
      <c r="HH84" s="326"/>
      <c r="HI84" s="326"/>
      <c r="HJ84" s="326"/>
      <c r="HK84" s="326"/>
      <c r="HL84" s="326"/>
      <c r="HM84" s="326"/>
      <c r="HN84" s="326"/>
      <c r="HO84" s="326"/>
      <c r="HP84" s="326"/>
      <c r="HQ84" s="326"/>
      <c r="HR84" s="326"/>
      <c r="HS84" s="326"/>
      <c r="HT84" s="326"/>
      <c r="HU84" s="326"/>
      <c r="HV84" s="326"/>
      <c r="HW84" s="326"/>
      <c r="HX84" s="326"/>
      <c r="HY84" s="326"/>
      <c r="HZ84" s="326"/>
      <c r="IA84" s="326"/>
      <c r="IB84" s="326"/>
      <c r="IC84" s="326"/>
      <c r="ID84" s="326"/>
      <c r="IE84" s="326"/>
      <c r="IF84" s="326"/>
      <c r="IG84" s="326"/>
      <c r="IH84" s="326"/>
      <c r="II84" s="326"/>
      <c r="IJ84" s="326"/>
      <c r="IK84" s="326"/>
      <c r="IL84" s="326"/>
      <c r="IM84" s="326"/>
      <c r="IN84" s="326"/>
      <c r="IO84" s="326"/>
      <c r="IP84" s="326"/>
      <c r="IQ84" s="326"/>
      <c r="IR84" s="326"/>
      <c r="IS84" s="326"/>
      <c r="IT84" s="326"/>
      <c r="IU84" s="326"/>
      <c r="IV84" s="326"/>
    </row>
    <row r="85" spans="1:256" s="560" customFormat="1" ht="18" customHeight="1">
      <c r="A85" s="574">
        <v>76</v>
      </c>
      <c r="B85" s="568"/>
      <c r="C85" s="327"/>
      <c r="D85" s="483" t="s">
        <v>1091</v>
      </c>
      <c r="E85" s="335"/>
      <c r="F85" s="564"/>
      <c r="G85" s="336"/>
      <c r="H85" s="773"/>
      <c r="I85" s="788"/>
      <c r="J85" s="784"/>
      <c r="K85" s="561">
        <f>SUM(K83:K84)</f>
        <v>73</v>
      </c>
      <c r="L85" s="561">
        <f>SUM(L83:L84)</f>
        <v>6</v>
      </c>
      <c r="M85" s="561">
        <f>SUM(M83:M84)</f>
        <v>5442</v>
      </c>
      <c r="N85" s="784"/>
      <c r="O85" s="569">
        <f>SUM(I85:N85)</f>
        <v>5521</v>
      </c>
      <c r="P85" s="565"/>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c r="BY85" s="326"/>
      <c r="BZ85" s="326"/>
      <c r="CA85" s="326"/>
      <c r="CB85" s="326"/>
      <c r="CC85" s="326"/>
      <c r="CD85" s="326"/>
      <c r="CE85" s="326"/>
      <c r="CF85" s="326"/>
      <c r="CG85" s="326"/>
      <c r="CH85" s="326"/>
      <c r="CI85" s="326"/>
      <c r="CJ85" s="326"/>
      <c r="CK85" s="326"/>
      <c r="CL85" s="326"/>
      <c r="CM85" s="326"/>
      <c r="CN85" s="326"/>
      <c r="CO85" s="326"/>
      <c r="CP85" s="326"/>
      <c r="CQ85" s="326"/>
      <c r="CR85" s="326"/>
      <c r="CS85" s="326"/>
      <c r="CT85" s="326"/>
      <c r="CU85" s="326"/>
      <c r="CV85" s="326"/>
      <c r="CW85" s="326"/>
      <c r="CX85" s="326"/>
      <c r="CY85" s="326"/>
      <c r="CZ85" s="326"/>
      <c r="DA85" s="326"/>
      <c r="DB85" s="326"/>
      <c r="DC85" s="326"/>
      <c r="DD85" s="326"/>
      <c r="DE85" s="326"/>
      <c r="DF85" s="326"/>
      <c r="DG85" s="326"/>
      <c r="DH85" s="326"/>
      <c r="DI85" s="326"/>
      <c r="DJ85" s="326"/>
      <c r="DK85" s="326"/>
      <c r="DL85" s="326"/>
      <c r="DM85" s="326"/>
      <c r="DN85" s="326"/>
      <c r="DO85" s="326"/>
      <c r="DP85" s="326"/>
      <c r="DQ85" s="326"/>
      <c r="DR85" s="326"/>
      <c r="DS85" s="326"/>
      <c r="DT85" s="326"/>
      <c r="DU85" s="326"/>
      <c r="DV85" s="326"/>
      <c r="DW85" s="326"/>
      <c r="DX85" s="326"/>
      <c r="DY85" s="326"/>
      <c r="DZ85" s="326"/>
      <c r="EA85" s="326"/>
      <c r="EB85" s="326"/>
      <c r="EC85" s="326"/>
      <c r="ED85" s="326"/>
      <c r="EE85" s="326"/>
      <c r="EF85" s="326"/>
      <c r="EG85" s="326"/>
      <c r="EH85" s="326"/>
      <c r="EI85" s="326"/>
      <c r="EJ85" s="326"/>
      <c r="EK85" s="326"/>
      <c r="EL85" s="326"/>
      <c r="EM85" s="326"/>
      <c r="EN85" s="326"/>
      <c r="EO85" s="326"/>
      <c r="EP85" s="326"/>
      <c r="EQ85" s="326"/>
      <c r="ER85" s="326"/>
      <c r="ES85" s="326"/>
      <c r="ET85" s="326"/>
      <c r="EU85" s="326"/>
      <c r="EV85" s="326"/>
      <c r="EW85" s="326"/>
      <c r="EX85" s="326"/>
      <c r="EY85" s="326"/>
      <c r="EZ85" s="326"/>
      <c r="FA85" s="326"/>
      <c r="FB85" s="326"/>
      <c r="FC85" s="326"/>
      <c r="FD85" s="326"/>
      <c r="FE85" s="326"/>
      <c r="FF85" s="326"/>
      <c r="FG85" s="326"/>
      <c r="FH85" s="326"/>
      <c r="FI85" s="326"/>
      <c r="FJ85" s="326"/>
      <c r="FK85" s="326"/>
      <c r="FL85" s="326"/>
      <c r="FM85" s="326"/>
      <c r="FN85" s="326"/>
      <c r="FO85" s="326"/>
      <c r="FP85" s="326"/>
      <c r="FQ85" s="326"/>
      <c r="FR85" s="326"/>
      <c r="FS85" s="326"/>
      <c r="FT85" s="326"/>
      <c r="FU85" s="326"/>
      <c r="FV85" s="326"/>
      <c r="FW85" s="326"/>
      <c r="FX85" s="326"/>
      <c r="FY85" s="326"/>
      <c r="FZ85" s="326"/>
      <c r="GA85" s="326"/>
      <c r="GB85" s="326"/>
      <c r="GC85" s="326"/>
      <c r="GD85" s="326"/>
      <c r="GE85" s="326"/>
      <c r="GF85" s="326"/>
      <c r="GG85" s="326"/>
      <c r="GH85" s="326"/>
      <c r="GI85" s="326"/>
      <c r="GJ85" s="326"/>
      <c r="GK85" s="326"/>
      <c r="GL85" s="326"/>
      <c r="GM85" s="326"/>
      <c r="GN85" s="326"/>
      <c r="GO85" s="326"/>
      <c r="GP85" s="326"/>
      <c r="GQ85" s="326"/>
      <c r="GR85" s="326"/>
      <c r="GS85" s="326"/>
      <c r="GT85" s="326"/>
      <c r="GU85" s="326"/>
      <c r="GV85" s="326"/>
      <c r="GW85" s="326"/>
      <c r="GX85" s="326"/>
      <c r="GY85" s="326"/>
      <c r="GZ85" s="326"/>
      <c r="HA85" s="326"/>
      <c r="HB85" s="326"/>
      <c r="HC85" s="326"/>
      <c r="HD85" s="326"/>
      <c r="HE85" s="326"/>
      <c r="HF85" s="326"/>
      <c r="HG85" s="326"/>
      <c r="HH85" s="326"/>
      <c r="HI85" s="326"/>
      <c r="HJ85" s="326"/>
      <c r="HK85" s="326"/>
      <c r="HL85" s="326"/>
      <c r="HM85" s="326"/>
      <c r="HN85" s="326"/>
      <c r="HO85" s="326"/>
      <c r="HP85" s="326"/>
      <c r="HQ85" s="326"/>
      <c r="HR85" s="326"/>
      <c r="HS85" s="326"/>
      <c r="HT85" s="326"/>
      <c r="HU85" s="326"/>
      <c r="HV85" s="326"/>
      <c r="HW85" s="326"/>
      <c r="HX85" s="326"/>
      <c r="HY85" s="326"/>
      <c r="HZ85" s="326"/>
      <c r="IA85" s="326"/>
      <c r="IB85" s="326"/>
      <c r="IC85" s="326"/>
      <c r="ID85" s="326"/>
      <c r="IE85" s="326"/>
      <c r="IF85" s="326"/>
      <c r="IG85" s="326"/>
      <c r="IH85" s="326"/>
      <c r="II85" s="326"/>
      <c r="IJ85" s="326"/>
      <c r="IK85" s="326"/>
      <c r="IL85" s="326"/>
      <c r="IM85" s="326"/>
      <c r="IN85" s="326"/>
      <c r="IO85" s="326"/>
      <c r="IP85" s="326"/>
      <c r="IQ85" s="326"/>
      <c r="IR85" s="326"/>
      <c r="IS85" s="326"/>
      <c r="IT85" s="326"/>
      <c r="IU85" s="326"/>
      <c r="IV85" s="326"/>
    </row>
    <row r="86" spans="1:256" s="560" customFormat="1" ht="22.5" customHeight="1">
      <c r="A86" s="574">
        <v>77</v>
      </c>
      <c r="B86" s="568"/>
      <c r="C86" s="366">
        <v>16</v>
      </c>
      <c r="D86" s="572" t="s">
        <v>597</v>
      </c>
      <c r="E86" s="335"/>
      <c r="F86" s="564"/>
      <c r="G86" s="336"/>
      <c r="H86" s="773" t="s">
        <v>23</v>
      </c>
      <c r="I86" s="788"/>
      <c r="J86" s="784"/>
      <c r="K86" s="784"/>
      <c r="L86" s="784"/>
      <c r="M86" s="784"/>
      <c r="N86" s="784"/>
      <c r="O86" s="758"/>
      <c r="P86" s="565"/>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6"/>
      <c r="BR86" s="326"/>
      <c r="BS86" s="326"/>
      <c r="BT86" s="326"/>
      <c r="BU86" s="326"/>
      <c r="BV86" s="326"/>
      <c r="BW86" s="326"/>
      <c r="BX86" s="326"/>
      <c r="BY86" s="326"/>
      <c r="BZ86" s="326"/>
      <c r="CA86" s="326"/>
      <c r="CB86" s="326"/>
      <c r="CC86" s="326"/>
      <c r="CD86" s="326"/>
      <c r="CE86" s="326"/>
      <c r="CF86" s="326"/>
      <c r="CG86" s="326"/>
      <c r="CH86" s="326"/>
      <c r="CI86" s="326"/>
      <c r="CJ86" s="326"/>
      <c r="CK86" s="326"/>
      <c r="CL86" s="326"/>
      <c r="CM86" s="326"/>
      <c r="CN86" s="326"/>
      <c r="CO86" s="326"/>
      <c r="CP86" s="326"/>
      <c r="CQ86" s="326"/>
      <c r="CR86" s="326"/>
      <c r="CS86" s="326"/>
      <c r="CT86" s="326"/>
      <c r="CU86" s="326"/>
      <c r="CV86" s="326"/>
      <c r="CW86" s="326"/>
      <c r="CX86" s="326"/>
      <c r="CY86" s="326"/>
      <c r="CZ86" s="326"/>
      <c r="DA86" s="326"/>
      <c r="DB86" s="326"/>
      <c r="DC86" s="326"/>
      <c r="DD86" s="326"/>
      <c r="DE86" s="326"/>
      <c r="DF86" s="326"/>
      <c r="DG86" s="326"/>
      <c r="DH86" s="326"/>
      <c r="DI86" s="326"/>
      <c r="DJ86" s="326"/>
      <c r="DK86" s="326"/>
      <c r="DL86" s="326"/>
      <c r="DM86" s="326"/>
      <c r="DN86" s="326"/>
      <c r="DO86" s="326"/>
      <c r="DP86" s="326"/>
      <c r="DQ86" s="326"/>
      <c r="DR86" s="326"/>
      <c r="DS86" s="326"/>
      <c r="DT86" s="326"/>
      <c r="DU86" s="326"/>
      <c r="DV86" s="326"/>
      <c r="DW86" s="326"/>
      <c r="DX86" s="326"/>
      <c r="DY86" s="326"/>
      <c r="DZ86" s="326"/>
      <c r="EA86" s="326"/>
      <c r="EB86" s="326"/>
      <c r="EC86" s="326"/>
      <c r="ED86" s="326"/>
      <c r="EE86" s="326"/>
      <c r="EF86" s="326"/>
      <c r="EG86" s="326"/>
      <c r="EH86" s="326"/>
      <c r="EI86" s="326"/>
      <c r="EJ86" s="326"/>
      <c r="EK86" s="326"/>
      <c r="EL86" s="326"/>
      <c r="EM86" s="326"/>
      <c r="EN86" s="326"/>
      <c r="EO86" s="326"/>
      <c r="EP86" s="326"/>
      <c r="EQ86" s="326"/>
      <c r="ER86" s="326"/>
      <c r="ES86" s="326"/>
      <c r="ET86" s="326"/>
      <c r="EU86" s="326"/>
      <c r="EV86" s="326"/>
      <c r="EW86" s="326"/>
      <c r="EX86" s="326"/>
      <c r="EY86" s="326"/>
      <c r="EZ86" s="326"/>
      <c r="FA86" s="326"/>
      <c r="FB86" s="326"/>
      <c r="FC86" s="326"/>
      <c r="FD86" s="326"/>
      <c r="FE86" s="326"/>
      <c r="FF86" s="326"/>
      <c r="FG86" s="326"/>
      <c r="FH86" s="326"/>
      <c r="FI86" s="326"/>
      <c r="FJ86" s="326"/>
      <c r="FK86" s="326"/>
      <c r="FL86" s="326"/>
      <c r="FM86" s="326"/>
      <c r="FN86" s="326"/>
      <c r="FO86" s="326"/>
      <c r="FP86" s="326"/>
      <c r="FQ86" s="326"/>
      <c r="FR86" s="326"/>
      <c r="FS86" s="326"/>
      <c r="FT86" s="326"/>
      <c r="FU86" s="326"/>
      <c r="FV86" s="326"/>
      <c r="FW86" s="326"/>
      <c r="FX86" s="326"/>
      <c r="FY86" s="326"/>
      <c r="FZ86" s="326"/>
      <c r="GA86" s="326"/>
      <c r="GB86" s="326"/>
      <c r="GC86" s="326"/>
      <c r="GD86" s="326"/>
      <c r="GE86" s="326"/>
      <c r="GF86" s="326"/>
      <c r="GG86" s="326"/>
      <c r="GH86" s="326"/>
      <c r="GI86" s="326"/>
      <c r="GJ86" s="326"/>
      <c r="GK86" s="326"/>
      <c r="GL86" s="326"/>
      <c r="GM86" s="326"/>
      <c r="GN86" s="326"/>
      <c r="GO86" s="326"/>
      <c r="GP86" s="326"/>
      <c r="GQ86" s="326"/>
      <c r="GR86" s="326"/>
      <c r="GS86" s="326"/>
      <c r="GT86" s="326"/>
      <c r="GU86" s="326"/>
      <c r="GV86" s="326"/>
      <c r="GW86" s="326"/>
      <c r="GX86" s="326"/>
      <c r="GY86" s="326"/>
      <c r="GZ86" s="326"/>
      <c r="HA86" s="326"/>
      <c r="HB86" s="326"/>
      <c r="HC86" s="326"/>
      <c r="HD86" s="326"/>
      <c r="HE86" s="326"/>
      <c r="HF86" s="326"/>
      <c r="HG86" s="326"/>
      <c r="HH86" s="326"/>
      <c r="HI86" s="326"/>
      <c r="HJ86" s="326"/>
      <c r="HK86" s="326"/>
      <c r="HL86" s="326"/>
      <c r="HM86" s="326"/>
      <c r="HN86" s="326"/>
      <c r="HO86" s="326"/>
      <c r="HP86" s="326"/>
      <c r="HQ86" s="326"/>
      <c r="HR86" s="326"/>
      <c r="HS86" s="326"/>
      <c r="HT86" s="326"/>
      <c r="HU86" s="326"/>
      <c r="HV86" s="326"/>
      <c r="HW86" s="326"/>
      <c r="HX86" s="326"/>
      <c r="HY86" s="326"/>
      <c r="HZ86" s="326"/>
      <c r="IA86" s="326"/>
      <c r="IB86" s="326"/>
      <c r="IC86" s="326"/>
      <c r="ID86" s="326"/>
      <c r="IE86" s="326"/>
      <c r="IF86" s="326"/>
      <c r="IG86" s="326"/>
      <c r="IH86" s="326"/>
      <c r="II86" s="326"/>
      <c r="IJ86" s="326"/>
      <c r="IK86" s="326"/>
      <c r="IL86" s="326"/>
      <c r="IM86" s="326"/>
      <c r="IN86" s="326"/>
      <c r="IO86" s="326"/>
      <c r="IP86" s="326"/>
      <c r="IQ86" s="326"/>
      <c r="IR86" s="326"/>
      <c r="IS86" s="326"/>
      <c r="IT86" s="326"/>
      <c r="IU86" s="326"/>
      <c r="IV86" s="326"/>
    </row>
    <row r="87" spans="1:256" s="560" customFormat="1" ht="18" customHeight="1">
      <c r="A87" s="574">
        <v>78</v>
      </c>
      <c r="B87" s="568"/>
      <c r="C87" s="327"/>
      <c r="D87" s="1324" t="s">
        <v>283</v>
      </c>
      <c r="E87" s="335">
        <f>F87+G87+O90+P87</f>
        <v>18903</v>
      </c>
      <c r="F87" s="564"/>
      <c r="G87" s="336"/>
      <c r="H87" s="773"/>
      <c r="I87" s="788"/>
      <c r="J87" s="784"/>
      <c r="K87" s="784">
        <v>18903</v>
      </c>
      <c r="L87" s="784"/>
      <c r="M87" s="784"/>
      <c r="N87" s="784"/>
      <c r="O87" s="758">
        <f>SUM(I87:N87)</f>
        <v>18903</v>
      </c>
      <c r="P87" s="565"/>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c r="EI87" s="326"/>
      <c r="EJ87" s="326"/>
      <c r="EK87" s="326"/>
      <c r="EL87" s="326"/>
      <c r="EM87" s="326"/>
      <c r="EN87" s="326"/>
      <c r="EO87" s="326"/>
      <c r="EP87" s="326"/>
      <c r="EQ87" s="326"/>
      <c r="ER87" s="326"/>
      <c r="ES87" s="326"/>
      <c r="ET87" s="326"/>
      <c r="EU87" s="326"/>
      <c r="EV87" s="326"/>
      <c r="EW87" s="326"/>
      <c r="EX87" s="326"/>
      <c r="EY87" s="326"/>
      <c r="EZ87" s="326"/>
      <c r="FA87" s="326"/>
      <c r="FB87" s="326"/>
      <c r="FC87" s="326"/>
      <c r="FD87" s="326"/>
      <c r="FE87" s="326"/>
      <c r="FF87" s="326"/>
      <c r="FG87" s="326"/>
      <c r="FH87" s="326"/>
      <c r="FI87" s="326"/>
      <c r="FJ87" s="326"/>
      <c r="FK87" s="326"/>
      <c r="FL87" s="326"/>
      <c r="FM87" s="326"/>
      <c r="FN87" s="326"/>
      <c r="FO87" s="326"/>
      <c r="FP87" s="326"/>
      <c r="FQ87" s="326"/>
      <c r="FR87" s="326"/>
      <c r="FS87" s="326"/>
      <c r="FT87" s="326"/>
      <c r="FU87" s="326"/>
      <c r="FV87" s="326"/>
      <c r="FW87" s="326"/>
      <c r="FX87" s="326"/>
      <c r="FY87" s="326"/>
      <c r="FZ87" s="326"/>
      <c r="GA87" s="326"/>
      <c r="GB87" s="326"/>
      <c r="GC87" s="326"/>
      <c r="GD87" s="326"/>
      <c r="GE87" s="326"/>
      <c r="GF87" s="326"/>
      <c r="GG87" s="326"/>
      <c r="GH87" s="326"/>
      <c r="GI87" s="326"/>
      <c r="GJ87" s="326"/>
      <c r="GK87" s="326"/>
      <c r="GL87" s="326"/>
      <c r="GM87" s="326"/>
      <c r="GN87" s="326"/>
      <c r="GO87" s="326"/>
      <c r="GP87" s="326"/>
      <c r="GQ87" s="326"/>
      <c r="GR87" s="326"/>
      <c r="GS87" s="326"/>
      <c r="GT87" s="326"/>
      <c r="GU87" s="326"/>
      <c r="GV87" s="326"/>
      <c r="GW87" s="326"/>
      <c r="GX87" s="326"/>
      <c r="GY87" s="326"/>
      <c r="GZ87" s="326"/>
      <c r="HA87" s="326"/>
      <c r="HB87" s="326"/>
      <c r="HC87" s="326"/>
      <c r="HD87" s="326"/>
      <c r="HE87" s="326"/>
      <c r="HF87" s="326"/>
      <c r="HG87" s="326"/>
      <c r="HH87" s="326"/>
      <c r="HI87" s="326"/>
      <c r="HJ87" s="326"/>
      <c r="HK87" s="326"/>
      <c r="HL87" s="326"/>
      <c r="HM87" s="326"/>
      <c r="HN87" s="326"/>
      <c r="HO87" s="326"/>
      <c r="HP87" s="326"/>
      <c r="HQ87" s="326"/>
      <c r="HR87" s="326"/>
      <c r="HS87" s="326"/>
      <c r="HT87" s="326"/>
      <c r="HU87" s="326"/>
      <c r="HV87" s="326"/>
      <c r="HW87" s="326"/>
      <c r="HX87" s="326"/>
      <c r="HY87" s="326"/>
      <c r="HZ87" s="326"/>
      <c r="IA87" s="326"/>
      <c r="IB87" s="326"/>
      <c r="IC87" s="326"/>
      <c r="ID87" s="326"/>
      <c r="IE87" s="326"/>
      <c r="IF87" s="326"/>
      <c r="IG87" s="326"/>
      <c r="IH87" s="326"/>
      <c r="II87" s="326"/>
      <c r="IJ87" s="326"/>
      <c r="IK87" s="326"/>
      <c r="IL87" s="326"/>
      <c r="IM87" s="326"/>
      <c r="IN87" s="326"/>
      <c r="IO87" s="326"/>
      <c r="IP87" s="326"/>
      <c r="IQ87" s="326"/>
      <c r="IR87" s="326"/>
      <c r="IS87" s="326"/>
      <c r="IT87" s="326"/>
      <c r="IU87" s="326"/>
      <c r="IV87" s="326"/>
    </row>
    <row r="88" spans="1:256" s="560" customFormat="1" ht="18" customHeight="1">
      <c r="A88" s="574">
        <v>79</v>
      </c>
      <c r="B88" s="1328"/>
      <c r="C88" s="327"/>
      <c r="D88" s="483" t="s">
        <v>938</v>
      </c>
      <c r="E88" s="1329"/>
      <c r="F88" s="564"/>
      <c r="G88" s="1329"/>
      <c r="H88" s="773"/>
      <c r="I88" s="788"/>
      <c r="J88" s="788"/>
      <c r="K88" s="770">
        <v>18869</v>
      </c>
      <c r="L88" s="770">
        <v>34</v>
      </c>
      <c r="M88" s="770"/>
      <c r="N88" s="770"/>
      <c r="O88" s="569">
        <f>SUM(I88:N88)</f>
        <v>18903</v>
      </c>
      <c r="P88" s="565"/>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c r="EI88" s="326"/>
      <c r="EJ88" s="326"/>
      <c r="EK88" s="326"/>
      <c r="EL88" s="326"/>
      <c r="EM88" s="326"/>
      <c r="EN88" s="326"/>
      <c r="EO88" s="326"/>
      <c r="EP88" s="326"/>
      <c r="EQ88" s="326"/>
      <c r="ER88" s="326"/>
      <c r="ES88" s="326"/>
      <c r="ET88" s="326"/>
      <c r="EU88" s="326"/>
      <c r="EV88" s="326"/>
      <c r="EW88" s="326"/>
      <c r="EX88" s="326"/>
      <c r="EY88" s="326"/>
      <c r="EZ88" s="326"/>
      <c r="FA88" s="326"/>
      <c r="FB88" s="326"/>
      <c r="FC88" s="326"/>
      <c r="FD88" s="326"/>
      <c r="FE88" s="326"/>
      <c r="FF88" s="326"/>
      <c r="FG88" s="326"/>
      <c r="FH88" s="326"/>
      <c r="FI88" s="326"/>
      <c r="FJ88" s="326"/>
      <c r="FK88" s="326"/>
      <c r="FL88" s="326"/>
      <c r="FM88" s="326"/>
      <c r="FN88" s="326"/>
      <c r="FO88" s="326"/>
      <c r="FP88" s="326"/>
      <c r="FQ88" s="326"/>
      <c r="FR88" s="326"/>
      <c r="FS88" s="326"/>
      <c r="FT88" s="326"/>
      <c r="FU88" s="326"/>
      <c r="FV88" s="326"/>
      <c r="FW88" s="326"/>
      <c r="FX88" s="326"/>
      <c r="FY88" s="326"/>
      <c r="FZ88" s="326"/>
      <c r="GA88" s="326"/>
      <c r="GB88" s="326"/>
      <c r="GC88" s="326"/>
      <c r="GD88" s="326"/>
      <c r="GE88" s="326"/>
      <c r="GF88" s="326"/>
      <c r="GG88" s="326"/>
      <c r="GH88" s="326"/>
      <c r="GI88" s="326"/>
      <c r="GJ88" s="326"/>
      <c r="GK88" s="326"/>
      <c r="GL88" s="326"/>
      <c r="GM88" s="326"/>
      <c r="GN88" s="326"/>
      <c r="GO88" s="326"/>
      <c r="GP88" s="326"/>
      <c r="GQ88" s="326"/>
      <c r="GR88" s="326"/>
      <c r="GS88" s="326"/>
      <c r="GT88" s="326"/>
      <c r="GU88" s="326"/>
      <c r="GV88" s="326"/>
      <c r="GW88" s="326"/>
      <c r="GX88" s="326"/>
      <c r="GY88" s="326"/>
      <c r="GZ88" s="326"/>
      <c r="HA88" s="326"/>
      <c r="HB88" s="326"/>
      <c r="HC88" s="326"/>
      <c r="HD88" s="326"/>
      <c r="HE88" s="326"/>
      <c r="HF88" s="326"/>
      <c r="HG88" s="326"/>
      <c r="HH88" s="326"/>
      <c r="HI88" s="326"/>
      <c r="HJ88" s="326"/>
      <c r="HK88" s="326"/>
      <c r="HL88" s="326"/>
      <c r="HM88" s="326"/>
      <c r="HN88" s="326"/>
      <c r="HO88" s="326"/>
      <c r="HP88" s="326"/>
      <c r="HQ88" s="326"/>
      <c r="HR88" s="326"/>
      <c r="HS88" s="326"/>
      <c r="HT88" s="326"/>
      <c r="HU88" s="326"/>
      <c r="HV88" s="326"/>
      <c r="HW88" s="326"/>
      <c r="HX88" s="326"/>
      <c r="HY88" s="326"/>
      <c r="HZ88" s="326"/>
      <c r="IA88" s="326"/>
      <c r="IB88" s="326"/>
      <c r="IC88" s="326"/>
      <c r="ID88" s="326"/>
      <c r="IE88" s="326"/>
      <c r="IF88" s="326"/>
      <c r="IG88" s="326"/>
      <c r="IH88" s="326"/>
      <c r="II88" s="326"/>
      <c r="IJ88" s="326"/>
      <c r="IK88" s="326"/>
      <c r="IL88" s="326"/>
      <c r="IM88" s="326"/>
      <c r="IN88" s="326"/>
      <c r="IO88" s="326"/>
      <c r="IP88" s="326"/>
      <c r="IQ88" s="326"/>
      <c r="IR88" s="326"/>
      <c r="IS88" s="326"/>
      <c r="IT88" s="326"/>
      <c r="IU88" s="326"/>
      <c r="IV88" s="326"/>
    </row>
    <row r="89" spans="1:256" s="560" customFormat="1" ht="18" customHeight="1">
      <c r="A89" s="574">
        <v>80</v>
      </c>
      <c r="B89" s="1328"/>
      <c r="C89" s="327"/>
      <c r="D89" s="1146" t="s">
        <v>725</v>
      </c>
      <c r="E89" s="1329"/>
      <c r="F89" s="564"/>
      <c r="G89" s="1329"/>
      <c r="H89" s="773"/>
      <c r="I89" s="788"/>
      <c r="J89" s="788"/>
      <c r="K89" s="1305"/>
      <c r="L89" s="1305"/>
      <c r="M89" s="788"/>
      <c r="N89" s="788"/>
      <c r="O89" s="1327">
        <f aca="true" t="shared" si="0" ref="O89:O101">SUM(I89:N89)</f>
        <v>0</v>
      </c>
      <c r="P89" s="565"/>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6"/>
      <c r="BQ89" s="326"/>
      <c r="BR89" s="326"/>
      <c r="BS89" s="326"/>
      <c r="BT89" s="326"/>
      <c r="BU89" s="326"/>
      <c r="BV89" s="326"/>
      <c r="BW89" s="326"/>
      <c r="BX89" s="326"/>
      <c r="BY89" s="326"/>
      <c r="BZ89" s="326"/>
      <c r="CA89" s="326"/>
      <c r="CB89" s="326"/>
      <c r="CC89" s="326"/>
      <c r="CD89" s="326"/>
      <c r="CE89" s="326"/>
      <c r="CF89" s="326"/>
      <c r="CG89" s="326"/>
      <c r="CH89" s="326"/>
      <c r="CI89" s="326"/>
      <c r="CJ89" s="326"/>
      <c r="CK89" s="326"/>
      <c r="CL89" s="326"/>
      <c r="CM89" s="326"/>
      <c r="CN89" s="326"/>
      <c r="CO89" s="326"/>
      <c r="CP89" s="326"/>
      <c r="CQ89" s="326"/>
      <c r="CR89" s="326"/>
      <c r="CS89" s="326"/>
      <c r="CT89" s="326"/>
      <c r="CU89" s="326"/>
      <c r="CV89" s="326"/>
      <c r="CW89" s="326"/>
      <c r="CX89" s="326"/>
      <c r="CY89" s="326"/>
      <c r="CZ89" s="326"/>
      <c r="DA89" s="326"/>
      <c r="DB89" s="326"/>
      <c r="DC89" s="326"/>
      <c r="DD89" s="326"/>
      <c r="DE89" s="326"/>
      <c r="DF89" s="326"/>
      <c r="DG89" s="326"/>
      <c r="DH89" s="326"/>
      <c r="DI89" s="326"/>
      <c r="DJ89" s="326"/>
      <c r="DK89" s="326"/>
      <c r="DL89" s="326"/>
      <c r="DM89" s="326"/>
      <c r="DN89" s="326"/>
      <c r="DO89" s="326"/>
      <c r="DP89" s="326"/>
      <c r="DQ89" s="326"/>
      <c r="DR89" s="326"/>
      <c r="DS89" s="326"/>
      <c r="DT89" s="326"/>
      <c r="DU89" s="326"/>
      <c r="DV89" s="326"/>
      <c r="DW89" s="326"/>
      <c r="DX89" s="326"/>
      <c r="DY89" s="326"/>
      <c r="DZ89" s="326"/>
      <c r="EA89" s="326"/>
      <c r="EB89" s="326"/>
      <c r="EC89" s="326"/>
      <c r="ED89" s="326"/>
      <c r="EE89" s="326"/>
      <c r="EF89" s="326"/>
      <c r="EG89" s="326"/>
      <c r="EH89" s="326"/>
      <c r="EI89" s="326"/>
      <c r="EJ89" s="326"/>
      <c r="EK89" s="326"/>
      <c r="EL89" s="326"/>
      <c r="EM89" s="326"/>
      <c r="EN89" s="326"/>
      <c r="EO89" s="326"/>
      <c r="EP89" s="326"/>
      <c r="EQ89" s="326"/>
      <c r="ER89" s="326"/>
      <c r="ES89" s="326"/>
      <c r="ET89" s="326"/>
      <c r="EU89" s="326"/>
      <c r="EV89" s="326"/>
      <c r="EW89" s="326"/>
      <c r="EX89" s="326"/>
      <c r="EY89" s="326"/>
      <c r="EZ89" s="326"/>
      <c r="FA89" s="326"/>
      <c r="FB89" s="326"/>
      <c r="FC89" s="326"/>
      <c r="FD89" s="326"/>
      <c r="FE89" s="326"/>
      <c r="FF89" s="326"/>
      <c r="FG89" s="326"/>
      <c r="FH89" s="326"/>
      <c r="FI89" s="326"/>
      <c r="FJ89" s="326"/>
      <c r="FK89" s="326"/>
      <c r="FL89" s="326"/>
      <c r="FM89" s="326"/>
      <c r="FN89" s="326"/>
      <c r="FO89" s="326"/>
      <c r="FP89" s="326"/>
      <c r="FQ89" s="326"/>
      <c r="FR89" s="326"/>
      <c r="FS89" s="326"/>
      <c r="FT89" s="326"/>
      <c r="FU89" s="326"/>
      <c r="FV89" s="326"/>
      <c r="FW89" s="326"/>
      <c r="FX89" s="326"/>
      <c r="FY89" s="326"/>
      <c r="FZ89" s="326"/>
      <c r="GA89" s="326"/>
      <c r="GB89" s="326"/>
      <c r="GC89" s="326"/>
      <c r="GD89" s="326"/>
      <c r="GE89" s="326"/>
      <c r="GF89" s="326"/>
      <c r="GG89" s="326"/>
      <c r="GH89" s="326"/>
      <c r="GI89" s="326"/>
      <c r="GJ89" s="326"/>
      <c r="GK89" s="326"/>
      <c r="GL89" s="326"/>
      <c r="GM89" s="326"/>
      <c r="GN89" s="326"/>
      <c r="GO89" s="326"/>
      <c r="GP89" s="326"/>
      <c r="GQ89" s="326"/>
      <c r="GR89" s="326"/>
      <c r="GS89" s="326"/>
      <c r="GT89" s="326"/>
      <c r="GU89" s="326"/>
      <c r="GV89" s="326"/>
      <c r="GW89" s="326"/>
      <c r="GX89" s="326"/>
      <c r="GY89" s="326"/>
      <c r="GZ89" s="326"/>
      <c r="HA89" s="326"/>
      <c r="HB89" s="326"/>
      <c r="HC89" s="326"/>
      <c r="HD89" s="326"/>
      <c r="HE89" s="326"/>
      <c r="HF89" s="326"/>
      <c r="HG89" s="326"/>
      <c r="HH89" s="326"/>
      <c r="HI89" s="326"/>
      <c r="HJ89" s="326"/>
      <c r="HK89" s="326"/>
      <c r="HL89" s="326"/>
      <c r="HM89" s="326"/>
      <c r="HN89" s="326"/>
      <c r="HO89" s="326"/>
      <c r="HP89" s="326"/>
      <c r="HQ89" s="326"/>
      <c r="HR89" s="326"/>
      <c r="HS89" s="326"/>
      <c r="HT89" s="326"/>
      <c r="HU89" s="326"/>
      <c r="HV89" s="326"/>
      <c r="HW89" s="326"/>
      <c r="HX89" s="326"/>
      <c r="HY89" s="326"/>
      <c r="HZ89" s="326"/>
      <c r="IA89" s="326"/>
      <c r="IB89" s="326"/>
      <c r="IC89" s="326"/>
      <c r="ID89" s="326"/>
      <c r="IE89" s="326"/>
      <c r="IF89" s="326"/>
      <c r="IG89" s="326"/>
      <c r="IH89" s="326"/>
      <c r="II89" s="326"/>
      <c r="IJ89" s="326"/>
      <c r="IK89" s="326"/>
      <c r="IL89" s="326"/>
      <c r="IM89" s="326"/>
      <c r="IN89" s="326"/>
      <c r="IO89" s="326"/>
      <c r="IP89" s="326"/>
      <c r="IQ89" s="326"/>
      <c r="IR89" s="326"/>
      <c r="IS89" s="326"/>
      <c r="IT89" s="326"/>
      <c r="IU89" s="326"/>
      <c r="IV89" s="326"/>
    </row>
    <row r="90" spans="1:256" s="560" customFormat="1" ht="18" customHeight="1">
      <c r="A90" s="574">
        <v>81</v>
      </c>
      <c r="B90" s="1328"/>
      <c r="C90" s="327"/>
      <c r="D90" s="483" t="s">
        <v>1091</v>
      </c>
      <c r="E90" s="1329"/>
      <c r="F90" s="564"/>
      <c r="G90" s="1329"/>
      <c r="H90" s="773"/>
      <c r="I90" s="788"/>
      <c r="J90" s="788"/>
      <c r="K90" s="770">
        <f>SUM(K88:K89)</f>
        <v>18869</v>
      </c>
      <c r="L90" s="770">
        <f>SUM(L88:L89)</f>
        <v>34</v>
      </c>
      <c r="M90" s="788"/>
      <c r="N90" s="788"/>
      <c r="O90" s="569">
        <f t="shared" si="0"/>
        <v>18903</v>
      </c>
      <c r="P90" s="565"/>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6"/>
      <c r="CA90" s="326"/>
      <c r="CB90" s="326"/>
      <c r="CC90" s="326"/>
      <c r="CD90" s="326"/>
      <c r="CE90" s="326"/>
      <c r="CF90" s="326"/>
      <c r="CG90" s="326"/>
      <c r="CH90" s="326"/>
      <c r="CI90" s="326"/>
      <c r="CJ90" s="326"/>
      <c r="CK90" s="326"/>
      <c r="CL90" s="326"/>
      <c r="CM90" s="326"/>
      <c r="CN90" s="326"/>
      <c r="CO90" s="326"/>
      <c r="CP90" s="326"/>
      <c r="CQ90" s="326"/>
      <c r="CR90" s="326"/>
      <c r="CS90" s="326"/>
      <c r="CT90" s="326"/>
      <c r="CU90" s="326"/>
      <c r="CV90" s="326"/>
      <c r="CW90" s="326"/>
      <c r="CX90" s="326"/>
      <c r="CY90" s="326"/>
      <c r="CZ90" s="326"/>
      <c r="DA90" s="326"/>
      <c r="DB90" s="326"/>
      <c r="DC90" s="326"/>
      <c r="DD90" s="326"/>
      <c r="DE90" s="326"/>
      <c r="DF90" s="326"/>
      <c r="DG90" s="326"/>
      <c r="DH90" s="326"/>
      <c r="DI90" s="326"/>
      <c r="DJ90" s="326"/>
      <c r="DK90" s="326"/>
      <c r="DL90" s="326"/>
      <c r="DM90" s="326"/>
      <c r="DN90" s="326"/>
      <c r="DO90" s="326"/>
      <c r="DP90" s="326"/>
      <c r="DQ90" s="326"/>
      <c r="DR90" s="326"/>
      <c r="DS90" s="326"/>
      <c r="DT90" s="326"/>
      <c r="DU90" s="326"/>
      <c r="DV90" s="326"/>
      <c r="DW90" s="326"/>
      <c r="DX90" s="326"/>
      <c r="DY90" s="326"/>
      <c r="DZ90" s="326"/>
      <c r="EA90" s="326"/>
      <c r="EB90" s="326"/>
      <c r="EC90" s="326"/>
      <c r="ED90" s="326"/>
      <c r="EE90" s="326"/>
      <c r="EF90" s="326"/>
      <c r="EG90" s="326"/>
      <c r="EH90" s="326"/>
      <c r="EI90" s="326"/>
      <c r="EJ90" s="326"/>
      <c r="EK90" s="326"/>
      <c r="EL90" s="326"/>
      <c r="EM90" s="326"/>
      <c r="EN90" s="326"/>
      <c r="EO90" s="326"/>
      <c r="EP90" s="326"/>
      <c r="EQ90" s="326"/>
      <c r="ER90" s="326"/>
      <c r="ES90" s="326"/>
      <c r="ET90" s="326"/>
      <c r="EU90" s="326"/>
      <c r="EV90" s="326"/>
      <c r="EW90" s="326"/>
      <c r="EX90" s="326"/>
      <c r="EY90" s="326"/>
      <c r="EZ90" s="326"/>
      <c r="FA90" s="326"/>
      <c r="FB90" s="326"/>
      <c r="FC90" s="326"/>
      <c r="FD90" s="326"/>
      <c r="FE90" s="326"/>
      <c r="FF90" s="326"/>
      <c r="FG90" s="326"/>
      <c r="FH90" s="326"/>
      <c r="FI90" s="326"/>
      <c r="FJ90" s="326"/>
      <c r="FK90" s="326"/>
      <c r="FL90" s="326"/>
      <c r="FM90" s="326"/>
      <c r="FN90" s="326"/>
      <c r="FO90" s="326"/>
      <c r="FP90" s="326"/>
      <c r="FQ90" s="326"/>
      <c r="FR90" s="326"/>
      <c r="FS90" s="326"/>
      <c r="FT90" s="326"/>
      <c r="FU90" s="326"/>
      <c r="FV90" s="326"/>
      <c r="FW90" s="326"/>
      <c r="FX90" s="326"/>
      <c r="FY90" s="326"/>
      <c r="FZ90" s="326"/>
      <c r="GA90" s="326"/>
      <c r="GB90" s="326"/>
      <c r="GC90" s="326"/>
      <c r="GD90" s="326"/>
      <c r="GE90" s="326"/>
      <c r="GF90" s="326"/>
      <c r="GG90" s="326"/>
      <c r="GH90" s="326"/>
      <c r="GI90" s="326"/>
      <c r="GJ90" s="326"/>
      <c r="GK90" s="326"/>
      <c r="GL90" s="326"/>
      <c r="GM90" s="326"/>
      <c r="GN90" s="326"/>
      <c r="GO90" s="326"/>
      <c r="GP90" s="326"/>
      <c r="GQ90" s="326"/>
      <c r="GR90" s="326"/>
      <c r="GS90" s="326"/>
      <c r="GT90" s="326"/>
      <c r="GU90" s="326"/>
      <c r="GV90" s="326"/>
      <c r="GW90" s="326"/>
      <c r="GX90" s="326"/>
      <c r="GY90" s="326"/>
      <c r="GZ90" s="326"/>
      <c r="HA90" s="326"/>
      <c r="HB90" s="326"/>
      <c r="HC90" s="326"/>
      <c r="HD90" s="326"/>
      <c r="HE90" s="326"/>
      <c r="HF90" s="326"/>
      <c r="HG90" s="326"/>
      <c r="HH90" s="326"/>
      <c r="HI90" s="326"/>
      <c r="HJ90" s="326"/>
      <c r="HK90" s="326"/>
      <c r="HL90" s="326"/>
      <c r="HM90" s="326"/>
      <c r="HN90" s="326"/>
      <c r="HO90" s="326"/>
      <c r="HP90" s="326"/>
      <c r="HQ90" s="326"/>
      <c r="HR90" s="326"/>
      <c r="HS90" s="326"/>
      <c r="HT90" s="326"/>
      <c r="HU90" s="326"/>
      <c r="HV90" s="326"/>
      <c r="HW90" s="326"/>
      <c r="HX90" s="326"/>
      <c r="HY90" s="326"/>
      <c r="HZ90" s="326"/>
      <c r="IA90" s="326"/>
      <c r="IB90" s="326"/>
      <c r="IC90" s="326"/>
      <c r="ID90" s="326"/>
      <c r="IE90" s="326"/>
      <c r="IF90" s="326"/>
      <c r="IG90" s="326"/>
      <c r="IH90" s="326"/>
      <c r="II90" s="326"/>
      <c r="IJ90" s="326"/>
      <c r="IK90" s="326"/>
      <c r="IL90" s="326"/>
      <c r="IM90" s="326"/>
      <c r="IN90" s="326"/>
      <c r="IO90" s="326"/>
      <c r="IP90" s="326"/>
      <c r="IQ90" s="326"/>
      <c r="IR90" s="326"/>
      <c r="IS90" s="326"/>
      <c r="IT90" s="326"/>
      <c r="IU90" s="326"/>
      <c r="IV90" s="326"/>
    </row>
    <row r="91" spans="1:256" s="560" customFormat="1" ht="33.75">
      <c r="A91" s="574">
        <v>82</v>
      </c>
      <c r="B91" s="1328"/>
      <c r="C91" s="327">
        <v>17</v>
      </c>
      <c r="D91" s="1477" t="s">
        <v>742</v>
      </c>
      <c r="E91" s="335">
        <f>F91+G91+O94+P93</f>
        <v>60000</v>
      </c>
      <c r="F91" s="564"/>
      <c r="G91" s="1329"/>
      <c r="H91" s="773" t="s">
        <v>23</v>
      </c>
      <c r="I91" s="788"/>
      <c r="J91" s="788"/>
      <c r="K91" s="770"/>
      <c r="L91" s="770"/>
      <c r="M91" s="788"/>
      <c r="N91" s="788"/>
      <c r="O91" s="1462"/>
      <c r="P91" s="565"/>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6"/>
      <c r="CA91" s="326"/>
      <c r="CB91" s="326"/>
      <c r="CC91" s="326"/>
      <c r="CD91" s="326"/>
      <c r="CE91" s="326"/>
      <c r="CF91" s="326"/>
      <c r="CG91" s="326"/>
      <c r="CH91" s="326"/>
      <c r="CI91" s="326"/>
      <c r="CJ91" s="326"/>
      <c r="CK91" s="326"/>
      <c r="CL91" s="326"/>
      <c r="CM91" s="326"/>
      <c r="CN91" s="326"/>
      <c r="CO91" s="326"/>
      <c r="CP91" s="326"/>
      <c r="CQ91" s="326"/>
      <c r="CR91" s="326"/>
      <c r="CS91" s="326"/>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6"/>
      <c r="EB91" s="326"/>
      <c r="EC91" s="326"/>
      <c r="ED91" s="326"/>
      <c r="EE91" s="326"/>
      <c r="EF91" s="326"/>
      <c r="EG91" s="326"/>
      <c r="EH91" s="326"/>
      <c r="EI91" s="326"/>
      <c r="EJ91" s="326"/>
      <c r="EK91" s="326"/>
      <c r="EL91" s="326"/>
      <c r="EM91" s="326"/>
      <c r="EN91" s="326"/>
      <c r="EO91" s="326"/>
      <c r="EP91" s="326"/>
      <c r="EQ91" s="326"/>
      <c r="ER91" s="326"/>
      <c r="ES91" s="326"/>
      <c r="ET91" s="326"/>
      <c r="EU91" s="326"/>
      <c r="EV91" s="326"/>
      <c r="EW91" s="326"/>
      <c r="EX91" s="326"/>
      <c r="EY91" s="326"/>
      <c r="EZ91" s="326"/>
      <c r="FA91" s="326"/>
      <c r="FB91" s="326"/>
      <c r="FC91" s="326"/>
      <c r="FD91" s="326"/>
      <c r="FE91" s="326"/>
      <c r="FF91" s="326"/>
      <c r="FG91" s="326"/>
      <c r="FH91" s="326"/>
      <c r="FI91" s="326"/>
      <c r="FJ91" s="326"/>
      <c r="FK91" s="326"/>
      <c r="FL91" s="326"/>
      <c r="FM91" s="326"/>
      <c r="FN91" s="326"/>
      <c r="FO91" s="326"/>
      <c r="FP91" s="326"/>
      <c r="FQ91" s="326"/>
      <c r="FR91" s="326"/>
      <c r="FS91" s="326"/>
      <c r="FT91" s="326"/>
      <c r="FU91" s="326"/>
      <c r="FV91" s="326"/>
      <c r="FW91" s="326"/>
      <c r="FX91" s="326"/>
      <c r="FY91" s="326"/>
      <c r="FZ91" s="326"/>
      <c r="GA91" s="326"/>
      <c r="GB91" s="326"/>
      <c r="GC91" s="326"/>
      <c r="GD91" s="326"/>
      <c r="GE91" s="326"/>
      <c r="GF91" s="326"/>
      <c r="GG91" s="326"/>
      <c r="GH91" s="326"/>
      <c r="GI91" s="326"/>
      <c r="GJ91" s="326"/>
      <c r="GK91" s="326"/>
      <c r="GL91" s="326"/>
      <c r="GM91" s="326"/>
      <c r="GN91" s="326"/>
      <c r="GO91" s="326"/>
      <c r="GP91" s="326"/>
      <c r="GQ91" s="326"/>
      <c r="GR91" s="326"/>
      <c r="GS91" s="326"/>
      <c r="GT91" s="326"/>
      <c r="GU91" s="326"/>
      <c r="GV91" s="326"/>
      <c r="GW91" s="326"/>
      <c r="GX91" s="326"/>
      <c r="GY91" s="326"/>
      <c r="GZ91" s="326"/>
      <c r="HA91" s="326"/>
      <c r="HB91" s="326"/>
      <c r="HC91" s="326"/>
      <c r="HD91" s="326"/>
      <c r="HE91" s="326"/>
      <c r="HF91" s="326"/>
      <c r="HG91" s="326"/>
      <c r="HH91" s="326"/>
      <c r="HI91" s="326"/>
      <c r="HJ91" s="326"/>
      <c r="HK91" s="326"/>
      <c r="HL91" s="326"/>
      <c r="HM91" s="326"/>
      <c r="HN91" s="326"/>
      <c r="HO91" s="326"/>
      <c r="HP91" s="326"/>
      <c r="HQ91" s="326"/>
      <c r="HR91" s="326"/>
      <c r="HS91" s="326"/>
      <c r="HT91" s="326"/>
      <c r="HU91" s="326"/>
      <c r="HV91" s="326"/>
      <c r="HW91" s="326"/>
      <c r="HX91" s="326"/>
      <c r="HY91" s="326"/>
      <c r="HZ91" s="326"/>
      <c r="IA91" s="326"/>
      <c r="IB91" s="326"/>
      <c r="IC91" s="326"/>
      <c r="ID91" s="326"/>
      <c r="IE91" s="326"/>
      <c r="IF91" s="326"/>
      <c r="IG91" s="326"/>
      <c r="IH91" s="326"/>
      <c r="II91" s="326"/>
      <c r="IJ91" s="326"/>
      <c r="IK91" s="326"/>
      <c r="IL91" s="326"/>
      <c r="IM91" s="326"/>
      <c r="IN91" s="326"/>
      <c r="IO91" s="326"/>
      <c r="IP91" s="326"/>
      <c r="IQ91" s="326"/>
      <c r="IR91" s="326"/>
      <c r="IS91" s="326"/>
      <c r="IT91" s="326"/>
      <c r="IU91" s="326"/>
      <c r="IV91" s="326"/>
    </row>
    <row r="92" spans="1:256" s="560" customFormat="1" ht="18" customHeight="1">
      <c r="A92" s="574">
        <v>83</v>
      </c>
      <c r="B92" s="1328"/>
      <c r="C92" s="366"/>
      <c r="D92" s="483" t="s">
        <v>938</v>
      </c>
      <c r="E92" s="335"/>
      <c r="F92" s="564"/>
      <c r="G92" s="1329"/>
      <c r="H92" s="773"/>
      <c r="I92" s="788"/>
      <c r="J92" s="788"/>
      <c r="K92" s="770"/>
      <c r="L92" s="770"/>
      <c r="M92" s="770">
        <v>60000</v>
      </c>
      <c r="N92" s="788"/>
      <c r="O92" s="569">
        <f t="shared" si="0"/>
        <v>60000</v>
      </c>
      <c r="P92" s="565"/>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326"/>
      <c r="CW92" s="326"/>
      <c r="CX92" s="326"/>
      <c r="CY92" s="326"/>
      <c r="CZ92" s="326"/>
      <c r="DA92" s="326"/>
      <c r="DB92" s="326"/>
      <c r="DC92" s="326"/>
      <c r="DD92" s="326"/>
      <c r="DE92" s="326"/>
      <c r="DF92" s="326"/>
      <c r="DG92" s="326"/>
      <c r="DH92" s="326"/>
      <c r="DI92" s="326"/>
      <c r="DJ92" s="326"/>
      <c r="DK92" s="326"/>
      <c r="DL92" s="326"/>
      <c r="DM92" s="326"/>
      <c r="DN92" s="326"/>
      <c r="DO92" s="326"/>
      <c r="DP92" s="326"/>
      <c r="DQ92" s="326"/>
      <c r="DR92" s="326"/>
      <c r="DS92" s="326"/>
      <c r="DT92" s="326"/>
      <c r="DU92" s="326"/>
      <c r="DV92" s="326"/>
      <c r="DW92" s="326"/>
      <c r="DX92" s="326"/>
      <c r="DY92" s="326"/>
      <c r="DZ92" s="326"/>
      <c r="EA92" s="326"/>
      <c r="EB92" s="326"/>
      <c r="EC92" s="326"/>
      <c r="ED92" s="326"/>
      <c r="EE92" s="326"/>
      <c r="EF92" s="326"/>
      <c r="EG92" s="326"/>
      <c r="EH92" s="326"/>
      <c r="EI92" s="326"/>
      <c r="EJ92" s="326"/>
      <c r="EK92" s="326"/>
      <c r="EL92" s="326"/>
      <c r="EM92" s="326"/>
      <c r="EN92" s="326"/>
      <c r="EO92" s="326"/>
      <c r="EP92" s="326"/>
      <c r="EQ92" s="326"/>
      <c r="ER92" s="326"/>
      <c r="ES92" s="326"/>
      <c r="ET92" s="326"/>
      <c r="EU92" s="326"/>
      <c r="EV92" s="326"/>
      <c r="EW92" s="326"/>
      <c r="EX92" s="326"/>
      <c r="EY92" s="326"/>
      <c r="EZ92" s="326"/>
      <c r="FA92" s="326"/>
      <c r="FB92" s="326"/>
      <c r="FC92" s="326"/>
      <c r="FD92" s="326"/>
      <c r="FE92" s="326"/>
      <c r="FF92" s="326"/>
      <c r="FG92" s="326"/>
      <c r="FH92" s="326"/>
      <c r="FI92" s="326"/>
      <c r="FJ92" s="326"/>
      <c r="FK92" s="326"/>
      <c r="FL92" s="326"/>
      <c r="FM92" s="326"/>
      <c r="FN92" s="326"/>
      <c r="FO92" s="326"/>
      <c r="FP92" s="326"/>
      <c r="FQ92" s="326"/>
      <c r="FR92" s="326"/>
      <c r="FS92" s="326"/>
      <c r="FT92" s="326"/>
      <c r="FU92" s="326"/>
      <c r="FV92" s="326"/>
      <c r="FW92" s="326"/>
      <c r="FX92" s="326"/>
      <c r="FY92" s="326"/>
      <c r="FZ92" s="326"/>
      <c r="GA92" s="326"/>
      <c r="GB92" s="326"/>
      <c r="GC92" s="326"/>
      <c r="GD92" s="326"/>
      <c r="GE92" s="326"/>
      <c r="GF92" s="326"/>
      <c r="GG92" s="326"/>
      <c r="GH92" s="326"/>
      <c r="GI92" s="326"/>
      <c r="GJ92" s="326"/>
      <c r="GK92" s="326"/>
      <c r="GL92" s="326"/>
      <c r="GM92" s="326"/>
      <c r="GN92" s="326"/>
      <c r="GO92" s="326"/>
      <c r="GP92" s="326"/>
      <c r="GQ92" s="326"/>
      <c r="GR92" s="326"/>
      <c r="GS92" s="326"/>
      <c r="GT92" s="326"/>
      <c r="GU92" s="326"/>
      <c r="GV92" s="326"/>
      <c r="GW92" s="326"/>
      <c r="GX92" s="326"/>
      <c r="GY92" s="326"/>
      <c r="GZ92" s="326"/>
      <c r="HA92" s="326"/>
      <c r="HB92" s="326"/>
      <c r="HC92" s="326"/>
      <c r="HD92" s="326"/>
      <c r="HE92" s="326"/>
      <c r="HF92" s="326"/>
      <c r="HG92" s="326"/>
      <c r="HH92" s="326"/>
      <c r="HI92" s="326"/>
      <c r="HJ92" s="326"/>
      <c r="HK92" s="326"/>
      <c r="HL92" s="326"/>
      <c r="HM92" s="326"/>
      <c r="HN92" s="326"/>
      <c r="HO92" s="326"/>
      <c r="HP92" s="326"/>
      <c r="HQ92" s="326"/>
      <c r="HR92" s="326"/>
      <c r="HS92" s="326"/>
      <c r="HT92" s="326"/>
      <c r="HU92" s="326"/>
      <c r="HV92" s="326"/>
      <c r="HW92" s="326"/>
      <c r="HX92" s="326"/>
      <c r="HY92" s="326"/>
      <c r="HZ92" s="326"/>
      <c r="IA92" s="326"/>
      <c r="IB92" s="326"/>
      <c r="IC92" s="326"/>
      <c r="ID92" s="326"/>
      <c r="IE92" s="326"/>
      <c r="IF92" s="326"/>
      <c r="IG92" s="326"/>
      <c r="IH92" s="326"/>
      <c r="II92" s="326"/>
      <c r="IJ92" s="326"/>
      <c r="IK92" s="326"/>
      <c r="IL92" s="326"/>
      <c r="IM92" s="326"/>
      <c r="IN92" s="326"/>
      <c r="IO92" s="326"/>
      <c r="IP92" s="326"/>
      <c r="IQ92" s="326"/>
      <c r="IR92" s="326"/>
      <c r="IS92" s="326"/>
      <c r="IT92" s="326"/>
      <c r="IU92" s="326"/>
      <c r="IV92" s="326"/>
    </row>
    <row r="93" spans="1:256" s="560" customFormat="1" ht="18" customHeight="1">
      <c r="A93" s="574">
        <v>84</v>
      </c>
      <c r="B93" s="1328"/>
      <c r="C93" s="327"/>
      <c r="D93" s="1146" t="s">
        <v>725</v>
      </c>
      <c r="E93" s="335"/>
      <c r="F93" s="564"/>
      <c r="G93" s="1329"/>
      <c r="H93" s="773"/>
      <c r="I93" s="788"/>
      <c r="J93" s="788"/>
      <c r="K93" s="770"/>
      <c r="L93" s="770"/>
      <c r="M93" s="1305"/>
      <c r="N93" s="788"/>
      <c r="O93" s="1327">
        <f t="shared" si="0"/>
        <v>0</v>
      </c>
      <c r="P93" s="565"/>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c r="BM93" s="326"/>
      <c r="BN93" s="326"/>
      <c r="BO93" s="326"/>
      <c r="BP93" s="326"/>
      <c r="BQ93" s="326"/>
      <c r="BR93" s="326"/>
      <c r="BS93" s="326"/>
      <c r="BT93" s="326"/>
      <c r="BU93" s="326"/>
      <c r="BV93" s="326"/>
      <c r="BW93" s="326"/>
      <c r="BX93" s="326"/>
      <c r="BY93" s="326"/>
      <c r="BZ93" s="326"/>
      <c r="CA93" s="326"/>
      <c r="CB93" s="326"/>
      <c r="CC93" s="326"/>
      <c r="CD93" s="326"/>
      <c r="CE93" s="326"/>
      <c r="CF93" s="326"/>
      <c r="CG93" s="326"/>
      <c r="CH93" s="326"/>
      <c r="CI93" s="326"/>
      <c r="CJ93" s="326"/>
      <c r="CK93" s="326"/>
      <c r="CL93" s="326"/>
      <c r="CM93" s="326"/>
      <c r="CN93" s="326"/>
      <c r="CO93" s="326"/>
      <c r="CP93" s="326"/>
      <c r="CQ93" s="326"/>
      <c r="CR93" s="326"/>
      <c r="CS93" s="326"/>
      <c r="CT93" s="326"/>
      <c r="CU93" s="326"/>
      <c r="CV93" s="326"/>
      <c r="CW93" s="326"/>
      <c r="CX93" s="326"/>
      <c r="CY93" s="326"/>
      <c r="CZ93" s="326"/>
      <c r="DA93" s="326"/>
      <c r="DB93" s="326"/>
      <c r="DC93" s="326"/>
      <c r="DD93" s="326"/>
      <c r="DE93" s="326"/>
      <c r="DF93" s="326"/>
      <c r="DG93" s="326"/>
      <c r="DH93" s="326"/>
      <c r="DI93" s="326"/>
      <c r="DJ93" s="326"/>
      <c r="DK93" s="326"/>
      <c r="DL93" s="326"/>
      <c r="DM93" s="326"/>
      <c r="DN93" s="326"/>
      <c r="DO93" s="326"/>
      <c r="DP93" s="326"/>
      <c r="DQ93" s="326"/>
      <c r="DR93" s="326"/>
      <c r="DS93" s="326"/>
      <c r="DT93" s="326"/>
      <c r="DU93" s="326"/>
      <c r="DV93" s="326"/>
      <c r="DW93" s="326"/>
      <c r="DX93" s="326"/>
      <c r="DY93" s="326"/>
      <c r="DZ93" s="326"/>
      <c r="EA93" s="326"/>
      <c r="EB93" s="326"/>
      <c r="EC93" s="326"/>
      <c r="ED93" s="326"/>
      <c r="EE93" s="326"/>
      <c r="EF93" s="326"/>
      <c r="EG93" s="326"/>
      <c r="EH93" s="326"/>
      <c r="EI93" s="326"/>
      <c r="EJ93" s="326"/>
      <c r="EK93" s="326"/>
      <c r="EL93" s="326"/>
      <c r="EM93" s="326"/>
      <c r="EN93" s="326"/>
      <c r="EO93" s="326"/>
      <c r="EP93" s="326"/>
      <c r="EQ93" s="326"/>
      <c r="ER93" s="326"/>
      <c r="ES93" s="326"/>
      <c r="ET93" s="326"/>
      <c r="EU93" s="326"/>
      <c r="EV93" s="326"/>
      <c r="EW93" s="326"/>
      <c r="EX93" s="326"/>
      <c r="EY93" s="326"/>
      <c r="EZ93" s="326"/>
      <c r="FA93" s="326"/>
      <c r="FB93" s="326"/>
      <c r="FC93" s="326"/>
      <c r="FD93" s="326"/>
      <c r="FE93" s="326"/>
      <c r="FF93" s="326"/>
      <c r="FG93" s="326"/>
      <c r="FH93" s="326"/>
      <c r="FI93" s="326"/>
      <c r="FJ93" s="326"/>
      <c r="FK93" s="326"/>
      <c r="FL93" s="326"/>
      <c r="FM93" s="326"/>
      <c r="FN93" s="326"/>
      <c r="FO93" s="326"/>
      <c r="FP93" s="326"/>
      <c r="FQ93" s="326"/>
      <c r="FR93" s="326"/>
      <c r="FS93" s="326"/>
      <c r="FT93" s="326"/>
      <c r="FU93" s="326"/>
      <c r="FV93" s="326"/>
      <c r="FW93" s="326"/>
      <c r="FX93" s="326"/>
      <c r="FY93" s="326"/>
      <c r="FZ93" s="326"/>
      <c r="GA93" s="326"/>
      <c r="GB93" s="326"/>
      <c r="GC93" s="326"/>
      <c r="GD93" s="326"/>
      <c r="GE93" s="326"/>
      <c r="GF93" s="326"/>
      <c r="GG93" s="326"/>
      <c r="GH93" s="326"/>
      <c r="GI93" s="326"/>
      <c r="GJ93" s="326"/>
      <c r="GK93" s="326"/>
      <c r="GL93" s="326"/>
      <c r="GM93" s="326"/>
      <c r="GN93" s="326"/>
      <c r="GO93" s="326"/>
      <c r="GP93" s="326"/>
      <c r="GQ93" s="326"/>
      <c r="GR93" s="326"/>
      <c r="GS93" s="326"/>
      <c r="GT93" s="326"/>
      <c r="GU93" s="326"/>
      <c r="GV93" s="326"/>
      <c r="GW93" s="326"/>
      <c r="GX93" s="326"/>
      <c r="GY93" s="326"/>
      <c r="GZ93" s="326"/>
      <c r="HA93" s="326"/>
      <c r="HB93" s="326"/>
      <c r="HC93" s="326"/>
      <c r="HD93" s="326"/>
      <c r="HE93" s="326"/>
      <c r="HF93" s="326"/>
      <c r="HG93" s="326"/>
      <c r="HH93" s="326"/>
      <c r="HI93" s="326"/>
      <c r="HJ93" s="326"/>
      <c r="HK93" s="326"/>
      <c r="HL93" s="326"/>
      <c r="HM93" s="326"/>
      <c r="HN93" s="326"/>
      <c r="HO93" s="326"/>
      <c r="HP93" s="326"/>
      <c r="HQ93" s="326"/>
      <c r="HR93" s="326"/>
      <c r="HS93" s="326"/>
      <c r="HT93" s="326"/>
      <c r="HU93" s="326"/>
      <c r="HV93" s="326"/>
      <c r="HW93" s="326"/>
      <c r="HX93" s="326"/>
      <c r="HY93" s="326"/>
      <c r="HZ93" s="326"/>
      <c r="IA93" s="326"/>
      <c r="IB93" s="326"/>
      <c r="IC93" s="326"/>
      <c r="ID93" s="326"/>
      <c r="IE93" s="326"/>
      <c r="IF93" s="326"/>
      <c r="IG93" s="326"/>
      <c r="IH93" s="326"/>
      <c r="II93" s="326"/>
      <c r="IJ93" s="326"/>
      <c r="IK93" s="326"/>
      <c r="IL93" s="326"/>
      <c r="IM93" s="326"/>
      <c r="IN93" s="326"/>
      <c r="IO93" s="326"/>
      <c r="IP93" s="326"/>
      <c r="IQ93" s="326"/>
      <c r="IR93" s="326"/>
      <c r="IS93" s="326"/>
      <c r="IT93" s="326"/>
      <c r="IU93" s="326"/>
      <c r="IV93" s="326"/>
    </row>
    <row r="94" spans="1:256" s="560" customFormat="1" ht="18" customHeight="1">
      <c r="A94" s="574">
        <v>85</v>
      </c>
      <c r="B94" s="1328"/>
      <c r="C94" s="327"/>
      <c r="D94" s="483" t="s">
        <v>1091</v>
      </c>
      <c r="E94" s="335"/>
      <c r="F94" s="564"/>
      <c r="G94" s="1329"/>
      <c r="H94" s="773"/>
      <c r="I94" s="788"/>
      <c r="J94" s="788"/>
      <c r="K94" s="770"/>
      <c r="L94" s="770"/>
      <c r="M94" s="770">
        <f>SUM(M92:M93)</f>
        <v>60000</v>
      </c>
      <c r="N94" s="788"/>
      <c r="O94" s="569">
        <f t="shared" si="0"/>
        <v>60000</v>
      </c>
      <c r="P94" s="565"/>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326"/>
      <c r="CW94" s="326"/>
      <c r="CX94" s="326"/>
      <c r="CY94" s="326"/>
      <c r="CZ94" s="326"/>
      <c r="DA94" s="326"/>
      <c r="DB94" s="326"/>
      <c r="DC94" s="326"/>
      <c r="DD94" s="326"/>
      <c r="DE94" s="326"/>
      <c r="DF94" s="326"/>
      <c r="DG94" s="326"/>
      <c r="DH94" s="326"/>
      <c r="DI94" s="326"/>
      <c r="DJ94" s="326"/>
      <c r="DK94" s="326"/>
      <c r="DL94" s="326"/>
      <c r="DM94" s="326"/>
      <c r="DN94" s="326"/>
      <c r="DO94" s="326"/>
      <c r="DP94" s="326"/>
      <c r="DQ94" s="326"/>
      <c r="DR94" s="326"/>
      <c r="DS94" s="326"/>
      <c r="DT94" s="326"/>
      <c r="DU94" s="326"/>
      <c r="DV94" s="326"/>
      <c r="DW94" s="326"/>
      <c r="DX94" s="326"/>
      <c r="DY94" s="326"/>
      <c r="DZ94" s="326"/>
      <c r="EA94" s="326"/>
      <c r="EB94" s="326"/>
      <c r="EC94" s="326"/>
      <c r="ED94" s="326"/>
      <c r="EE94" s="326"/>
      <c r="EF94" s="326"/>
      <c r="EG94" s="326"/>
      <c r="EH94" s="326"/>
      <c r="EI94" s="326"/>
      <c r="EJ94" s="326"/>
      <c r="EK94" s="326"/>
      <c r="EL94" s="326"/>
      <c r="EM94" s="326"/>
      <c r="EN94" s="326"/>
      <c r="EO94" s="326"/>
      <c r="EP94" s="326"/>
      <c r="EQ94" s="326"/>
      <c r="ER94" s="326"/>
      <c r="ES94" s="326"/>
      <c r="ET94" s="326"/>
      <c r="EU94" s="326"/>
      <c r="EV94" s="326"/>
      <c r="EW94" s="326"/>
      <c r="EX94" s="326"/>
      <c r="EY94" s="326"/>
      <c r="EZ94" s="326"/>
      <c r="FA94" s="326"/>
      <c r="FB94" s="326"/>
      <c r="FC94" s="326"/>
      <c r="FD94" s="326"/>
      <c r="FE94" s="326"/>
      <c r="FF94" s="326"/>
      <c r="FG94" s="326"/>
      <c r="FH94" s="326"/>
      <c r="FI94" s="326"/>
      <c r="FJ94" s="326"/>
      <c r="FK94" s="326"/>
      <c r="FL94" s="326"/>
      <c r="FM94" s="326"/>
      <c r="FN94" s="326"/>
      <c r="FO94" s="326"/>
      <c r="FP94" s="326"/>
      <c r="FQ94" s="326"/>
      <c r="FR94" s="326"/>
      <c r="FS94" s="326"/>
      <c r="FT94" s="326"/>
      <c r="FU94" s="326"/>
      <c r="FV94" s="326"/>
      <c r="FW94" s="326"/>
      <c r="FX94" s="326"/>
      <c r="FY94" s="326"/>
      <c r="FZ94" s="326"/>
      <c r="GA94" s="326"/>
      <c r="GB94" s="326"/>
      <c r="GC94" s="326"/>
      <c r="GD94" s="326"/>
      <c r="GE94" s="326"/>
      <c r="GF94" s="326"/>
      <c r="GG94" s="326"/>
      <c r="GH94" s="326"/>
      <c r="GI94" s="326"/>
      <c r="GJ94" s="326"/>
      <c r="GK94" s="326"/>
      <c r="GL94" s="326"/>
      <c r="GM94" s="326"/>
      <c r="GN94" s="326"/>
      <c r="GO94" s="326"/>
      <c r="GP94" s="326"/>
      <c r="GQ94" s="326"/>
      <c r="GR94" s="326"/>
      <c r="GS94" s="326"/>
      <c r="GT94" s="326"/>
      <c r="GU94" s="326"/>
      <c r="GV94" s="326"/>
      <c r="GW94" s="326"/>
      <c r="GX94" s="326"/>
      <c r="GY94" s="326"/>
      <c r="GZ94" s="326"/>
      <c r="HA94" s="326"/>
      <c r="HB94" s="326"/>
      <c r="HC94" s="326"/>
      <c r="HD94" s="326"/>
      <c r="HE94" s="326"/>
      <c r="HF94" s="326"/>
      <c r="HG94" s="326"/>
      <c r="HH94" s="326"/>
      <c r="HI94" s="326"/>
      <c r="HJ94" s="326"/>
      <c r="HK94" s="326"/>
      <c r="HL94" s="326"/>
      <c r="HM94" s="326"/>
      <c r="HN94" s="326"/>
      <c r="HO94" s="326"/>
      <c r="HP94" s="326"/>
      <c r="HQ94" s="326"/>
      <c r="HR94" s="326"/>
      <c r="HS94" s="326"/>
      <c r="HT94" s="326"/>
      <c r="HU94" s="326"/>
      <c r="HV94" s="326"/>
      <c r="HW94" s="326"/>
      <c r="HX94" s="326"/>
      <c r="HY94" s="326"/>
      <c r="HZ94" s="326"/>
      <c r="IA94" s="326"/>
      <c r="IB94" s="326"/>
      <c r="IC94" s="326"/>
      <c r="ID94" s="326"/>
      <c r="IE94" s="326"/>
      <c r="IF94" s="326"/>
      <c r="IG94" s="326"/>
      <c r="IH94" s="326"/>
      <c r="II94" s="326"/>
      <c r="IJ94" s="326"/>
      <c r="IK94" s="326"/>
      <c r="IL94" s="326"/>
      <c r="IM94" s="326"/>
      <c r="IN94" s="326"/>
      <c r="IO94" s="326"/>
      <c r="IP94" s="326"/>
      <c r="IQ94" s="326"/>
      <c r="IR94" s="326"/>
      <c r="IS94" s="326"/>
      <c r="IT94" s="326"/>
      <c r="IU94" s="326"/>
      <c r="IV94" s="326"/>
    </row>
    <row r="95" spans="1:256" s="560" customFormat="1" ht="83.25">
      <c r="A95" s="574">
        <v>86</v>
      </c>
      <c r="B95" s="1328"/>
      <c r="C95" s="327">
        <v>18</v>
      </c>
      <c r="D95" s="1477" t="s">
        <v>724</v>
      </c>
      <c r="E95" s="1478">
        <f>F95+G95+O98+P97</f>
        <v>19000</v>
      </c>
      <c r="F95" s="564"/>
      <c r="G95" s="1329"/>
      <c r="H95" s="773" t="s">
        <v>23</v>
      </c>
      <c r="I95" s="788"/>
      <c r="J95" s="788"/>
      <c r="K95" s="770"/>
      <c r="L95" s="770"/>
      <c r="M95" s="788"/>
      <c r="N95" s="788"/>
      <c r="O95" s="1462"/>
      <c r="P95" s="565"/>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c r="BM95" s="326"/>
      <c r="BN95" s="326"/>
      <c r="BO95" s="326"/>
      <c r="BP95" s="326"/>
      <c r="BQ95" s="326"/>
      <c r="BR95" s="326"/>
      <c r="BS95" s="326"/>
      <c r="BT95" s="326"/>
      <c r="BU95" s="326"/>
      <c r="BV95" s="326"/>
      <c r="BW95" s="326"/>
      <c r="BX95" s="326"/>
      <c r="BY95" s="326"/>
      <c r="BZ95" s="326"/>
      <c r="CA95" s="326"/>
      <c r="CB95" s="326"/>
      <c r="CC95" s="326"/>
      <c r="CD95" s="326"/>
      <c r="CE95" s="326"/>
      <c r="CF95" s="326"/>
      <c r="CG95" s="326"/>
      <c r="CH95" s="326"/>
      <c r="CI95" s="326"/>
      <c r="CJ95" s="326"/>
      <c r="CK95" s="326"/>
      <c r="CL95" s="326"/>
      <c r="CM95" s="326"/>
      <c r="CN95" s="326"/>
      <c r="CO95" s="326"/>
      <c r="CP95" s="326"/>
      <c r="CQ95" s="326"/>
      <c r="CR95" s="326"/>
      <c r="CS95" s="326"/>
      <c r="CT95" s="326"/>
      <c r="CU95" s="326"/>
      <c r="CV95" s="326"/>
      <c r="CW95" s="326"/>
      <c r="CX95" s="326"/>
      <c r="CY95" s="326"/>
      <c r="CZ95" s="326"/>
      <c r="DA95" s="326"/>
      <c r="DB95" s="326"/>
      <c r="DC95" s="326"/>
      <c r="DD95" s="326"/>
      <c r="DE95" s="326"/>
      <c r="DF95" s="326"/>
      <c r="DG95" s="326"/>
      <c r="DH95" s="326"/>
      <c r="DI95" s="326"/>
      <c r="DJ95" s="326"/>
      <c r="DK95" s="326"/>
      <c r="DL95" s="326"/>
      <c r="DM95" s="326"/>
      <c r="DN95" s="326"/>
      <c r="DO95" s="326"/>
      <c r="DP95" s="326"/>
      <c r="DQ95" s="326"/>
      <c r="DR95" s="326"/>
      <c r="DS95" s="326"/>
      <c r="DT95" s="326"/>
      <c r="DU95" s="326"/>
      <c r="DV95" s="326"/>
      <c r="DW95" s="326"/>
      <c r="DX95" s="326"/>
      <c r="DY95" s="326"/>
      <c r="DZ95" s="326"/>
      <c r="EA95" s="326"/>
      <c r="EB95" s="326"/>
      <c r="EC95" s="326"/>
      <c r="ED95" s="326"/>
      <c r="EE95" s="326"/>
      <c r="EF95" s="326"/>
      <c r="EG95" s="326"/>
      <c r="EH95" s="326"/>
      <c r="EI95" s="326"/>
      <c r="EJ95" s="326"/>
      <c r="EK95" s="326"/>
      <c r="EL95" s="326"/>
      <c r="EM95" s="326"/>
      <c r="EN95" s="326"/>
      <c r="EO95" s="326"/>
      <c r="EP95" s="326"/>
      <c r="EQ95" s="326"/>
      <c r="ER95" s="326"/>
      <c r="ES95" s="326"/>
      <c r="ET95" s="326"/>
      <c r="EU95" s="326"/>
      <c r="EV95" s="326"/>
      <c r="EW95" s="326"/>
      <c r="EX95" s="326"/>
      <c r="EY95" s="326"/>
      <c r="EZ95" s="326"/>
      <c r="FA95" s="326"/>
      <c r="FB95" s="326"/>
      <c r="FC95" s="326"/>
      <c r="FD95" s="326"/>
      <c r="FE95" s="326"/>
      <c r="FF95" s="326"/>
      <c r="FG95" s="326"/>
      <c r="FH95" s="326"/>
      <c r="FI95" s="326"/>
      <c r="FJ95" s="326"/>
      <c r="FK95" s="326"/>
      <c r="FL95" s="326"/>
      <c r="FM95" s="326"/>
      <c r="FN95" s="326"/>
      <c r="FO95" s="326"/>
      <c r="FP95" s="326"/>
      <c r="FQ95" s="326"/>
      <c r="FR95" s="326"/>
      <c r="FS95" s="326"/>
      <c r="FT95" s="326"/>
      <c r="FU95" s="326"/>
      <c r="FV95" s="326"/>
      <c r="FW95" s="326"/>
      <c r="FX95" s="326"/>
      <c r="FY95" s="326"/>
      <c r="FZ95" s="326"/>
      <c r="GA95" s="326"/>
      <c r="GB95" s="326"/>
      <c r="GC95" s="326"/>
      <c r="GD95" s="326"/>
      <c r="GE95" s="326"/>
      <c r="GF95" s="326"/>
      <c r="GG95" s="326"/>
      <c r="GH95" s="326"/>
      <c r="GI95" s="326"/>
      <c r="GJ95" s="326"/>
      <c r="GK95" s="326"/>
      <c r="GL95" s="326"/>
      <c r="GM95" s="326"/>
      <c r="GN95" s="326"/>
      <c r="GO95" s="326"/>
      <c r="GP95" s="326"/>
      <c r="GQ95" s="326"/>
      <c r="GR95" s="326"/>
      <c r="GS95" s="326"/>
      <c r="GT95" s="326"/>
      <c r="GU95" s="326"/>
      <c r="GV95" s="326"/>
      <c r="GW95" s="326"/>
      <c r="GX95" s="326"/>
      <c r="GY95" s="326"/>
      <c r="GZ95" s="326"/>
      <c r="HA95" s="326"/>
      <c r="HB95" s="326"/>
      <c r="HC95" s="326"/>
      <c r="HD95" s="326"/>
      <c r="HE95" s="326"/>
      <c r="HF95" s="326"/>
      <c r="HG95" s="326"/>
      <c r="HH95" s="326"/>
      <c r="HI95" s="326"/>
      <c r="HJ95" s="326"/>
      <c r="HK95" s="326"/>
      <c r="HL95" s="326"/>
      <c r="HM95" s="326"/>
      <c r="HN95" s="326"/>
      <c r="HO95" s="326"/>
      <c r="HP95" s="326"/>
      <c r="HQ95" s="326"/>
      <c r="HR95" s="326"/>
      <c r="HS95" s="326"/>
      <c r="HT95" s="326"/>
      <c r="HU95" s="326"/>
      <c r="HV95" s="326"/>
      <c r="HW95" s="326"/>
      <c r="HX95" s="326"/>
      <c r="HY95" s="326"/>
      <c r="HZ95" s="326"/>
      <c r="IA95" s="326"/>
      <c r="IB95" s="326"/>
      <c r="IC95" s="326"/>
      <c r="ID95" s="326"/>
      <c r="IE95" s="326"/>
      <c r="IF95" s="326"/>
      <c r="IG95" s="326"/>
      <c r="IH95" s="326"/>
      <c r="II95" s="326"/>
      <c r="IJ95" s="326"/>
      <c r="IK95" s="326"/>
      <c r="IL95" s="326"/>
      <c r="IM95" s="326"/>
      <c r="IN95" s="326"/>
      <c r="IO95" s="326"/>
      <c r="IP95" s="326"/>
      <c r="IQ95" s="326"/>
      <c r="IR95" s="326"/>
      <c r="IS95" s="326"/>
      <c r="IT95" s="326"/>
      <c r="IU95" s="326"/>
      <c r="IV95" s="326"/>
    </row>
    <row r="96" spans="1:256" s="560" customFormat="1" ht="18" customHeight="1">
      <c r="A96" s="574">
        <v>87</v>
      </c>
      <c r="B96" s="1328"/>
      <c r="C96" s="327"/>
      <c r="D96" s="483" t="s">
        <v>938</v>
      </c>
      <c r="E96" s="1478"/>
      <c r="F96" s="564"/>
      <c r="G96" s="1329"/>
      <c r="H96" s="773"/>
      <c r="I96" s="788"/>
      <c r="J96" s="788"/>
      <c r="K96" s="770"/>
      <c r="L96" s="770"/>
      <c r="M96" s="770">
        <v>19000</v>
      </c>
      <c r="N96" s="788"/>
      <c r="O96" s="569">
        <f t="shared" si="0"/>
        <v>19000</v>
      </c>
      <c r="P96" s="565"/>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26"/>
      <c r="BU96" s="326"/>
      <c r="BV96" s="326"/>
      <c r="BW96" s="326"/>
      <c r="BX96" s="326"/>
      <c r="BY96" s="326"/>
      <c r="BZ96" s="326"/>
      <c r="CA96" s="326"/>
      <c r="CB96" s="326"/>
      <c r="CC96" s="326"/>
      <c r="CD96" s="326"/>
      <c r="CE96" s="326"/>
      <c r="CF96" s="326"/>
      <c r="CG96" s="326"/>
      <c r="CH96" s="326"/>
      <c r="CI96" s="326"/>
      <c r="CJ96" s="326"/>
      <c r="CK96" s="326"/>
      <c r="CL96" s="326"/>
      <c r="CM96" s="326"/>
      <c r="CN96" s="326"/>
      <c r="CO96" s="326"/>
      <c r="CP96" s="326"/>
      <c r="CQ96" s="326"/>
      <c r="CR96" s="326"/>
      <c r="CS96" s="326"/>
      <c r="CT96" s="326"/>
      <c r="CU96" s="326"/>
      <c r="CV96" s="326"/>
      <c r="CW96" s="326"/>
      <c r="CX96" s="326"/>
      <c r="CY96" s="326"/>
      <c r="CZ96" s="326"/>
      <c r="DA96" s="326"/>
      <c r="DB96" s="326"/>
      <c r="DC96" s="326"/>
      <c r="DD96" s="326"/>
      <c r="DE96" s="326"/>
      <c r="DF96" s="326"/>
      <c r="DG96" s="326"/>
      <c r="DH96" s="326"/>
      <c r="DI96" s="326"/>
      <c r="DJ96" s="326"/>
      <c r="DK96" s="326"/>
      <c r="DL96" s="326"/>
      <c r="DM96" s="326"/>
      <c r="DN96" s="326"/>
      <c r="DO96" s="326"/>
      <c r="DP96" s="326"/>
      <c r="DQ96" s="326"/>
      <c r="DR96" s="326"/>
      <c r="DS96" s="326"/>
      <c r="DT96" s="326"/>
      <c r="DU96" s="326"/>
      <c r="DV96" s="326"/>
      <c r="DW96" s="326"/>
      <c r="DX96" s="326"/>
      <c r="DY96" s="326"/>
      <c r="DZ96" s="326"/>
      <c r="EA96" s="326"/>
      <c r="EB96" s="326"/>
      <c r="EC96" s="326"/>
      <c r="ED96" s="326"/>
      <c r="EE96" s="326"/>
      <c r="EF96" s="326"/>
      <c r="EG96" s="326"/>
      <c r="EH96" s="326"/>
      <c r="EI96" s="326"/>
      <c r="EJ96" s="326"/>
      <c r="EK96" s="326"/>
      <c r="EL96" s="326"/>
      <c r="EM96" s="326"/>
      <c r="EN96" s="326"/>
      <c r="EO96" s="326"/>
      <c r="EP96" s="326"/>
      <c r="EQ96" s="326"/>
      <c r="ER96" s="326"/>
      <c r="ES96" s="326"/>
      <c r="ET96" s="326"/>
      <c r="EU96" s="326"/>
      <c r="EV96" s="326"/>
      <c r="EW96" s="326"/>
      <c r="EX96" s="326"/>
      <c r="EY96" s="326"/>
      <c r="EZ96" s="326"/>
      <c r="FA96" s="326"/>
      <c r="FB96" s="326"/>
      <c r="FC96" s="326"/>
      <c r="FD96" s="326"/>
      <c r="FE96" s="326"/>
      <c r="FF96" s="326"/>
      <c r="FG96" s="326"/>
      <c r="FH96" s="326"/>
      <c r="FI96" s="326"/>
      <c r="FJ96" s="326"/>
      <c r="FK96" s="326"/>
      <c r="FL96" s="326"/>
      <c r="FM96" s="326"/>
      <c r="FN96" s="326"/>
      <c r="FO96" s="326"/>
      <c r="FP96" s="326"/>
      <c r="FQ96" s="326"/>
      <c r="FR96" s="326"/>
      <c r="FS96" s="326"/>
      <c r="FT96" s="326"/>
      <c r="FU96" s="326"/>
      <c r="FV96" s="326"/>
      <c r="FW96" s="326"/>
      <c r="FX96" s="326"/>
      <c r="FY96" s="326"/>
      <c r="FZ96" s="326"/>
      <c r="GA96" s="326"/>
      <c r="GB96" s="326"/>
      <c r="GC96" s="326"/>
      <c r="GD96" s="326"/>
      <c r="GE96" s="326"/>
      <c r="GF96" s="326"/>
      <c r="GG96" s="326"/>
      <c r="GH96" s="326"/>
      <c r="GI96" s="326"/>
      <c r="GJ96" s="326"/>
      <c r="GK96" s="326"/>
      <c r="GL96" s="326"/>
      <c r="GM96" s="326"/>
      <c r="GN96" s="326"/>
      <c r="GO96" s="326"/>
      <c r="GP96" s="326"/>
      <c r="GQ96" s="326"/>
      <c r="GR96" s="326"/>
      <c r="GS96" s="326"/>
      <c r="GT96" s="326"/>
      <c r="GU96" s="326"/>
      <c r="GV96" s="326"/>
      <c r="GW96" s="326"/>
      <c r="GX96" s="326"/>
      <c r="GY96" s="326"/>
      <c r="GZ96" s="326"/>
      <c r="HA96" s="326"/>
      <c r="HB96" s="326"/>
      <c r="HC96" s="326"/>
      <c r="HD96" s="326"/>
      <c r="HE96" s="326"/>
      <c r="HF96" s="326"/>
      <c r="HG96" s="326"/>
      <c r="HH96" s="326"/>
      <c r="HI96" s="326"/>
      <c r="HJ96" s="326"/>
      <c r="HK96" s="326"/>
      <c r="HL96" s="326"/>
      <c r="HM96" s="326"/>
      <c r="HN96" s="326"/>
      <c r="HO96" s="326"/>
      <c r="HP96" s="326"/>
      <c r="HQ96" s="326"/>
      <c r="HR96" s="326"/>
      <c r="HS96" s="326"/>
      <c r="HT96" s="326"/>
      <c r="HU96" s="326"/>
      <c r="HV96" s="326"/>
      <c r="HW96" s="326"/>
      <c r="HX96" s="326"/>
      <c r="HY96" s="326"/>
      <c r="HZ96" s="326"/>
      <c r="IA96" s="326"/>
      <c r="IB96" s="326"/>
      <c r="IC96" s="326"/>
      <c r="ID96" s="326"/>
      <c r="IE96" s="326"/>
      <c r="IF96" s="326"/>
      <c r="IG96" s="326"/>
      <c r="IH96" s="326"/>
      <c r="II96" s="326"/>
      <c r="IJ96" s="326"/>
      <c r="IK96" s="326"/>
      <c r="IL96" s="326"/>
      <c r="IM96" s="326"/>
      <c r="IN96" s="326"/>
      <c r="IO96" s="326"/>
      <c r="IP96" s="326"/>
      <c r="IQ96" s="326"/>
      <c r="IR96" s="326"/>
      <c r="IS96" s="326"/>
      <c r="IT96" s="326"/>
      <c r="IU96" s="326"/>
      <c r="IV96" s="326"/>
    </row>
    <row r="97" spans="1:256" s="560" customFormat="1" ht="18" customHeight="1">
      <c r="A97" s="574">
        <v>88</v>
      </c>
      <c r="B97" s="1328"/>
      <c r="C97" s="327"/>
      <c r="D97" s="1146" t="s">
        <v>725</v>
      </c>
      <c r="E97" s="335"/>
      <c r="F97" s="564"/>
      <c r="G97" s="1329"/>
      <c r="H97" s="773"/>
      <c r="I97" s="788"/>
      <c r="J97" s="788"/>
      <c r="K97" s="770"/>
      <c r="L97" s="770"/>
      <c r="M97" s="1305"/>
      <c r="N97" s="788"/>
      <c r="O97" s="1327">
        <f t="shared" si="0"/>
        <v>0</v>
      </c>
      <c r="P97" s="565"/>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26"/>
      <c r="BU97" s="326"/>
      <c r="BV97" s="326"/>
      <c r="BW97" s="326"/>
      <c r="BX97" s="326"/>
      <c r="BY97" s="326"/>
      <c r="BZ97" s="326"/>
      <c r="CA97" s="326"/>
      <c r="CB97" s="326"/>
      <c r="CC97" s="326"/>
      <c r="CD97" s="326"/>
      <c r="CE97" s="326"/>
      <c r="CF97" s="326"/>
      <c r="CG97" s="326"/>
      <c r="CH97" s="326"/>
      <c r="CI97" s="326"/>
      <c r="CJ97" s="326"/>
      <c r="CK97" s="326"/>
      <c r="CL97" s="326"/>
      <c r="CM97" s="326"/>
      <c r="CN97" s="326"/>
      <c r="CO97" s="326"/>
      <c r="CP97" s="326"/>
      <c r="CQ97" s="326"/>
      <c r="CR97" s="326"/>
      <c r="CS97" s="326"/>
      <c r="CT97" s="326"/>
      <c r="CU97" s="326"/>
      <c r="CV97" s="326"/>
      <c r="CW97" s="326"/>
      <c r="CX97" s="326"/>
      <c r="CY97" s="326"/>
      <c r="CZ97" s="326"/>
      <c r="DA97" s="326"/>
      <c r="DB97" s="326"/>
      <c r="DC97" s="326"/>
      <c r="DD97" s="326"/>
      <c r="DE97" s="326"/>
      <c r="DF97" s="326"/>
      <c r="DG97" s="326"/>
      <c r="DH97" s="326"/>
      <c r="DI97" s="326"/>
      <c r="DJ97" s="326"/>
      <c r="DK97" s="326"/>
      <c r="DL97" s="326"/>
      <c r="DM97" s="326"/>
      <c r="DN97" s="326"/>
      <c r="DO97" s="326"/>
      <c r="DP97" s="326"/>
      <c r="DQ97" s="326"/>
      <c r="DR97" s="326"/>
      <c r="DS97" s="326"/>
      <c r="DT97" s="326"/>
      <c r="DU97" s="326"/>
      <c r="DV97" s="326"/>
      <c r="DW97" s="326"/>
      <c r="DX97" s="326"/>
      <c r="DY97" s="326"/>
      <c r="DZ97" s="326"/>
      <c r="EA97" s="326"/>
      <c r="EB97" s="326"/>
      <c r="EC97" s="326"/>
      <c r="ED97" s="326"/>
      <c r="EE97" s="326"/>
      <c r="EF97" s="326"/>
      <c r="EG97" s="326"/>
      <c r="EH97" s="326"/>
      <c r="EI97" s="326"/>
      <c r="EJ97" s="326"/>
      <c r="EK97" s="326"/>
      <c r="EL97" s="326"/>
      <c r="EM97" s="326"/>
      <c r="EN97" s="326"/>
      <c r="EO97" s="326"/>
      <c r="EP97" s="326"/>
      <c r="EQ97" s="326"/>
      <c r="ER97" s="326"/>
      <c r="ES97" s="326"/>
      <c r="ET97" s="326"/>
      <c r="EU97" s="326"/>
      <c r="EV97" s="326"/>
      <c r="EW97" s="326"/>
      <c r="EX97" s="326"/>
      <c r="EY97" s="326"/>
      <c r="EZ97" s="326"/>
      <c r="FA97" s="326"/>
      <c r="FB97" s="326"/>
      <c r="FC97" s="326"/>
      <c r="FD97" s="326"/>
      <c r="FE97" s="326"/>
      <c r="FF97" s="326"/>
      <c r="FG97" s="326"/>
      <c r="FH97" s="326"/>
      <c r="FI97" s="326"/>
      <c r="FJ97" s="326"/>
      <c r="FK97" s="326"/>
      <c r="FL97" s="326"/>
      <c r="FM97" s="326"/>
      <c r="FN97" s="326"/>
      <c r="FO97" s="326"/>
      <c r="FP97" s="326"/>
      <c r="FQ97" s="326"/>
      <c r="FR97" s="326"/>
      <c r="FS97" s="326"/>
      <c r="FT97" s="326"/>
      <c r="FU97" s="326"/>
      <c r="FV97" s="326"/>
      <c r="FW97" s="326"/>
      <c r="FX97" s="326"/>
      <c r="FY97" s="326"/>
      <c r="FZ97" s="326"/>
      <c r="GA97" s="326"/>
      <c r="GB97" s="326"/>
      <c r="GC97" s="326"/>
      <c r="GD97" s="326"/>
      <c r="GE97" s="326"/>
      <c r="GF97" s="326"/>
      <c r="GG97" s="326"/>
      <c r="GH97" s="326"/>
      <c r="GI97" s="326"/>
      <c r="GJ97" s="326"/>
      <c r="GK97" s="326"/>
      <c r="GL97" s="326"/>
      <c r="GM97" s="326"/>
      <c r="GN97" s="326"/>
      <c r="GO97" s="326"/>
      <c r="GP97" s="326"/>
      <c r="GQ97" s="326"/>
      <c r="GR97" s="326"/>
      <c r="GS97" s="326"/>
      <c r="GT97" s="326"/>
      <c r="GU97" s="326"/>
      <c r="GV97" s="326"/>
      <c r="GW97" s="326"/>
      <c r="GX97" s="326"/>
      <c r="GY97" s="326"/>
      <c r="GZ97" s="326"/>
      <c r="HA97" s="326"/>
      <c r="HB97" s="326"/>
      <c r="HC97" s="326"/>
      <c r="HD97" s="326"/>
      <c r="HE97" s="326"/>
      <c r="HF97" s="326"/>
      <c r="HG97" s="326"/>
      <c r="HH97" s="326"/>
      <c r="HI97" s="326"/>
      <c r="HJ97" s="326"/>
      <c r="HK97" s="326"/>
      <c r="HL97" s="326"/>
      <c r="HM97" s="326"/>
      <c r="HN97" s="326"/>
      <c r="HO97" s="326"/>
      <c r="HP97" s="326"/>
      <c r="HQ97" s="326"/>
      <c r="HR97" s="326"/>
      <c r="HS97" s="326"/>
      <c r="HT97" s="326"/>
      <c r="HU97" s="326"/>
      <c r="HV97" s="326"/>
      <c r="HW97" s="326"/>
      <c r="HX97" s="326"/>
      <c r="HY97" s="326"/>
      <c r="HZ97" s="326"/>
      <c r="IA97" s="326"/>
      <c r="IB97" s="326"/>
      <c r="IC97" s="326"/>
      <c r="ID97" s="326"/>
      <c r="IE97" s="326"/>
      <c r="IF97" s="326"/>
      <c r="IG97" s="326"/>
      <c r="IH97" s="326"/>
      <c r="II97" s="326"/>
      <c r="IJ97" s="326"/>
      <c r="IK97" s="326"/>
      <c r="IL97" s="326"/>
      <c r="IM97" s="326"/>
      <c r="IN97" s="326"/>
      <c r="IO97" s="326"/>
      <c r="IP97" s="326"/>
      <c r="IQ97" s="326"/>
      <c r="IR97" s="326"/>
      <c r="IS97" s="326"/>
      <c r="IT97" s="326"/>
      <c r="IU97" s="326"/>
      <c r="IV97" s="326"/>
    </row>
    <row r="98" spans="1:256" s="560" customFormat="1" ht="18" customHeight="1">
      <c r="A98" s="574">
        <v>89</v>
      </c>
      <c r="B98" s="1522"/>
      <c r="C98" s="1523"/>
      <c r="D98" s="1391" t="s">
        <v>1091</v>
      </c>
      <c r="E98" s="829"/>
      <c r="F98" s="564"/>
      <c r="G98" s="1516"/>
      <c r="H98" s="831"/>
      <c r="I98" s="1524"/>
      <c r="J98" s="1524"/>
      <c r="K98" s="832"/>
      <c r="L98" s="832"/>
      <c r="M98" s="832">
        <f>SUM(M96:M97)</f>
        <v>19000</v>
      </c>
      <c r="N98" s="1524"/>
      <c r="O98" s="1392">
        <f t="shared" si="0"/>
        <v>19000</v>
      </c>
      <c r="P98" s="819"/>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26"/>
      <c r="BU98" s="326"/>
      <c r="BV98" s="326"/>
      <c r="BW98" s="326"/>
      <c r="BX98" s="326"/>
      <c r="BY98" s="326"/>
      <c r="BZ98" s="326"/>
      <c r="CA98" s="326"/>
      <c r="CB98" s="326"/>
      <c r="CC98" s="326"/>
      <c r="CD98" s="326"/>
      <c r="CE98" s="326"/>
      <c r="CF98" s="326"/>
      <c r="CG98" s="326"/>
      <c r="CH98" s="326"/>
      <c r="CI98" s="326"/>
      <c r="CJ98" s="326"/>
      <c r="CK98" s="326"/>
      <c r="CL98" s="326"/>
      <c r="CM98" s="326"/>
      <c r="CN98" s="326"/>
      <c r="CO98" s="326"/>
      <c r="CP98" s="326"/>
      <c r="CQ98" s="326"/>
      <c r="CR98" s="326"/>
      <c r="CS98" s="326"/>
      <c r="CT98" s="326"/>
      <c r="CU98" s="326"/>
      <c r="CV98" s="326"/>
      <c r="CW98" s="326"/>
      <c r="CX98" s="326"/>
      <c r="CY98" s="326"/>
      <c r="CZ98" s="326"/>
      <c r="DA98" s="326"/>
      <c r="DB98" s="326"/>
      <c r="DC98" s="326"/>
      <c r="DD98" s="326"/>
      <c r="DE98" s="326"/>
      <c r="DF98" s="326"/>
      <c r="DG98" s="326"/>
      <c r="DH98" s="326"/>
      <c r="DI98" s="326"/>
      <c r="DJ98" s="326"/>
      <c r="DK98" s="326"/>
      <c r="DL98" s="326"/>
      <c r="DM98" s="326"/>
      <c r="DN98" s="326"/>
      <c r="DO98" s="326"/>
      <c r="DP98" s="326"/>
      <c r="DQ98" s="326"/>
      <c r="DR98" s="326"/>
      <c r="DS98" s="326"/>
      <c r="DT98" s="326"/>
      <c r="DU98" s="326"/>
      <c r="DV98" s="326"/>
      <c r="DW98" s="326"/>
      <c r="DX98" s="326"/>
      <c r="DY98" s="326"/>
      <c r="DZ98" s="326"/>
      <c r="EA98" s="326"/>
      <c r="EB98" s="326"/>
      <c r="EC98" s="326"/>
      <c r="ED98" s="326"/>
      <c r="EE98" s="326"/>
      <c r="EF98" s="326"/>
      <c r="EG98" s="326"/>
      <c r="EH98" s="326"/>
      <c r="EI98" s="326"/>
      <c r="EJ98" s="326"/>
      <c r="EK98" s="326"/>
      <c r="EL98" s="326"/>
      <c r="EM98" s="326"/>
      <c r="EN98" s="326"/>
      <c r="EO98" s="326"/>
      <c r="EP98" s="326"/>
      <c r="EQ98" s="326"/>
      <c r="ER98" s="326"/>
      <c r="ES98" s="326"/>
      <c r="ET98" s="326"/>
      <c r="EU98" s="326"/>
      <c r="EV98" s="326"/>
      <c r="EW98" s="326"/>
      <c r="EX98" s="326"/>
      <c r="EY98" s="326"/>
      <c r="EZ98" s="326"/>
      <c r="FA98" s="326"/>
      <c r="FB98" s="326"/>
      <c r="FC98" s="326"/>
      <c r="FD98" s="326"/>
      <c r="FE98" s="326"/>
      <c r="FF98" s="326"/>
      <c r="FG98" s="326"/>
      <c r="FH98" s="326"/>
      <c r="FI98" s="326"/>
      <c r="FJ98" s="326"/>
      <c r="FK98" s="326"/>
      <c r="FL98" s="326"/>
      <c r="FM98" s="326"/>
      <c r="FN98" s="326"/>
      <c r="FO98" s="326"/>
      <c r="FP98" s="326"/>
      <c r="FQ98" s="326"/>
      <c r="FR98" s="326"/>
      <c r="FS98" s="326"/>
      <c r="FT98" s="326"/>
      <c r="FU98" s="326"/>
      <c r="FV98" s="326"/>
      <c r="FW98" s="326"/>
      <c r="FX98" s="326"/>
      <c r="FY98" s="326"/>
      <c r="FZ98" s="326"/>
      <c r="GA98" s="326"/>
      <c r="GB98" s="326"/>
      <c r="GC98" s="326"/>
      <c r="GD98" s="326"/>
      <c r="GE98" s="326"/>
      <c r="GF98" s="326"/>
      <c r="GG98" s="326"/>
      <c r="GH98" s="326"/>
      <c r="GI98" s="326"/>
      <c r="GJ98" s="326"/>
      <c r="GK98" s="326"/>
      <c r="GL98" s="326"/>
      <c r="GM98" s="326"/>
      <c r="GN98" s="326"/>
      <c r="GO98" s="326"/>
      <c r="GP98" s="326"/>
      <c r="GQ98" s="326"/>
      <c r="GR98" s="326"/>
      <c r="GS98" s="326"/>
      <c r="GT98" s="326"/>
      <c r="GU98" s="326"/>
      <c r="GV98" s="326"/>
      <c r="GW98" s="326"/>
      <c r="GX98" s="326"/>
      <c r="GY98" s="326"/>
      <c r="GZ98" s="326"/>
      <c r="HA98" s="326"/>
      <c r="HB98" s="326"/>
      <c r="HC98" s="326"/>
      <c r="HD98" s="326"/>
      <c r="HE98" s="326"/>
      <c r="HF98" s="326"/>
      <c r="HG98" s="326"/>
      <c r="HH98" s="326"/>
      <c r="HI98" s="326"/>
      <c r="HJ98" s="326"/>
      <c r="HK98" s="326"/>
      <c r="HL98" s="326"/>
      <c r="HM98" s="326"/>
      <c r="HN98" s="326"/>
      <c r="HO98" s="326"/>
      <c r="HP98" s="326"/>
      <c r="HQ98" s="326"/>
      <c r="HR98" s="326"/>
      <c r="HS98" s="326"/>
      <c r="HT98" s="326"/>
      <c r="HU98" s="326"/>
      <c r="HV98" s="326"/>
      <c r="HW98" s="326"/>
      <c r="HX98" s="326"/>
      <c r="HY98" s="326"/>
      <c r="HZ98" s="326"/>
      <c r="IA98" s="326"/>
      <c r="IB98" s="326"/>
      <c r="IC98" s="326"/>
      <c r="ID98" s="326"/>
      <c r="IE98" s="326"/>
      <c r="IF98" s="326"/>
      <c r="IG98" s="326"/>
      <c r="IH98" s="326"/>
      <c r="II98" s="326"/>
      <c r="IJ98" s="326"/>
      <c r="IK98" s="326"/>
      <c r="IL98" s="326"/>
      <c r="IM98" s="326"/>
      <c r="IN98" s="326"/>
      <c r="IO98" s="326"/>
      <c r="IP98" s="326"/>
      <c r="IQ98" s="326"/>
      <c r="IR98" s="326"/>
      <c r="IS98" s="326"/>
      <c r="IT98" s="326"/>
      <c r="IU98" s="326"/>
      <c r="IV98" s="326"/>
    </row>
    <row r="99" spans="1:256" s="560" customFormat="1" ht="55.5" customHeight="1">
      <c r="A99" s="574">
        <v>90</v>
      </c>
      <c r="B99" s="568"/>
      <c r="C99" s="327">
        <v>19</v>
      </c>
      <c r="D99" s="328" t="s">
        <v>1054</v>
      </c>
      <c r="E99" s="1478">
        <f>F99+G99+O101+P101</f>
        <v>56000</v>
      </c>
      <c r="F99" s="564"/>
      <c r="G99" s="1725"/>
      <c r="H99" s="773"/>
      <c r="I99" s="788"/>
      <c r="J99" s="788"/>
      <c r="K99" s="770"/>
      <c r="L99" s="770"/>
      <c r="M99" s="770"/>
      <c r="N99" s="788"/>
      <c r="O99" s="1462"/>
      <c r="P99" s="565"/>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26"/>
      <c r="BU99" s="326"/>
      <c r="BV99" s="326"/>
      <c r="BW99" s="326"/>
      <c r="BX99" s="326"/>
      <c r="BY99" s="326"/>
      <c r="BZ99" s="326"/>
      <c r="CA99" s="326"/>
      <c r="CB99" s="326"/>
      <c r="CC99" s="326"/>
      <c r="CD99" s="326"/>
      <c r="CE99" s="326"/>
      <c r="CF99" s="326"/>
      <c r="CG99" s="326"/>
      <c r="CH99" s="326"/>
      <c r="CI99" s="326"/>
      <c r="CJ99" s="326"/>
      <c r="CK99" s="326"/>
      <c r="CL99" s="326"/>
      <c r="CM99" s="326"/>
      <c r="CN99" s="326"/>
      <c r="CO99" s="326"/>
      <c r="CP99" s="326"/>
      <c r="CQ99" s="326"/>
      <c r="CR99" s="326"/>
      <c r="CS99" s="326"/>
      <c r="CT99" s="326"/>
      <c r="CU99" s="326"/>
      <c r="CV99" s="326"/>
      <c r="CW99" s="326"/>
      <c r="CX99" s="326"/>
      <c r="CY99" s="326"/>
      <c r="CZ99" s="326"/>
      <c r="DA99" s="326"/>
      <c r="DB99" s="326"/>
      <c r="DC99" s="326"/>
      <c r="DD99" s="326"/>
      <c r="DE99" s="326"/>
      <c r="DF99" s="326"/>
      <c r="DG99" s="326"/>
      <c r="DH99" s="326"/>
      <c r="DI99" s="326"/>
      <c r="DJ99" s="326"/>
      <c r="DK99" s="326"/>
      <c r="DL99" s="326"/>
      <c r="DM99" s="326"/>
      <c r="DN99" s="326"/>
      <c r="DO99" s="326"/>
      <c r="DP99" s="326"/>
      <c r="DQ99" s="326"/>
      <c r="DR99" s="326"/>
      <c r="DS99" s="326"/>
      <c r="DT99" s="326"/>
      <c r="DU99" s="326"/>
      <c r="DV99" s="326"/>
      <c r="DW99" s="326"/>
      <c r="DX99" s="326"/>
      <c r="DY99" s="326"/>
      <c r="DZ99" s="326"/>
      <c r="EA99" s="326"/>
      <c r="EB99" s="326"/>
      <c r="EC99" s="326"/>
      <c r="ED99" s="326"/>
      <c r="EE99" s="326"/>
      <c r="EF99" s="326"/>
      <c r="EG99" s="326"/>
      <c r="EH99" s="326"/>
      <c r="EI99" s="326"/>
      <c r="EJ99" s="326"/>
      <c r="EK99" s="326"/>
      <c r="EL99" s="326"/>
      <c r="EM99" s="326"/>
      <c r="EN99" s="326"/>
      <c r="EO99" s="326"/>
      <c r="EP99" s="326"/>
      <c r="EQ99" s="326"/>
      <c r="ER99" s="326"/>
      <c r="ES99" s="326"/>
      <c r="ET99" s="326"/>
      <c r="EU99" s="326"/>
      <c r="EV99" s="326"/>
      <c r="EW99" s="326"/>
      <c r="EX99" s="326"/>
      <c r="EY99" s="326"/>
      <c r="EZ99" s="326"/>
      <c r="FA99" s="326"/>
      <c r="FB99" s="326"/>
      <c r="FC99" s="326"/>
      <c r="FD99" s="326"/>
      <c r="FE99" s="326"/>
      <c r="FF99" s="326"/>
      <c r="FG99" s="326"/>
      <c r="FH99" s="326"/>
      <c r="FI99" s="326"/>
      <c r="FJ99" s="326"/>
      <c r="FK99" s="326"/>
      <c r="FL99" s="326"/>
      <c r="FM99" s="326"/>
      <c r="FN99" s="326"/>
      <c r="FO99" s="326"/>
      <c r="FP99" s="326"/>
      <c r="FQ99" s="326"/>
      <c r="FR99" s="326"/>
      <c r="FS99" s="326"/>
      <c r="FT99" s="326"/>
      <c r="FU99" s="326"/>
      <c r="FV99" s="326"/>
      <c r="FW99" s="326"/>
      <c r="FX99" s="326"/>
      <c r="FY99" s="326"/>
      <c r="FZ99" s="326"/>
      <c r="GA99" s="326"/>
      <c r="GB99" s="326"/>
      <c r="GC99" s="326"/>
      <c r="GD99" s="326"/>
      <c r="GE99" s="326"/>
      <c r="GF99" s="326"/>
      <c r="GG99" s="326"/>
      <c r="GH99" s="326"/>
      <c r="GI99" s="326"/>
      <c r="GJ99" s="326"/>
      <c r="GK99" s="326"/>
      <c r="GL99" s="326"/>
      <c r="GM99" s="326"/>
      <c r="GN99" s="326"/>
      <c r="GO99" s="326"/>
      <c r="GP99" s="326"/>
      <c r="GQ99" s="326"/>
      <c r="GR99" s="326"/>
      <c r="GS99" s="326"/>
      <c r="GT99" s="326"/>
      <c r="GU99" s="326"/>
      <c r="GV99" s="326"/>
      <c r="GW99" s="326"/>
      <c r="GX99" s="326"/>
      <c r="GY99" s="326"/>
      <c r="GZ99" s="326"/>
      <c r="HA99" s="326"/>
      <c r="HB99" s="326"/>
      <c r="HC99" s="326"/>
      <c r="HD99" s="326"/>
      <c r="HE99" s="326"/>
      <c r="HF99" s="326"/>
      <c r="HG99" s="326"/>
      <c r="HH99" s="326"/>
      <c r="HI99" s="326"/>
      <c r="HJ99" s="326"/>
      <c r="HK99" s="326"/>
      <c r="HL99" s="326"/>
      <c r="HM99" s="326"/>
      <c r="HN99" s="326"/>
      <c r="HO99" s="326"/>
      <c r="HP99" s="326"/>
      <c r="HQ99" s="326"/>
      <c r="HR99" s="326"/>
      <c r="HS99" s="326"/>
      <c r="HT99" s="326"/>
      <c r="HU99" s="326"/>
      <c r="HV99" s="326"/>
      <c r="HW99" s="326"/>
      <c r="HX99" s="326"/>
      <c r="HY99" s="326"/>
      <c r="HZ99" s="326"/>
      <c r="IA99" s="326"/>
      <c r="IB99" s="326"/>
      <c r="IC99" s="326"/>
      <c r="ID99" s="326"/>
      <c r="IE99" s="326"/>
      <c r="IF99" s="326"/>
      <c r="IG99" s="326"/>
      <c r="IH99" s="326"/>
      <c r="II99" s="326"/>
      <c r="IJ99" s="326"/>
      <c r="IK99" s="326"/>
      <c r="IL99" s="326"/>
      <c r="IM99" s="326"/>
      <c r="IN99" s="326"/>
      <c r="IO99" s="326"/>
      <c r="IP99" s="326"/>
      <c r="IQ99" s="326"/>
      <c r="IR99" s="326"/>
      <c r="IS99" s="326"/>
      <c r="IT99" s="326"/>
      <c r="IU99" s="326"/>
      <c r="IV99" s="326"/>
    </row>
    <row r="100" spans="1:256" s="560" customFormat="1" ht="18" customHeight="1">
      <c r="A100" s="574">
        <v>91</v>
      </c>
      <c r="B100" s="558"/>
      <c r="C100" s="2002"/>
      <c r="D100" s="2003" t="s">
        <v>725</v>
      </c>
      <c r="E100" s="333"/>
      <c r="F100" s="331"/>
      <c r="G100" s="1509"/>
      <c r="H100" s="773"/>
      <c r="I100" s="788"/>
      <c r="J100" s="788"/>
      <c r="K100" s="1305">
        <v>31000</v>
      </c>
      <c r="L100" s="1305"/>
      <c r="M100" s="1305">
        <v>25000</v>
      </c>
      <c r="N100" s="788"/>
      <c r="O100" s="1327">
        <f t="shared" si="0"/>
        <v>56000</v>
      </c>
      <c r="P100" s="565"/>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326"/>
      <c r="BS100" s="326"/>
      <c r="BT100" s="326"/>
      <c r="BU100" s="326"/>
      <c r="BV100" s="326"/>
      <c r="BW100" s="326"/>
      <c r="BX100" s="326"/>
      <c r="BY100" s="326"/>
      <c r="BZ100" s="326"/>
      <c r="CA100" s="326"/>
      <c r="CB100" s="326"/>
      <c r="CC100" s="326"/>
      <c r="CD100" s="326"/>
      <c r="CE100" s="326"/>
      <c r="CF100" s="326"/>
      <c r="CG100" s="326"/>
      <c r="CH100" s="326"/>
      <c r="CI100" s="326"/>
      <c r="CJ100" s="326"/>
      <c r="CK100" s="326"/>
      <c r="CL100" s="326"/>
      <c r="CM100" s="326"/>
      <c r="CN100" s="326"/>
      <c r="CO100" s="326"/>
      <c r="CP100" s="326"/>
      <c r="CQ100" s="326"/>
      <c r="CR100" s="326"/>
      <c r="CS100" s="326"/>
      <c r="CT100" s="326"/>
      <c r="CU100" s="326"/>
      <c r="CV100" s="326"/>
      <c r="CW100" s="326"/>
      <c r="CX100" s="326"/>
      <c r="CY100" s="326"/>
      <c r="CZ100" s="326"/>
      <c r="DA100" s="326"/>
      <c r="DB100" s="326"/>
      <c r="DC100" s="326"/>
      <c r="DD100" s="326"/>
      <c r="DE100" s="326"/>
      <c r="DF100" s="326"/>
      <c r="DG100" s="326"/>
      <c r="DH100" s="326"/>
      <c r="DI100" s="326"/>
      <c r="DJ100" s="326"/>
      <c r="DK100" s="326"/>
      <c r="DL100" s="326"/>
      <c r="DM100" s="326"/>
      <c r="DN100" s="326"/>
      <c r="DO100" s="326"/>
      <c r="DP100" s="326"/>
      <c r="DQ100" s="326"/>
      <c r="DR100" s="326"/>
      <c r="DS100" s="326"/>
      <c r="DT100" s="326"/>
      <c r="DU100" s="326"/>
      <c r="DV100" s="326"/>
      <c r="DW100" s="326"/>
      <c r="DX100" s="326"/>
      <c r="DY100" s="326"/>
      <c r="DZ100" s="326"/>
      <c r="EA100" s="326"/>
      <c r="EB100" s="326"/>
      <c r="EC100" s="326"/>
      <c r="ED100" s="326"/>
      <c r="EE100" s="326"/>
      <c r="EF100" s="326"/>
      <c r="EG100" s="326"/>
      <c r="EH100" s="326"/>
      <c r="EI100" s="326"/>
      <c r="EJ100" s="326"/>
      <c r="EK100" s="326"/>
      <c r="EL100" s="326"/>
      <c r="EM100" s="326"/>
      <c r="EN100" s="326"/>
      <c r="EO100" s="326"/>
      <c r="EP100" s="326"/>
      <c r="EQ100" s="326"/>
      <c r="ER100" s="326"/>
      <c r="ES100" s="326"/>
      <c r="ET100" s="326"/>
      <c r="EU100" s="326"/>
      <c r="EV100" s="326"/>
      <c r="EW100" s="326"/>
      <c r="EX100" s="326"/>
      <c r="EY100" s="326"/>
      <c r="EZ100" s="326"/>
      <c r="FA100" s="326"/>
      <c r="FB100" s="326"/>
      <c r="FC100" s="326"/>
      <c r="FD100" s="326"/>
      <c r="FE100" s="326"/>
      <c r="FF100" s="326"/>
      <c r="FG100" s="326"/>
      <c r="FH100" s="326"/>
      <c r="FI100" s="326"/>
      <c r="FJ100" s="326"/>
      <c r="FK100" s="326"/>
      <c r="FL100" s="326"/>
      <c r="FM100" s="326"/>
      <c r="FN100" s="326"/>
      <c r="FO100" s="326"/>
      <c r="FP100" s="326"/>
      <c r="FQ100" s="326"/>
      <c r="FR100" s="326"/>
      <c r="FS100" s="326"/>
      <c r="FT100" s="326"/>
      <c r="FU100" s="326"/>
      <c r="FV100" s="326"/>
      <c r="FW100" s="326"/>
      <c r="FX100" s="326"/>
      <c r="FY100" s="326"/>
      <c r="FZ100" s="326"/>
      <c r="GA100" s="326"/>
      <c r="GB100" s="326"/>
      <c r="GC100" s="326"/>
      <c r="GD100" s="326"/>
      <c r="GE100" s="326"/>
      <c r="GF100" s="326"/>
      <c r="GG100" s="326"/>
      <c r="GH100" s="326"/>
      <c r="GI100" s="326"/>
      <c r="GJ100" s="326"/>
      <c r="GK100" s="326"/>
      <c r="GL100" s="326"/>
      <c r="GM100" s="326"/>
      <c r="GN100" s="326"/>
      <c r="GO100" s="326"/>
      <c r="GP100" s="326"/>
      <c r="GQ100" s="326"/>
      <c r="GR100" s="326"/>
      <c r="GS100" s="326"/>
      <c r="GT100" s="326"/>
      <c r="GU100" s="326"/>
      <c r="GV100" s="326"/>
      <c r="GW100" s="326"/>
      <c r="GX100" s="326"/>
      <c r="GY100" s="326"/>
      <c r="GZ100" s="326"/>
      <c r="HA100" s="326"/>
      <c r="HB100" s="326"/>
      <c r="HC100" s="326"/>
      <c r="HD100" s="326"/>
      <c r="HE100" s="326"/>
      <c r="HF100" s="326"/>
      <c r="HG100" s="326"/>
      <c r="HH100" s="326"/>
      <c r="HI100" s="326"/>
      <c r="HJ100" s="326"/>
      <c r="HK100" s="326"/>
      <c r="HL100" s="326"/>
      <c r="HM100" s="326"/>
      <c r="HN100" s="326"/>
      <c r="HO100" s="326"/>
      <c r="HP100" s="326"/>
      <c r="HQ100" s="326"/>
      <c r="HR100" s="326"/>
      <c r="HS100" s="326"/>
      <c r="HT100" s="326"/>
      <c r="HU100" s="326"/>
      <c r="HV100" s="326"/>
      <c r="HW100" s="326"/>
      <c r="HX100" s="326"/>
      <c r="HY100" s="326"/>
      <c r="HZ100" s="326"/>
      <c r="IA100" s="326"/>
      <c r="IB100" s="326"/>
      <c r="IC100" s="326"/>
      <c r="ID100" s="326"/>
      <c r="IE100" s="326"/>
      <c r="IF100" s="326"/>
      <c r="IG100" s="326"/>
      <c r="IH100" s="326"/>
      <c r="II100" s="326"/>
      <c r="IJ100" s="326"/>
      <c r="IK100" s="326"/>
      <c r="IL100" s="326"/>
      <c r="IM100" s="326"/>
      <c r="IN100" s="326"/>
      <c r="IO100" s="326"/>
      <c r="IP100" s="326"/>
      <c r="IQ100" s="326"/>
      <c r="IR100" s="326"/>
      <c r="IS100" s="326"/>
      <c r="IT100" s="326"/>
      <c r="IU100" s="326"/>
      <c r="IV100" s="326"/>
    </row>
    <row r="101" spans="1:256" s="560" customFormat="1" ht="18" customHeight="1" thickBot="1">
      <c r="A101" s="574">
        <v>92</v>
      </c>
      <c r="B101" s="2004"/>
      <c r="C101" s="2005"/>
      <c r="D101" s="1269" t="s">
        <v>1091</v>
      </c>
      <c r="E101" s="1382"/>
      <c r="F101" s="1383"/>
      <c r="G101" s="2001"/>
      <c r="H101" s="1301"/>
      <c r="I101" s="1323"/>
      <c r="J101" s="1323"/>
      <c r="K101" s="2006">
        <f>SUM(K100)</f>
        <v>31000</v>
      </c>
      <c r="L101" s="2006"/>
      <c r="M101" s="2006">
        <f>SUM(M100)</f>
        <v>25000</v>
      </c>
      <c r="N101" s="1323"/>
      <c r="O101" s="1392">
        <f t="shared" si="0"/>
        <v>56000</v>
      </c>
      <c r="P101" s="1304"/>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6"/>
      <c r="AZ101" s="326"/>
      <c r="BA101" s="326"/>
      <c r="BB101" s="326"/>
      <c r="BC101" s="326"/>
      <c r="BD101" s="326"/>
      <c r="BE101" s="326"/>
      <c r="BF101" s="326"/>
      <c r="BG101" s="326"/>
      <c r="BH101" s="326"/>
      <c r="BI101" s="326"/>
      <c r="BJ101" s="326"/>
      <c r="BK101" s="326"/>
      <c r="BL101" s="326"/>
      <c r="BM101" s="326"/>
      <c r="BN101" s="326"/>
      <c r="BO101" s="326"/>
      <c r="BP101" s="326"/>
      <c r="BQ101" s="326"/>
      <c r="BR101" s="326"/>
      <c r="BS101" s="326"/>
      <c r="BT101" s="326"/>
      <c r="BU101" s="326"/>
      <c r="BV101" s="326"/>
      <c r="BW101" s="326"/>
      <c r="BX101" s="326"/>
      <c r="BY101" s="326"/>
      <c r="BZ101" s="326"/>
      <c r="CA101" s="326"/>
      <c r="CB101" s="326"/>
      <c r="CC101" s="326"/>
      <c r="CD101" s="326"/>
      <c r="CE101" s="326"/>
      <c r="CF101" s="326"/>
      <c r="CG101" s="326"/>
      <c r="CH101" s="326"/>
      <c r="CI101" s="326"/>
      <c r="CJ101" s="326"/>
      <c r="CK101" s="326"/>
      <c r="CL101" s="326"/>
      <c r="CM101" s="326"/>
      <c r="CN101" s="326"/>
      <c r="CO101" s="326"/>
      <c r="CP101" s="326"/>
      <c r="CQ101" s="326"/>
      <c r="CR101" s="326"/>
      <c r="CS101" s="326"/>
      <c r="CT101" s="326"/>
      <c r="CU101" s="326"/>
      <c r="CV101" s="326"/>
      <c r="CW101" s="326"/>
      <c r="CX101" s="326"/>
      <c r="CY101" s="326"/>
      <c r="CZ101" s="326"/>
      <c r="DA101" s="326"/>
      <c r="DB101" s="326"/>
      <c r="DC101" s="326"/>
      <c r="DD101" s="326"/>
      <c r="DE101" s="326"/>
      <c r="DF101" s="326"/>
      <c r="DG101" s="326"/>
      <c r="DH101" s="326"/>
      <c r="DI101" s="326"/>
      <c r="DJ101" s="326"/>
      <c r="DK101" s="326"/>
      <c r="DL101" s="326"/>
      <c r="DM101" s="326"/>
      <c r="DN101" s="326"/>
      <c r="DO101" s="326"/>
      <c r="DP101" s="326"/>
      <c r="DQ101" s="326"/>
      <c r="DR101" s="326"/>
      <c r="DS101" s="326"/>
      <c r="DT101" s="326"/>
      <c r="DU101" s="326"/>
      <c r="DV101" s="326"/>
      <c r="DW101" s="326"/>
      <c r="DX101" s="326"/>
      <c r="DY101" s="326"/>
      <c r="DZ101" s="326"/>
      <c r="EA101" s="326"/>
      <c r="EB101" s="326"/>
      <c r="EC101" s="326"/>
      <c r="ED101" s="326"/>
      <c r="EE101" s="326"/>
      <c r="EF101" s="326"/>
      <c r="EG101" s="326"/>
      <c r="EH101" s="326"/>
      <c r="EI101" s="326"/>
      <c r="EJ101" s="326"/>
      <c r="EK101" s="326"/>
      <c r="EL101" s="326"/>
      <c r="EM101" s="326"/>
      <c r="EN101" s="326"/>
      <c r="EO101" s="326"/>
      <c r="EP101" s="326"/>
      <c r="EQ101" s="326"/>
      <c r="ER101" s="326"/>
      <c r="ES101" s="326"/>
      <c r="ET101" s="326"/>
      <c r="EU101" s="326"/>
      <c r="EV101" s="326"/>
      <c r="EW101" s="326"/>
      <c r="EX101" s="326"/>
      <c r="EY101" s="326"/>
      <c r="EZ101" s="326"/>
      <c r="FA101" s="326"/>
      <c r="FB101" s="326"/>
      <c r="FC101" s="326"/>
      <c r="FD101" s="326"/>
      <c r="FE101" s="326"/>
      <c r="FF101" s="326"/>
      <c r="FG101" s="326"/>
      <c r="FH101" s="326"/>
      <c r="FI101" s="326"/>
      <c r="FJ101" s="326"/>
      <c r="FK101" s="326"/>
      <c r="FL101" s="326"/>
      <c r="FM101" s="326"/>
      <c r="FN101" s="326"/>
      <c r="FO101" s="326"/>
      <c r="FP101" s="326"/>
      <c r="FQ101" s="326"/>
      <c r="FR101" s="326"/>
      <c r="FS101" s="326"/>
      <c r="FT101" s="326"/>
      <c r="FU101" s="326"/>
      <c r="FV101" s="326"/>
      <c r="FW101" s="326"/>
      <c r="FX101" s="326"/>
      <c r="FY101" s="326"/>
      <c r="FZ101" s="326"/>
      <c r="GA101" s="326"/>
      <c r="GB101" s="326"/>
      <c r="GC101" s="326"/>
      <c r="GD101" s="326"/>
      <c r="GE101" s="326"/>
      <c r="GF101" s="326"/>
      <c r="GG101" s="326"/>
      <c r="GH101" s="326"/>
      <c r="GI101" s="326"/>
      <c r="GJ101" s="326"/>
      <c r="GK101" s="326"/>
      <c r="GL101" s="326"/>
      <c r="GM101" s="326"/>
      <c r="GN101" s="326"/>
      <c r="GO101" s="326"/>
      <c r="GP101" s="326"/>
      <c r="GQ101" s="326"/>
      <c r="GR101" s="326"/>
      <c r="GS101" s="326"/>
      <c r="GT101" s="326"/>
      <c r="GU101" s="326"/>
      <c r="GV101" s="326"/>
      <c r="GW101" s="326"/>
      <c r="GX101" s="326"/>
      <c r="GY101" s="326"/>
      <c r="GZ101" s="326"/>
      <c r="HA101" s="326"/>
      <c r="HB101" s="326"/>
      <c r="HC101" s="326"/>
      <c r="HD101" s="326"/>
      <c r="HE101" s="326"/>
      <c r="HF101" s="326"/>
      <c r="HG101" s="326"/>
      <c r="HH101" s="326"/>
      <c r="HI101" s="326"/>
      <c r="HJ101" s="326"/>
      <c r="HK101" s="326"/>
      <c r="HL101" s="326"/>
      <c r="HM101" s="326"/>
      <c r="HN101" s="326"/>
      <c r="HO101" s="326"/>
      <c r="HP101" s="326"/>
      <c r="HQ101" s="326"/>
      <c r="HR101" s="326"/>
      <c r="HS101" s="326"/>
      <c r="HT101" s="326"/>
      <c r="HU101" s="326"/>
      <c r="HV101" s="326"/>
      <c r="HW101" s="326"/>
      <c r="HX101" s="326"/>
      <c r="HY101" s="326"/>
      <c r="HZ101" s="326"/>
      <c r="IA101" s="326"/>
      <c r="IB101" s="326"/>
      <c r="IC101" s="326"/>
      <c r="ID101" s="326"/>
      <c r="IE101" s="326"/>
      <c r="IF101" s="326"/>
      <c r="IG101" s="326"/>
      <c r="IH101" s="326"/>
      <c r="II101" s="326"/>
      <c r="IJ101" s="326"/>
      <c r="IK101" s="326"/>
      <c r="IL101" s="326"/>
      <c r="IM101" s="326"/>
      <c r="IN101" s="326"/>
      <c r="IO101" s="326"/>
      <c r="IP101" s="326"/>
      <c r="IQ101" s="326"/>
      <c r="IR101" s="326"/>
      <c r="IS101" s="326"/>
      <c r="IT101" s="326"/>
      <c r="IU101" s="326"/>
      <c r="IV101" s="326"/>
    </row>
    <row r="102" spans="1:16" s="330" customFormat="1" ht="19.5" customHeight="1">
      <c r="A102" s="574">
        <v>93</v>
      </c>
      <c r="B102" s="2291" t="s">
        <v>13</v>
      </c>
      <c r="C102" s="2292"/>
      <c r="D102" s="2292"/>
      <c r="E102" s="2292"/>
      <c r="F102" s="2292"/>
      <c r="G102" s="2293"/>
      <c r="H102" s="1331"/>
      <c r="I102" s="1530"/>
      <c r="J102" s="1530"/>
      <c r="K102" s="1530"/>
      <c r="L102" s="1530"/>
      <c r="M102" s="1530"/>
      <c r="N102" s="1530"/>
      <c r="O102" s="1530"/>
      <c r="P102" s="1400">
        <f>SUM(P11:P87)</f>
        <v>15424301</v>
      </c>
    </row>
    <row r="103" spans="1:16" s="330" customFormat="1" ht="19.5" customHeight="1">
      <c r="A103" s="574">
        <v>94</v>
      </c>
      <c r="B103" s="1525"/>
      <c r="C103" s="1526"/>
      <c r="D103" s="2328" t="s">
        <v>283</v>
      </c>
      <c r="E103" s="2329"/>
      <c r="F103" s="2329"/>
      <c r="G103" s="2330"/>
      <c r="H103" s="1527"/>
      <c r="I103" s="1528">
        <f>I87+I82+I77+I72+I67+I62+I57+I52+I47+I42+I37+I32+I27+I22+I17+I12</f>
        <v>0</v>
      </c>
      <c r="J103" s="1529">
        <f>J87+J82+J77+J72+J67+J62+J57+J52+J47+J42+J37+J32+J27+J22+J17+J12</f>
        <v>0</v>
      </c>
      <c r="K103" s="1529">
        <f>K87+K82+K77+K72+K67+K62+K57+K52+K47+K42+K37+K32+K27+K22+K17+K12</f>
        <v>209396</v>
      </c>
      <c r="L103" s="1529">
        <f>L87+L82+L77+L72+L67+L62+L57+L52+L47+L42+L37+L32+L27+L22+L17+L12</f>
        <v>0</v>
      </c>
      <c r="M103" s="1529">
        <f>M87+M82+M77+M72+M67+M62+M57+M52+M47+M42+M37+M32+M27+M22+M17+M12</f>
        <v>16186034</v>
      </c>
      <c r="N103" s="1529">
        <f>N87+N82+N77+N72+N67+N62+N57+N52+N47+N42+N37+N32+N27+N22+N17+N12</f>
        <v>40493</v>
      </c>
      <c r="O103" s="815">
        <f>SUM(I103:N103)</f>
        <v>16435923</v>
      </c>
      <c r="P103" s="1534"/>
    </row>
    <row r="104" spans="1:16" s="330" customFormat="1" ht="19.5" customHeight="1">
      <c r="A104" s="574">
        <v>95</v>
      </c>
      <c r="B104" s="1525"/>
      <c r="C104" s="1526"/>
      <c r="D104" s="2059" t="s">
        <v>938</v>
      </c>
      <c r="E104" s="2194"/>
      <c r="F104" s="2194"/>
      <c r="G104" s="2195"/>
      <c r="H104" s="1527"/>
      <c r="I104" s="1674">
        <f>I88+I83+I78+I73+I68+I63+I58+I53+I48+I43+I38+I33+I28+I23+I18+I13+I96+I92</f>
        <v>0</v>
      </c>
      <c r="J104" s="1674">
        <f>J88+J83+J78+J73+J68+J63+J58+J53+J48+J43+J38+J33+J28+J23+J18+J13+J96+J92</f>
        <v>0</v>
      </c>
      <c r="K104" s="1674">
        <f>K88+K83+K78+K73+K68+K63+K58+K53+K48+K43+K38+K33+K28+K23+K18+K13+K96+K92</f>
        <v>201012</v>
      </c>
      <c r="L104" s="1674">
        <f>L88+L83+L78+L73+L68+L63+L58+L53+L48+L43+L38+L33+L28+L23+L18+L13+L96+L92</f>
        <v>459</v>
      </c>
      <c r="M104" s="1674">
        <f>M88+M83+M78+M73+M68+M63+M58+M53+M48+M43+M38+M33+M28+M23+M18+M13+M96+M92</f>
        <v>16271389</v>
      </c>
      <c r="N104" s="1674">
        <f>N88+N83+N78+N73+N68+N63+N58+N53+N48+N43+N38+N33+N28+N23+N18+N13+N96+N92</f>
        <v>42063</v>
      </c>
      <c r="O104" s="981">
        <f>SUM(I104:N104)</f>
        <v>16514923</v>
      </c>
      <c r="P104" s="1534"/>
    </row>
    <row r="105" spans="1:16" s="330" customFormat="1" ht="19.5" customHeight="1">
      <c r="A105" s="574">
        <v>96</v>
      </c>
      <c r="B105" s="1312"/>
      <c r="C105" s="1310"/>
      <c r="D105" s="2188" t="s">
        <v>674</v>
      </c>
      <c r="E105" s="2189"/>
      <c r="F105" s="2189"/>
      <c r="G105" s="2190"/>
      <c r="H105" s="1332"/>
      <c r="I105" s="1306">
        <f>I89+I84+I79+I74+I69+I64+I59+I54+I49+I44+I39+I34+I29+I24+I19+I14+I93+I97+I100</f>
        <v>0</v>
      </c>
      <c r="J105" s="1306">
        <f>J89+J84+J79+J74+J69+J64+J59+J54+J49+J44+J39+J34+J29+J24+J19+J14+J93+J97+J100</f>
        <v>0</v>
      </c>
      <c r="K105" s="1306">
        <f>K89+K84+K79+K74+K69+K64+K59+K54+K49+K44+K39+K34+K29+K24+K19+K14+K93+K97+K100</f>
        <v>79425</v>
      </c>
      <c r="L105" s="1306">
        <f>L89+L84+L79+L74+L69+L64+L59+L54+L49+L44+L39+L34+L29+L24+L19+L14+L93+L97+L100</f>
        <v>6</v>
      </c>
      <c r="M105" s="1306">
        <f>M89+M84+M79+M74+M69+M64+M59+M54+M49+M44+M39+M34+M29+M24+M19+M14+M93+M97+M100</f>
        <v>1932555</v>
      </c>
      <c r="N105" s="1306">
        <f>N89+N84+N79+N74+N69+N64+N59+N54+N49+N44+N39+N34+N29+N24+N19+N14+N93+N97+N100</f>
        <v>0</v>
      </c>
      <c r="O105" s="1307">
        <f>SUM(I105:N105)</f>
        <v>2011986</v>
      </c>
      <c r="P105" s="1401"/>
    </row>
    <row r="106" spans="1:16" s="330" customFormat="1" ht="19.5" customHeight="1" thickBot="1">
      <c r="A106" s="574">
        <v>97</v>
      </c>
      <c r="B106" s="1313"/>
      <c r="C106" s="1314"/>
      <c r="D106" s="2185" t="s">
        <v>1091</v>
      </c>
      <c r="E106" s="2186"/>
      <c r="F106" s="2186"/>
      <c r="G106" s="2187"/>
      <c r="H106" s="1333"/>
      <c r="I106" s="1315">
        <f>SUM(I104:I105)</f>
        <v>0</v>
      </c>
      <c r="J106" s="1315">
        <f>SUM(J104:J105)</f>
        <v>0</v>
      </c>
      <c r="K106" s="1315">
        <f>SUM(K104:K105)</f>
        <v>280437</v>
      </c>
      <c r="L106" s="1315">
        <f>SUM(L104:L105)</f>
        <v>465</v>
      </c>
      <c r="M106" s="1315">
        <f>SUM(M104:M105)</f>
        <v>18203944</v>
      </c>
      <c r="N106" s="1315">
        <f>SUM(N104:N105)</f>
        <v>42063</v>
      </c>
      <c r="O106" s="1334">
        <f>SUM(I106:N106)</f>
        <v>18526909</v>
      </c>
      <c r="P106" s="1402"/>
    </row>
    <row r="107" spans="2:15" ht="18" customHeight="1">
      <c r="B107" s="566" t="s">
        <v>26</v>
      </c>
      <c r="C107" s="567"/>
      <c r="D107" s="566"/>
      <c r="E107" s="337"/>
      <c r="F107" s="338"/>
      <c r="G107" s="337"/>
      <c r="H107" s="553"/>
      <c r="I107" s="337"/>
      <c r="J107" s="337"/>
      <c r="K107" s="337"/>
      <c r="L107" s="337"/>
      <c r="M107" s="337"/>
      <c r="N107" s="337"/>
      <c r="O107" s="576"/>
    </row>
    <row r="108" spans="2:15" ht="18" customHeight="1">
      <c r="B108" s="566" t="s">
        <v>27</v>
      </c>
      <c r="C108" s="567"/>
      <c r="D108" s="566"/>
      <c r="E108" s="470"/>
      <c r="F108" s="338"/>
      <c r="G108" s="337"/>
      <c r="H108" s="553"/>
      <c r="I108" s="337"/>
      <c r="J108" s="337"/>
      <c r="K108" s="337"/>
      <c r="L108" s="337"/>
      <c r="M108" s="337"/>
      <c r="N108" s="337"/>
      <c r="O108" s="576"/>
    </row>
    <row r="109" spans="2:15" ht="18" customHeight="1">
      <c r="B109" s="566" t="s">
        <v>28</v>
      </c>
      <c r="C109" s="567"/>
      <c r="D109" s="566"/>
      <c r="E109" s="470"/>
      <c r="F109" s="338"/>
      <c r="G109" s="337"/>
      <c r="H109" s="553"/>
      <c r="I109" s="337"/>
      <c r="J109" s="337"/>
      <c r="K109" s="337"/>
      <c r="L109" s="337"/>
      <c r="M109" s="337"/>
      <c r="N109" s="337"/>
      <c r="O109" s="576"/>
    </row>
    <row r="110" spans="2:3" ht="17.25">
      <c r="B110" s="334" t="s">
        <v>532</v>
      </c>
      <c r="C110" s="334"/>
    </row>
  </sheetData>
  <sheetProtection/>
  <mergeCells count="22">
    <mergeCell ref="Q7:R7"/>
    <mergeCell ref="I8:L8"/>
    <mergeCell ref="M8:N8"/>
    <mergeCell ref="O8:O9"/>
    <mergeCell ref="B102:G102"/>
    <mergeCell ref="I7:O7"/>
    <mergeCell ref="P7:P9"/>
    <mergeCell ref="C7:C9"/>
    <mergeCell ref="D7:D9"/>
    <mergeCell ref="E7:E9"/>
    <mergeCell ref="F7:F9"/>
    <mergeCell ref="G7:G9"/>
    <mergeCell ref="H7:H9"/>
    <mergeCell ref="B1:M1"/>
    <mergeCell ref="D103:G103"/>
    <mergeCell ref="D105:G105"/>
    <mergeCell ref="D106:G106"/>
    <mergeCell ref="I2:P2"/>
    <mergeCell ref="A3:P3"/>
    <mergeCell ref="A4:P4"/>
    <mergeCell ref="B7:B9"/>
    <mergeCell ref="D104:G104"/>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60" r:id="rId1"/>
  <headerFooter>
    <oddFooter>&amp;C-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V241"/>
  <sheetViews>
    <sheetView view="pageBreakPreview" zoomScale="75" zoomScaleSheetLayoutView="75" zoomScalePageLayoutView="0" workbookViewId="0" topLeftCell="A1">
      <selection activeCell="B1" sqref="B1:M1"/>
    </sheetView>
  </sheetViews>
  <sheetFormatPr defaultColWidth="9.125" defaultRowHeight="12.75"/>
  <cols>
    <col min="1" max="1" width="3.75390625" style="552" customWidth="1"/>
    <col min="2" max="3" width="5.75390625" style="681" customWidth="1"/>
    <col min="4" max="4" width="62.75390625" style="326" customWidth="1"/>
    <col min="5" max="5" width="12.75390625" style="680" customWidth="1"/>
    <col min="6" max="6" width="10.75390625" style="680" customWidth="1"/>
    <col min="7" max="7" width="10.75390625" style="1489" customWidth="1"/>
    <col min="8" max="8" width="6.75390625" style="555" customWidth="1"/>
    <col min="9" max="15" width="14.875" style="680" customWidth="1"/>
    <col min="16" max="16" width="15.75390625" style="575" customWidth="1"/>
    <col min="17" max="17" width="13.875" style="680" customWidth="1"/>
    <col min="18" max="16384" width="9.125" style="326" customWidth="1"/>
  </cols>
  <sheetData>
    <row r="1" spans="2:17" ht="17.25">
      <c r="B1" s="2039" t="s">
        <v>1108</v>
      </c>
      <c r="C1" s="2039"/>
      <c r="D1" s="2039"/>
      <c r="E1" s="2039"/>
      <c r="F1" s="2039"/>
      <c r="G1" s="2039"/>
      <c r="H1" s="2039"/>
      <c r="I1" s="2039"/>
      <c r="J1" s="2039"/>
      <c r="K1" s="2039"/>
      <c r="L1" s="2039"/>
      <c r="M1" s="2039"/>
      <c r="N1" s="1472"/>
      <c r="O1" s="1472"/>
      <c r="Q1" s="1472"/>
    </row>
    <row r="2" spans="2:251" ht="18" customHeight="1">
      <c r="B2" s="1473" t="s">
        <v>737</v>
      </c>
      <c r="C2" s="1473"/>
      <c r="D2" s="1473"/>
      <c r="E2" s="1473"/>
      <c r="F2" s="1489"/>
      <c r="I2" s="2270"/>
      <c r="J2" s="2270"/>
      <c r="K2" s="2270"/>
      <c r="L2" s="2270"/>
      <c r="M2" s="2270"/>
      <c r="N2" s="2270"/>
      <c r="O2" s="2270"/>
      <c r="P2" s="2270"/>
      <c r="Q2" s="2270"/>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c r="BW2" s="554"/>
      <c r="BX2" s="554"/>
      <c r="BY2" s="554"/>
      <c r="BZ2" s="554"/>
      <c r="CA2" s="554"/>
      <c r="CB2" s="554"/>
      <c r="CC2" s="554"/>
      <c r="CD2" s="554"/>
      <c r="CE2" s="554"/>
      <c r="CF2" s="554"/>
      <c r="CG2" s="554"/>
      <c r="CH2" s="554"/>
      <c r="CI2" s="554"/>
      <c r="CJ2" s="554"/>
      <c r="CK2" s="554"/>
      <c r="CL2" s="554"/>
      <c r="CM2" s="554"/>
      <c r="CN2" s="554"/>
      <c r="CO2" s="554"/>
      <c r="CP2" s="554"/>
      <c r="CQ2" s="554"/>
      <c r="CR2" s="554"/>
      <c r="CS2" s="554"/>
      <c r="CT2" s="554"/>
      <c r="CU2" s="554"/>
      <c r="CV2" s="554"/>
      <c r="CW2" s="554"/>
      <c r="CX2" s="554"/>
      <c r="CY2" s="554"/>
      <c r="CZ2" s="554"/>
      <c r="DA2" s="554"/>
      <c r="DB2" s="554"/>
      <c r="DC2" s="554"/>
      <c r="DD2" s="554"/>
      <c r="DE2" s="554"/>
      <c r="DF2" s="554"/>
      <c r="DG2" s="554"/>
      <c r="DH2" s="554"/>
      <c r="DI2" s="554"/>
      <c r="DJ2" s="554"/>
      <c r="DK2" s="554"/>
      <c r="DL2" s="554"/>
      <c r="DM2" s="554"/>
      <c r="DN2" s="554"/>
      <c r="DO2" s="554"/>
      <c r="DP2" s="554"/>
      <c r="DQ2" s="554"/>
      <c r="DR2" s="554"/>
      <c r="DS2" s="554"/>
      <c r="DT2" s="554"/>
      <c r="DU2" s="554"/>
      <c r="DV2" s="554"/>
      <c r="DW2" s="554"/>
      <c r="DX2" s="554"/>
      <c r="DY2" s="554"/>
      <c r="DZ2" s="554"/>
      <c r="EA2" s="554"/>
      <c r="EB2" s="554"/>
      <c r="EC2" s="554"/>
      <c r="ED2" s="554"/>
      <c r="EE2" s="554"/>
      <c r="EF2" s="554"/>
      <c r="EG2" s="554"/>
      <c r="EH2" s="554"/>
      <c r="EI2" s="554"/>
      <c r="EJ2" s="554"/>
      <c r="EK2" s="554"/>
      <c r="EL2" s="554"/>
      <c r="EM2" s="554"/>
      <c r="EN2" s="554"/>
      <c r="EO2" s="554"/>
      <c r="EP2" s="554"/>
      <c r="EQ2" s="554"/>
      <c r="ER2" s="554"/>
      <c r="ES2" s="554"/>
      <c r="ET2" s="554"/>
      <c r="EU2" s="554"/>
      <c r="EV2" s="554"/>
      <c r="EW2" s="554"/>
      <c r="EX2" s="554"/>
      <c r="EY2" s="554"/>
      <c r="EZ2" s="554"/>
      <c r="FA2" s="554"/>
      <c r="FB2" s="554"/>
      <c r="FC2" s="554"/>
      <c r="FD2" s="554"/>
      <c r="FE2" s="554"/>
      <c r="FF2" s="554"/>
      <c r="FG2" s="554"/>
      <c r="FH2" s="554"/>
      <c r="FI2" s="554"/>
      <c r="FJ2" s="554"/>
      <c r="FK2" s="554"/>
      <c r="FL2" s="554"/>
      <c r="FM2" s="554"/>
      <c r="FN2" s="554"/>
      <c r="FO2" s="554"/>
      <c r="FP2" s="554"/>
      <c r="FQ2" s="554"/>
      <c r="FR2" s="554"/>
      <c r="FS2" s="554"/>
      <c r="FT2" s="554"/>
      <c r="FU2" s="554"/>
      <c r="FV2" s="554"/>
      <c r="FW2" s="554"/>
      <c r="FX2" s="554"/>
      <c r="FY2" s="554"/>
      <c r="FZ2" s="554"/>
      <c r="GA2" s="554"/>
      <c r="GB2" s="554"/>
      <c r="GC2" s="554"/>
      <c r="GD2" s="554"/>
      <c r="GE2" s="554"/>
      <c r="GF2" s="554"/>
      <c r="GG2" s="554"/>
      <c r="GH2" s="554"/>
      <c r="GI2" s="554"/>
      <c r="GJ2" s="554"/>
      <c r="GK2" s="554"/>
      <c r="GL2" s="554"/>
      <c r="GM2" s="554"/>
      <c r="GN2" s="554"/>
      <c r="GO2" s="554"/>
      <c r="GP2" s="554"/>
      <c r="GQ2" s="554"/>
      <c r="GR2" s="554"/>
      <c r="GS2" s="554"/>
      <c r="GT2" s="554"/>
      <c r="GU2" s="554"/>
      <c r="GV2" s="554"/>
      <c r="GW2" s="554"/>
      <c r="GX2" s="554"/>
      <c r="GY2" s="554"/>
      <c r="GZ2" s="554"/>
      <c r="HA2" s="554"/>
      <c r="HB2" s="554"/>
      <c r="HC2" s="554"/>
      <c r="HD2" s="554"/>
      <c r="HE2" s="554"/>
      <c r="HF2" s="554"/>
      <c r="HG2" s="554"/>
      <c r="HH2" s="554"/>
      <c r="HI2" s="554"/>
      <c r="HJ2" s="554"/>
      <c r="HK2" s="554"/>
      <c r="HL2" s="554"/>
      <c r="HM2" s="554"/>
      <c r="HN2" s="554"/>
      <c r="HO2" s="554"/>
      <c r="HP2" s="554"/>
      <c r="HQ2" s="554"/>
      <c r="HR2" s="554"/>
      <c r="HS2" s="554"/>
      <c r="HT2" s="554"/>
      <c r="HU2" s="554"/>
      <c r="HV2" s="554"/>
      <c r="HW2" s="554"/>
      <c r="HX2" s="554"/>
      <c r="HY2" s="554"/>
      <c r="HZ2" s="554"/>
      <c r="IA2" s="554"/>
      <c r="IB2" s="554"/>
      <c r="IC2" s="554"/>
      <c r="ID2" s="554"/>
      <c r="IE2" s="554"/>
      <c r="IF2" s="554"/>
      <c r="IG2" s="554"/>
      <c r="IH2" s="554"/>
      <c r="II2" s="554"/>
      <c r="IJ2" s="554"/>
      <c r="IK2" s="554"/>
      <c r="IL2" s="554"/>
      <c r="IM2" s="554"/>
      <c r="IN2" s="554"/>
      <c r="IO2" s="554"/>
      <c r="IP2" s="554"/>
      <c r="IQ2" s="554"/>
    </row>
    <row r="3" spans="1:17" ht="24.75" customHeight="1">
      <c r="A3" s="2241" t="s">
        <v>14</v>
      </c>
      <c r="B3" s="2241"/>
      <c r="C3" s="2241"/>
      <c r="D3" s="2241"/>
      <c r="E3" s="2241"/>
      <c r="F3" s="2241"/>
      <c r="G3" s="2241"/>
      <c r="H3" s="2241"/>
      <c r="I3" s="2241"/>
      <c r="J3" s="2241"/>
      <c r="K3" s="2241"/>
      <c r="L3" s="2241"/>
      <c r="M3" s="2241"/>
      <c r="N3" s="2241"/>
      <c r="O3" s="2241"/>
      <c r="P3" s="2241"/>
      <c r="Q3" s="2241"/>
    </row>
    <row r="4" spans="1:17" ht="24.75" customHeight="1">
      <c r="A4" s="2310" t="s">
        <v>600</v>
      </c>
      <c r="B4" s="2310"/>
      <c r="C4" s="2310"/>
      <c r="D4" s="2310"/>
      <c r="E4" s="2310"/>
      <c r="F4" s="2310"/>
      <c r="G4" s="2310"/>
      <c r="H4" s="2310"/>
      <c r="I4" s="2310"/>
      <c r="J4" s="2310"/>
      <c r="K4" s="2310"/>
      <c r="L4" s="2310"/>
      <c r="M4" s="2310"/>
      <c r="N4" s="2310"/>
      <c r="O4" s="2310"/>
      <c r="P4" s="2310"/>
      <c r="Q4" s="2310"/>
    </row>
    <row r="5" spans="1:17" s="745" customFormat="1" ht="18" customHeight="1">
      <c r="A5" s="552"/>
      <c r="B5" s="552"/>
      <c r="C5" s="552"/>
      <c r="E5" s="511"/>
      <c r="F5" s="511"/>
      <c r="G5" s="511"/>
      <c r="H5" s="746"/>
      <c r="I5" s="511"/>
      <c r="J5" s="511"/>
      <c r="K5" s="511"/>
      <c r="L5" s="511"/>
      <c r="M5" s="511"/>
      <c r="N5" s="511"/>
      <c r="O5" s="511"/>
      <c r="P5" s="747"/>
      <c r="Q5" s="517" t="s">
        <v>0</v>
      </c>
    </row>
    <row r="6" spans="1:251" s="751" customFormat="1" ht="18" customHeight="1" thickBot="1">
      <c r="A6" s="748"/>
      <c r="B6" s="749" t="s">
        <v>1</v>
      </c>
      <c r="C6" s="750" t="s">
        <v>3</v>
      </c>
      <c r="D6" s="750" t="s">
        <v>2</v>
      </c>
      <c r="E6" s="750" t="s">
        <v>4</v>
      </c>
      <c r="F6" s="750" t="s">
        <v>5</v>
      </c>
      <c r="G6" s="750" t="s">
        <v>15</v>
      </c>
      <c r="H6" s="750" t="s">
        <v>16</v>
      </c>
      <c r="I6" s="750" t="s">
        <v>17</v>
      </c>
      <c r="J6" s="750" t="s">
        <v>33</v>
      </c>
      <c r="K6" s="750" t="s">
        <v>29</v>
      </c>
      <c r="L6" s="750" t="s">
        <v>22</v>
      </c>
      <c r="M6" s="750" t="s">
        <v>34</v>
      </c>
      <c r="N6" s="750" t="s">
        <v>35</v>
      </c>
      <c r="O6" s="750" t="s">
        <v>145</v>
      </c>
      <c r="P6" s="750" t="s">
        <v>146</v>
      </c>
      <c r="Q6" s="750" t="s">
        <v>147</v>
      </c>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8"/>
      <c r="BJ6" s="748"/>
      <c r="BK6" s="748"/>
      <c r="BL6" s="748"/>
      <c r="BM6" s="748"/>
      <c r="BN6" s="748"/>
      <c r="BO6" s="748"/>
      <c r="BP6" s="748"/>
      <c r="BQ6" s="748"/>
      <c r="BR6" s="748"/>
      <c r="BS6" s="748"/>
      <c r="BT6" s="748"/>
      <c r="BU6" s="748"/>
      <c r="BV6" s="748"/>
      <c r="BW6" s="748"/>
      <c r="BX6" s="748"/>
      <c r="BY6" s="748"/>
      <c r="BZ6" s="748"/>
      <c r="CA6" s="748"/>
      <c r="CB6" s="748"/>
      <c r="CC6" s="748"/>
      <c r="CD6" s="748"/>
      <c r="CE6" s="748"/>
      <c r="CF6" s="748"/>
      <c r="CG6" s="748"/>
      <c r="CH6" s="748"/>
      <c r="CI6" s="748"/>
      <c r="CJ6" s="748"/>
      <c r="CK6" s="748"/>
      <c r="CL6" s="748"/>
      <c r="CM6" s="748"/>
      <c r="CN6" s="748"/>
      <c r="CO6" s="748"/>
      <c r="CP6" s="748"/>
      <c r="CQ6" s="748"/>
      <c r="CR6" s="748"/>
      <c r="CS6" s="748"/>
      <c r="CT6" s="748"/>
      <c r="CU6" s="748"/>
      <c r="CV6" s="748"/>
      <c r="CW6" s="748"/>
      <c r="CX6" s="748"/>
      <c r="CY6" s="748"/>
      <c r="CZ6" s="748"/>
      <c r="DA6" s="748"/>
      <c r="DB6" s="748"/>
      <c r="DC6" s="748"/>
      <c r="DD6" s="748"/>
      <c r="DE6" s="748"/>
      <c r="DF6" s="748"/>
      <c r="DG6" s="748"/>
      <c r="DH6" s="748"/>
      <c r="DI6" s="748"/>
      <c r="DJ6" s="748"/>
      <c r="DK6" s="748"/>
      <c r="DL6" s="748"/>
      <c r="DM6" s="748"/>
      <c r="DN6" s="748"/>
      <c r="DO6" s="748"/>
      <c r="DP6" s="748"/>
      <c r="DQ6" s="748"/>
      <c r="DR6" s="748"/>
      <c r="DS6" s="748"/>
      <c r="DT6" s="748"/>
      <c r="DU6" s="748"/>
      <c r="DV6" s="748"/>
      <c r="DW6" s="748"/>
      <c r="DX6" s="748"/>
      <c r="DY6" s="748"/>
      <c r="DZ6" s="748"/>
      <c r="EA6" s="748"/>
      <c r="EB6" s="748"/>
      <c r="EC6" s="748"/>
      <c r="ED6" s="748"/>
      <c r="EE6" s="748"/>
      <c r="EF6" s="748"/>
      <c r="EG6" s="748"/>
      <c r="EH6" s="748"/>
      <c r="EI6" s="748"/>
      <c r="EJ6" s="748"/>
      <c r="EK6" s="748"/>
      <c r="EL6" s="748"/>
      <c r="EM6" s="748"/>
      <c r="EN6" s="748"/>
      <c r="EO6" s="748"/>
      <c r="EP6" s="748"/>
      <c r="EQ6" s="748"/>
      <c r="ER6" s="748"/>
      <c r="ES6" s="748"/>
      <c r="ET6" s="748"/>
      <c r="EU6" s="748"/>
      <c r="EV6" s="748"/>
      <c r="EW6" s="748"/>
      <c r="EX6" s="748"/>
      <c r="EY6" s="748"/>
      <c r="EZ6" s="748"/>
      <c r="FA6" s="748"/>
      <c r="FB6" s="748"/>
      <c r="FC6" s="748"/>
      <c r="FD6" s="748"/>
      <c r="FE6" s="748"/>
      <c r="FF6" s="748"/>
      <c r="FG6" s="748"/>
      <c r="FH6" s="748"/>
      <c r="FI6" s="748"/>
      <c r="FJ6" s="748"/>
      <c r="FK6" s="748"/>
      <c r="FL6" s="748"/>
      <c r="FM6" s="748"/>
      <c r="FN6" s="748"/>
      <c r="FO6" s="748"/>
      <c r="FP6" s="748"/>
      <c r="FQ6" s="748"/>
      <c r="FR6" s="748"/>
      <c r="FS6" s="748"/>
      <c r="FT6" s="748"/>
      <c r="FU6" s="748"/>
      <c r="FV6" s="748"/>
      <c r="FW6" s="748"/>
      <c r="FX6" s="748"/>
      <c r="FY6" s="748"/>
      <c r="FZ6" s="748"/>
      <c r="GA6" s="748"/>
      <c r="GB6" s="748"/>
      <c r="GC6" s="748"/>
      <c r="GD6" s="748"/>
      <c r="GE6" s="748"/>
      <c r="GF6" s="748"/>
      <c r="GG6" s="748"/>
      <c r="GH6" s="748"/>
      <c r="GI6" s="748"/>
      <c r="GJ6" s="748"/>
      <c r="GK6" s="748"/>
      <c r="GL6" s="748"/>
      <c r="GM6" s="748"/>
      <c r="GN6" s="748"/>
      <c r="GO6" s="748"/>
      <c r="GP6" s="748"/>
      <c r="GQ6" s="748"/>
      <c r="GR6" s="748"/>
      <c r="GS6" s="748"/>
      <c r="GT6" s="748"/>
      <c r="GU6" s="748"/>
      <c r="GV6" s="748"/>
      <c r="GW6" s="748"/>
      <c r="GX6" s="748"/>
      <c r="GY6" s="748"/>
      <c r="GZ6" s="748"/>
      <c r="HA6" s="748"/>
      <c r="HB6" s="748"/>
      <c r="HC6" s="748"/>
      <c r="HD6" s="748"/>
      <c r="HE6" s="748"/>
      <c r="HF6" s="748"/>
      <c r="HG6" s="748"/>
      <c r="HH6" s="748"/>
      <c r="HI6" s="748"/>
      <c r="HJ6" s="748"/>
      <c r="HK6" s="748"/>
      <c r="HL6" s="748"/>
      <c r="HM6" s="748"/>
      <c r="HN6" s="748"/>
      <c r="HO6" s="748"/>
      <c r="HP6" s="748"/>
      <c r="HQ6" s="748"/>
      <c r="HR6" s="748"/>
      <c r="HS6" s="748"/>
      <c r="HT6" s="748"/>
      <c r="HU6" s="748"/>
      <c r="HV6" s="748"/>
      <c r="HW6" s="748"/>
      <c r="HX6" s="748"/>
      <c r="HY6" s="748"/>
      <c r="HZ6" s="748"/>
      <c r="IA6" s="748"/>
      <c r="IB6" s="748"/>
      <c r="IC6" s="748"/>
      <c r="ID6" s="748"/>
      <c r="IE6" s="748"/>
      <c r="IF6" s="748"/>
      <c r="IG6" s="748"/>
      <c r="IH6" s="748"/>
      <c r="II6" s="748"/>
      <c r="IJ6" s="748"/>
      <c r="IK6" s="748"/>
      <c r="IL6" s="748"/>
      <c r="IM6" s="748"/>
      <c r="IN6" s="748"/>
      <c r="IO6" s="748"/>
      <c r="IP6" s="748"/>
      <c r="IQ6" s="748"/>
    </row>
    <row r="7" spans="2:19" ht="22.5" customHeight="1">
      <c r="B7" s="2304" t="s">
        <v>18</v>
      </c>
      <c r="C7" s="2294" t="s">
        <v>19</v>
      </c>
      <c r="D7" s="2311" t="s">
        <v>6</v>
      </c>
      <c r="E7" s="2307" t="s">
        <v>416</v>
      </c>
      <c r="F7" s="2307" t="s">
        <v>596</v>
      </c>
      <c r="G7" s="2314" t="s">
        <v>741</v>
      </c>
      <c r="H7" s="2264" t="s">
        <v>20</v>
      </c>
      <c r="I7" s="2317" t="s">
        <v>537</v>
      </c>
      <c r="J7" s="2307"/>
      <c r="K7" s="2307"/>
      <c r="L7" s="2307"/>
      <c r="M7" s="2307"/>
      <c r="N7" s="2307"/>
      <c r="O7" s="2307"/>
      <c r="P7" s="2318"/>
      <c r="Q7" s="2319" t="s">
        <v>589</v>
      </c>
      <c r="R7" s="2303"/>
      <c r="S7" s="2303"/>
    </row>
    <row r="8" spans="2:17" ht="33" customHeight="1">
      <c r="B8" s="2305"/>
      <c r="C8" s="2295"/>
      <c r="D8" s="2312"/>
      <c r="E8" s="2308"/>
      <c r="F8" s="2308"/>
      <c r="G8" s="2315"/>
      <c r="H8" s="2265"/>
      <c r="I8" s="2322" t="s">
        <v>418</v>
      </c>
      <c r="J8" s="2323"/>
      <c r="K8" s="2324"/>
      <c r="L8" s="2324"/>
      <c r="M8" s="2325" t="s">
        <v>148</v>
      </c>
      <c r="N8" s="2325"/>
      <c r="O8" s="2325"/>
      <c r="P8" s="2326" t="s">
        <v>115</v>
      </c>
      <c r="Q8" s="2320"/>
    </row>
    <row r="9" spans="2:17" ht="53.25" customHeight="1" thickBot="1">
      <c r="B9" s="2306"/>
      <c r="C9" s="2296"/>
      <c r="D9" s="2313"/>
      <c r="E9" s="2309"/>
      <c r="F9" s="2309"/>
      <c r="G9" s="2316"/>
      <c r="H9" s="2266"/>
      <c r="I9" s="768" t="s">
        <v>37</v>
      </c>
      <c r="J9" s="556" t="s">
        <v>413</v>
      </c>
      <c r="K9" s="557" t="s">
        <v>39</v>
      </c>
      <c r="L9" s="557" t="s">
        <v>415</v>
      </c>
      <c r="M9" s="556" t="s">
        <v>213</v>
      </c>
      <c r="N9" s="556" t="s">
        <v>214</v>
      </c>
      <c r="O9" s="556" t="s">
        <v>149</v>
      </c>
      <c r="P9" s="2327"/>
      <c r="Q9" s="2321"/>
    </row>
    <row r="10" spans="1:256" s="560" customFormat="1" ht="22.5" customHeight="1">
      <c r="A10" s="574">
        <v>1</v>
      </c>
      <c r="B10" s="558">
        <v>18</v>
      </c>
      <c r="C10" s="570" t="s">
        <v>14</v>
      </c>
      <c r="D10" s="757"/>
      <c r="E10" s="333"/>
      <c r="F10" s="331"/>
      <c r="G10" s="332"/>
      <c r="H10" s="772"/>
      <c r="I10" s="769"/>
      <c r="J10" s="577"/>
      <c r="K10" s="577"/>
      <c r="L10" s="577"/>
      <c r="M10" s="577"/>
      <c r="N10" s="577"/>
      <c r="O10" s="577"/>
      <c r="P10" s="559"/>
      <c r="Q10" s="562"/>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326"/>
      <c r="FK10" s="326"/>
      <c r="FL10" s="326"/>
      <c r="FM10" s="326"/>
      <c r="FN10" s="326"/>
      <c r="FO10" s="326"/>
      <c r="FP10" s="326"/>
      <c r="FQ10" s="326"/>
      <c r="FR10" s="326"/>
      <c r="FS10" s="326"/>
      <c r="FT10" s="326"/>
      <c r="FU10" s="326"/>
      <c r="FV10" s="326"/>
      <c r="FW10" s="326"/>
      <c r="FX10" s="326"/>
      <c r="FY10" s="326"/>
      <c r="FZ10" s="326"/>
      <c r="GA10" s="326"/>
      <c r="GB10" s="326"/>
      <c r="GC10" s="326"/>
      <c r="GD10" s="326"/>
      <c r="GE10" s="326"/>
      <c r="GF10" s="326"/>
      <c r="GG10" s="326"/>
      <c r="GH10" s="326"/>
      <c r="GI10" s="326"/>
      <c r="GJ10" s="326"/>
      <c r="GK10" s="326"/>
      <c r="GL10" s="326"/>
      <c r="GM10" s="326"/>
      <c r="GN10" s="326"/>
      <c r="GO10" s="326"/>
      <c r="GP10" s="326"/>
      <c r="GQ10" s="326"/>
      <c r="GR10" s="326"/>
      <c r="GS10" s="326"/>
      <c r="GT10" s="326"/>
      <c r="GU10" s="326"/>
      <c r="GV10" s="326"/>
      <c r="GW10" s="326"/>
      <c r="GX10" s="326"/>
      <c r="GY10" s="326"/>
      <c r="GZ10" s="326"/>
      <c r="HA10" s="326"/>
      <c r="HB10" s="326"/>
      <c r="HC10" s="326"/>
      <c r="HD10" s="326"/>
      <c r="HE10" s="326"/>
      <c r="HF10" s="326"/>
      <c r="HG10" s="326"/>
      <c r="HH10" s="326"/>
      <c r="HI10" s="326"/>
      <c r="HJ10" s="326"/>
      <c r="HK10" s="326"/>
      <c r="HL10" s="326"/>
      <c r="HM10" s="326"/>
      <c r="HN10" s="326"/>
      <c r="HO10" s="326"/>
      <c r="HP10" s="326"/>
      <c r="HQ10" s="326"/>
      <c r="HR10" s="326"/>
      <c r="HS10" s="326"/>
      <c r="HT10" s="326"/>
      <c r="HU10" s="326"/>
      <c r="HV10" s="326"/>
      <c r="HW10" s="326"/>
      <c r="HX10" s="326"/>
      <c r="HY10" s="326"/>
      <c r="HZ10" s="326"/>
      <c r="IA10" s="326"/>
      <c r="IB10" s="326"/>
      <c r="IC10" s="326"/>
      <c r="ID10" s="326"/>
      <c r="IE10" s="326"/>
      <c r="IF10" s="326"/>
      <c r="IG10" s="326"/>
      <c r="IH10" s="326"/>
      <c r="II10" s="326"/>
      <c r="IJ10" s="326"/>
      <c r="IK10" s="326"/>
      <c r="IL10" s="326"/>
      <c r="IM10" s="326"/>
      <c r="IN10" s="326"/>
      <c r="IO10" s="326"/>
      <c r="IP10" s="326"/>
      <c r="IQ10" s="326"/>
      <c r="IR10" s="326"/>
      <c r="IS10" s="326"/>
      <c r="IT10" s="326"/>
      <c r="IU10" s="326"/>
      <c r="IV10" s="326"/>
    </row>
    <row r="11" spans="1:256" s="560" customFormat="1" ht="24.75" customHeight="1">
      <c r="A11" s="574">
        <v>2</v>
      </c>
      <c r="B11" s="558"/>
      <c r="C11" s="809">
        <v>1</v>
      </c>
      <c r="D11" s="798" t="s">
        <v>464</v>
      </c>
      <c r="E11" s="333"/>
      <c r="F11" s="331"/>
      <c r="G11" s="332"/>
      <c r="H11" s="772" t="s">
        <v>23</v>
      </c>
      <c r="I11" s="561"/>
      <c r="J11" s="561"/>
      <c r="K11" s="561"/>
      <c r="L11" s="561"/>
      <c r="M11" s="561"/>
      <c r="N11" s="561"/>
      <c r="O11" s="561"/>
      <c r="P11" s="569"/>
      <c r="Q11" s="562"/>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326"/>
      <c r="DP11" s="326"/>
      <c r="DQ11" s="326"/>
      <c r="DR11" s="326"/>
      <c r="DS11" s="326"/>
      <c r="DT11" s="326"/>
      <c r="DU11" s="326"/>
      <c r="DV11" s="326"/>
      <c r="DW11" s="326"/>
      <c r="DX11" s="326"/>
      <c r="DY11" s="326"/>
      <c r="DZ11" s="326"/>
      <c r="EA11" s="326"/>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326"/>
      <c r="FK11" s="326"/>
      <c r="FL11" s="326"/>
      <c r="FM11" s="326"/>
      <c r="FN11" s="326"/>
      <c r="FO11" s="326"/>
      <c r="FP11" s="326"/>
      <c r="FQ11" s="326"/>
      <c r="FR11" s="326"/>
      <c r="FS11" s="326"/>
      <c r="FT11" s="326"/>
      <c r="FU11" s="326"/>
      <c r="FV11" s="326"/>
      <c r="FW11" s="326"/>
      <c r="FX11" s="326"/>
      <c r="FY11" s="326"/>
      <c r="FZ11" s="326"/>
      <c r="GA11" s="326"/>
      <c r="GB11" s="326"/>
      <c r="GC11" s="326"/>
      <c r="GD11" s="326"/>
      <c r="GE11" s="326"/>
      <c r="GF11" s="326"/>
      <c r="GG11" s="326"/>
      <c r="GH11" s="326"/>
      <c r="GI11" s="326"/>
      <c r="GJ11" s="326"/>
      <c r="GK11" s="326"/>
      <c r="GL11" s="326"/>
      <c r="GM11" s="326"/>
      <c r="GN11" s="326"/>
      <c r="GO11" s="326"/>
      <c r="GP11" s="326"/>
      <c r="GQ11" s="326"/>
      <c r="GR11" s="326"/>
      <c r="GS11" s="326"/>
      <c r="GT11" s="326"/>
      <c r="GU11" s="326"/>
      <c r="GV11" s="326"/>
      <c r="GW11" s="326"/>
      <c r="GX11" s="326"/>
      <c r="GY11" s="326"/>
      <c r="GZ11" s="326"/>
      <c r="HA11" s="326"/>
      <c r="HB11" s="326"/>
      <c r="HC11" s="326"/>
      <c r="HD11" s="326"/>
      <c r="HE11" s="326"/>
      <c r="HF11" s="326"/>
      <c r="HG11" s="326"/>
      <c r="HH11" s="326"/>
      <c r="HI11" s="326"/>
      <c r="HJ11" s="326"/>
      <c r="HK11" s="326"/>
      <c r="HL11" s="326"/>
      <c r="HM11" s="326"/>
      <c r="HN11" s="326"/>
      <c r="HO11" s="326"/>
      <c r="HP11" s="326"/>
      <c r="HQ11" s="326"/>
      <c r="HR11" s="326"/>
      <c r="HS11" s="326"/>
      <c r="HT11" s="326"/>
      <c r="HU11" s="326"/>
      <c r="HV11" s="326"/>
      <c r="HW11" s="326"/>
      <c r="HX11" s="326"/>
      <c r="HY11" s="326"/>
      <c r="HZ11" s="326"/>
      <c r="IA11" s="326"/>
      <c r="IB11" s="326"/>
      <c r="IC11" s="326"/>
      <c r="ID11" s="326"/>
      <c r="IE11" s="326"/>
      <c r="IF11" s="326"/>
      <c r="IG11" s="326"/>
      <c r="IH11" s="326"/>
      <c r="II11" s="326"/>
      <c r="IJ11" s="326"/>
      <c r="IK11" s="326"/>
      <c r="IL11" s="326"/>
      <c r="IM11" s="326"/>
      <c r="IN11" s="326"/>
      <c r="IO11" s="326"/>
      <c r="IP11" s="326"/>
      <c r="IQ11" s="326"/>
      <c r="IR11" s="326"/>
      <c r="IS11" s="326"/>
      <c r="IT11" s="326"/>
      <c r="IU11" s="326"/>
      <c r="IV11" s="326"/>
    </row>
    <row r="12" spans="1:256" s="560" customFormat="1" ht="22.5" customHeight="1">
      <c r="A12" s="574">
        <v>3</v>
      </c>
      <c r="B12" s="568"/>
      <c r="C12" s="366"/>
      <c r="D12" s="794" t="s">
        <v>465</v>
      </c>
      <c r="E12" s="335"/>
      <c r="F12" s="564"/>
      <c r="G12" s="336"/>
      <c r="H12" s="773"/>
      <c r="I12" s="770"/>
      <c r="J12" s="561"/>
      <c r="K12" s="561"/>
      <c r="L12" s="561"/>
      <c r="M12" s="561"/>
      <c r="N12" s="561"/>
      <c r="O12" s="561"/>
      <c r="P12" s="569"/>
      <c r="Q12" s="565"/>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6"/>
      <c r="EC12" s="326"/>
      <c r="ED12" s="326"/>
      <c r="EE12" s="326"/>
      <c r="EF12" s="326"/>
      <c r="EG12" s="326"/>
      <c r="EH12" s="326"/>
      <c r="EI12" s="326"/>
      <c r="EJ12" s="326"/>
      <c r="EK12" s="326"/>
      <c r="EL12" s="326"/>
      <c r="EM12" s="326"/>
      <c r="EN12" s="326"/>
      <c r="EO12" s="326"/>
      <c r="EP12" s="326"/>
      <c r="EQ12" s="326"/>
      <c r="ER12" s="326"/>
      <c r="ES12" s="326"/>
      <c r="ET12" s="326"/>
      <c r="EU12" s="326"/>
      <c r="EV12" s="326"/>
      <c r="EW12" s="326"/>
      <c r="EX12" s="326"/>
      <c r="EY12" s="326"/>
      <c r="EZ12" s="326"/>
      <c r="FA12" s="326"/>
      <c r="FB12" s="326"/>
      <c r="FC12" s="326"/>
      <c r="FD12" s="326"/>
      <c r="FE12" s="326"/>
      <c r="FF12" s="326"/>
      <c r="FG12" s="326"/>
      <c r="FH12" s="326"/>
      <c r="FI12" s="326"/>
      <c r="FJ12" s="326"/>
      <c r="FK12" s="326"/>
      <c r="FL12" s="326"/>
      <c r="FM12" s="326"/>
      <c r="FN12" s="326"/>
      <c r="FO12" s="326"/>
      <c r="FP12" s="326"/>
      <c r="FQ12" s="326"/>
      <c r="FR12" s="326"/>
      <c r="FS12" s="326"/>
      <c r="FT12" s="326"/>
      <c r="FU12" s="326"/>
      <c r="FV12" s="326"/>
      <c r="FW12" s="326"/>
      <c r="FX12" s="326"/>
      <c r="FY12" s="326"/>
      <c r="FZ12" s="326"/>
      <c r="GA12" s="326"/>
      <c r="GB12" s="326"/>
      <c r="GC12" s="326"/>
      <c r="GD12" s="326"/>
      <c r="GE12" s="326"/>
      <c r="GF12" s="326"/>
      <c r="GG12" s="326"/>
      <c r="GH12" s="326"/>
      <c r="GI12" s="326"/>
      <c r="GJ12" s="326"/>
      <c r="GK12" s="326"/>
      <c r="GL12" s="326"/>
      <c r="GM12" s="326"/>
      <c r="GN12" s="326"/>
      <c r="GO12" s="326"/>
      <c r="GP12" s="326"/>
      <c r="GQ12" s="326"/>
      <c r="GR12" s="326"/>
      <c r="GS12" s="326"/>
      <c r="GT12" s="326"/>
      <c r="GU12" s="326"/>
      <c r="GV12" s="326"/>
      <c r="GW12" s="326"/>
      <c r="GX12" s="326"/>
      <c r="GY12" s="326"/>
      <c r="GZ12" s="326"/>
      <c r="HA12" s="326"/>
      <c r="HB12" s="326"/>
      <c r="HC12" s="326"/>
      <c r="HD12" s="326"/>
      <c r="HE12" s="326"/>
      <c r="HF12" s="326"/>
      <c r="HG12" s="326"/>
      <c r="HH12" s="326"/>
      <c r="HI12" s="326"/>
      <c r="HJ12" s="326"/>
      <c r="HK12" s="326"/>
      <c r="HL12" s="326"/>
      <c r="HM12" s="326"/>
      <c r="HN12" s="326"/>
      <c r="HO12" s="326"/>
      <c r="HP12" s="326"/>
      <c r="HQ12" s="326"/>
      <c r="HR12" s="326"/>
      <c r="HS12" s="326"/>
      <c r="HT12" s="326"/>
      <c r="HU12" s="326"/>
      <c r="HV12" s="326"/>
      <c r="HW12" s="326"/>
      <c r="HX12" s="326"/>
      <c r="HY12" s="326"/>
      <c r="HZ12" s="326"/>
      <c r="IA12" s="326"/>
      <c r="IB12" s="326"/>
      <c r="IC12" s="326"/>
      <c r="ID12" s="326"/>
      <c r="IE12" s="326"/>
      <c r="IF12" s="326"/>
      <c r="IG12" s="326"/>
      <c r="IH12" s="326"/>
      <c r="II12" s="326"/>
      <c r="IJ12" s="326"/>
      <c r="IK12" s="326"/>
      <c r="IL12" s="326"/>
      <c r="IM12" s="326"/>
      <c r="IN12" s="326"/>
      <c r="IO12" s="326"/>
      <c r="IP12" s="326"/>
      <c r="IQ12" s="326"/>
      <c r="IR12" s="326"/>
      <c r="IS12" s="326"/>
      <c r="IT12" s="326"/>
      <c r="IU12" s="326"/>
      <c r="IV12" s="326"/>
    </row>
    <row r="13" spans="1:17" s="766" customFormat="1" ht="18" customHeight="1">
      <c r="A13" s="574">
        <v>4</v>
      </c>
      <c r="B13" s="759"/>
      <c r="C13" s="366"/>
      <c r="D13" s="761" t="s">
        <v>283</v>
      </c>
      <c r="E13" s="335">
        <f>F13+G13+P16+6083</f>
        <v>21666</v>
      </c>
      <c r="F13" s="796"/>
      <c r="G13" s="336">
        <f>3869+9817</f>
        <v>13686</v>
      </c>
      <c r="H13" s="774"/>
      <c r="I13" s="771">
        <v>300</v>
      </c>
      <c r="J13" s="764">
        <v>42</v>
      </c>
      <c r="K13" s="764">
        <v>1994</v>
      </c>
      <c r="L13" s="764"/>
      <c r="M13" s="784"/>
      <c r="N13" s="784"/>
      <c r="O13" s="764"/>
      <c r="P13" s="758">
        <f>SUM(I13:O13)</f>
        <v>2336</v>
      </c>
      <c r="Q13" s="765"/>
    </row>
    <row r="14" spans="1:17" s="766" customFormat="1" ht="18" customHeight="1">
      <c r="A14" s="574">
        <v>5</v>
      </c>
      <c r="B14" s="759"/>
      <c r="C14" s="366"/>
      <c r="D14" s="483" t="s">
        <v>938</v>
      </c>
      <c r="E14" s="335"/>
      <c r="F14" s="796"/>
      <c r="G14" s="336"/>
      <c r="H14" s="774"/>
      <c r="I14" s="1308">
        <v>900</v>
      </c>
      <c r="J14" s="1309">
        <v>126</v>
      </c>
      <c r="K14" s="1309">
        <v>871</v>
      </c>
      <c r="L14" s="1309"/>
      <c r="M14" s="561"/>
      <c r="N14" s="561"/>
      <c r="O14" s="1309"/>
      <c r="P14" s="569">
        <f>SUM(I14:O14)</f>
        <v>1897</v>
      </c>
      <c r="Q14" s="765"/>
    </row>
    <row r="15" spans="1:17" s="766" customFormat="1" ht="18" customHeight="1">
      <c r="A15" s="574">
        <v>6</v>
      </c>
      <c r="B15" s="759"/>
      <c r="C15" s="366"/>
      <c r="D15" s="1146" t="s">
        <v>725</v>
      </c>
      <c r="E15" s="335"/>
      <c r="F15" s="796"/>
      <c r="G15" s="336"/>
      <c r="H15" s="774"/>
      <c r="I15" s="1305"/>
      <c r="J15" s="1306"/>
      <c r="K15" s="1306"/>
      <c r="L15" s="1326"/>
      <c r="M15" s="1306"/>
      <c r="N15" s="1306"/>
      <c r="O15" s="1326"/>
      <c r="P15" s="1307">
        <f>SUM(I15:O15)</f>
        <v>0</v>
      </c>
      <c r="Q15" s="765"/>
    </row>
    <row r="16" spans="1:17" s="766" customFormat="1" ht="18" customHeight="1">
      <c r="A16" s="574">
        <v>7</v>
      </c>
      <c r="B16" s="759"/>
      <c r="C16" s="366"/>
      <c r="D16" s="483" t="s">
        <v>1091</v>
      </c>
      <c r="E16" s="335"/>
      <c r="F16" s="796"/>
      <c r="G16" s="336"/>
      <c r="H16" s="774"/>
      <c r="I16" s="1308">
        <f>SUM(I14:I15)</f>
        <v>900</v>
      </c>
      <c r="J16" s="1308">
        <f>SUM(J14:J15)</f>
        <v>126</v>
      </c>
      <c r="K16" s="1308">
        <f>SUM(K14:K15)</f>
        <v>871</v>
      </c>
      <c r="L16" s="1309"/>
      <c r="M16" s="561"/>
      <c r="N16" s="561"/>
      <c r="O16" s="1309"/>
      <c r="P16" s="569">
        <f>SUM(I16:O16)</f>
        <v>1897</v>
      </c>
      <c r="Q16" s="765"/>
    </row>
    <row r="17" spans="1:17" s="766" customFormat="1" ht="22.5" customHeight="1">
      <c r="A17" s="574">
        <v>8</v>
      </c>
      <c r="B17" s="759"/>
      <c r="C17" s="366"/>
      <c r="D17" s="794" t="s">
        <v>466</v>
      </c>
      <c r="E17" s="335"/>
      <c r="F17" s="796"/>
      <c r="G17" s="336"/>
      <c r="H17" s="774"/>
      <c r="I17" s="771"/>
      <c r="J17" s="764"/>
      <c r="K17" s="784"/>
      <c r="L17" s="764"/>
      <c r="M17" s="784"/>
      <c r="N17" s="784"/>
      <c r="O17" s="764"/>
      <c r="P17" s="758"/>
      <c r="Q17" s="765"/>
    </row>
    <row r="18" spans="1:17" s="766" customFormat="1" ht="22.5" customHeight="1">
      <c r="A18" s="574">
        <v>9</v>
      </c>
      <c r="B18" s="759"/>
      <c r="C18" s="366"/>
      <c r="D18" s="563" t="s">
        <v>601</v>
      </c>
      <c r="E18" s="335"/>
      <c r="F18" s="796"/>
      <c r="G18" s="336"/>
      <c r="H18" s="774"/>
      <c r="I18" s="771"/>
      <c r="J18" s="764"/>
      <c r="K18" s="784"/>
      <c r="L18" s="764"/>
      <c r="M18" s="784"/>
      <c r="N18" s="784"/>
      <c r="O18" s="764"/>
      <c r="P18" s="758"/>
      <c r="Q18" s="765"/>
    </row>
    <row r="19" spans="1:17" s="766" customFormat="1" ht="18" customHeight="1">
      <c r="A19" s="574">
        <v>10</v>
      </c>
      <c r="B19" s="759"/>
      <c r="C19" s="366"/>
      <c r="D19" s="761" t="s">
        <v>283</v>
      </c>
      <c r="E19" s="335">
        <f>F19+G19+P22</f>
        <v>1500</v>
      </c>
      <c r="F19" s="796"/>
      <c r="G19" s="336"/>
      <c r="H19" s="774"/>
      <c r="I19" s="771"/>
      <c r="J19" s="764"/>
      <c r="K19" s="784"/>
      <c r="L19" s="764"/>
      <c r="M19" s="764">
        <v>1500</v>
      </c>
      <c r="N19" s="764"/>
      <c r="O19" s="764"/>
      <c r="P19" s="758">
        <f>SUM(I19:O19)</f>
        <v>1500</v>
      </c>
      <c r="Q19" s="765"/>
    </row>
    <row r="20" spans="1:17" s="766" customFormat="1" ht="18" customHeight="1">
      <c r="A20" s="574">
        <v>11</v>
      </c>
      <c r="B20" s="759"/>
      <c r="C20" s="366"/>
      <c r="D20" s="483" t="s">
        <v>938</v>
      </c>
      <c r="E20" s="335"/>
      <c r="F20" s="796"/>
      <c r="G20" s="336"/>
      <c r="H20" s="774"/>
      <c r="I20" s="771"/>
      <c r="J20" s="764"/>
      <c r="K20" s="784"/>
      <c r="L20" s="764"/>
      <c r="M20" s="1309">
        <v>0</v>
      </c>
      <c r="N20" s="561"/>
      <c r="O20" s="1309">
        <v>1500</v>
      </c>
      <c r="P20" s="569">
        <f>SUM(I20:O20)</f>
        <v>1500</v>
      </c>
      <c r="Q20" s="765"/>
    </row>
    <row r="21" spans="1:17" s="766" customFormat="1" ht="18" customHeight="1">
      <c r="A21" s="574">
        <v>12</v>
      </c>
      <c r="B21" s="759"/>
      <c r="C21" s="366"/>
      <c r="D21" s="1146" t="s">
        <v>725</v>
      </c>
      <c r="E21" s="335"/>
      <c r="F21" s="796"/>
      <c r="G21" s="336"/>
      <c r="H21" s="774"/>
      <c r="I21" s="771"/>
      <c r="J21" s="764"/>
      <c r="K21" s="784"/>
      <c r="L21" s="764"/>
      <c r="M21" s="1306"/>
      <c r="N21" s="561"/>
      <c r="O21" s="1306"/>
      <c r="P21" s="1307">
        <f>SUM(I21:O21)</f>
        <v>0</v>
      </c>
      <c r="Q21" s="765"/>
    </row>
    <row r="22" spans="1:17" s="766" customFormat="1" ht="18" customHeight="1">
      <c r="A22" s="574">
        <v>13</v>
      </c>
      <c r="B22" s="759"/>
      <c r="C22" s="366"/>
      <c r="D22" s="483" t="s">
        <v>1091</v>
      </c>
      <c r="E22" s="335"/>
      <c r="F22" s="796"/>
      <c r="G22" s="336"/>
      <c r="H22" s="774"/>
      <c r="I22" s="771"/>
      <c r="J22" s="764"/>
      <c r="K22" s="784"/>
      <c r="L22" s="764"/>
      <c r="M22" s="1309">
        <f>SUM(M20:M21)</f>
        <v>0</v>
      </c>
      <c r="N22" s="764"/>
      <c r="O22" s="1309">
        <f>SUM(O20:O21)</f>
        <v>1500</v>
      </c>
      <c r="P22" s="569">
        <f>SUM(I22:O22)</f>
        <v>1500</v>
      </c>
      <c r="Q22" s="765"/>
    </row>
    <row r="23" spans="1:17" s="766" customFormat="1" ht="22.5" customHeight="1">
      <c r="A23" s="574">
        <v>14</v>
      </c>
      <c r="B23" s="759"/>
      <c r="C23" s="366"/>
      <c r="D23" s="563" t="s">
        <v>602</v>
      </c>
      <c r="E23" s="335"/>
      <c r="F23" s="796"/>
      <c r="G23" s="336"/>
      <c r="H23" s="774"/>
      <c r="I23" s="771"/>
      <c r="J23" s="764"/>
      <c r="K23" s="784"/>
      <c r="L23" s="764"/>
      <c r="M23" s="784"/>
      <c r="N23" s="784"/>
      <c r="O23" s="764"/>
      <c r="P23" s="758"/>
      <c r="Q23" s="765"/>
    </row>
    <row r="24" spans="1:17" s="766" customFormat="1" ht="18" customHeight="1">
      <c r="A24" s="574">
        <v>15</v>
      </c>
      <c r="B24" s="759"/>
      <c r="C24" s="366"/>
      <c r="D24" s="761" t="s">
        <v>283</v>
      </c>
      <c r="E24" s="335">
        <f>F24+G24+P27</f>
        <v>52892</v>
      </c>
      <c r="F24" s="796"/>
      <c r="G24" s="336">
        <v>15138</v>
      </c>
      <c r="H24" s="774"/>
      <c r="I24" s="771"/>
      <c r="J24" s="764"/>
      <c r="K24" s="784"/>
      <c r="L24" s="764"/>
      <c r="M24" s="764">
        <v>39794</v>
      </c>
      <c r="N24" s="784"/>
      <c r="O24" s="764"/>
      <c r="P24" s="758">
        <f>SUM(I24:O24)</f>
        <v>39794</v>
      </c>
      <c r="Q24" s="765"/>
    </row>
    <row r="25" spans="1:17" s="766" customFormat="1" ht="18" customHeight="1">
      <c r="A25" s="574">
        <v>16</v>
      </c>
      <c r="B25" s="759"/>
      <c r="C25" s="366"/>
      <c r="D25" s="483" t="s">
        <v>938</v>
      </c>
      <c r="E25" s="335"/>
      <c r="F25" s="796"/>
      <c r="G25" s="336"/>
      <c r="H25" s="774"/>
      <c r="I25" s="771"/>
      <c r="J25" s="764"/>
      <c r="K25" s="784"/>
      <c r="L25" s="764"/>
      <c r="M25" s="1309">
        <v>37754</v>
      </c>
      <c r="N25" s="784"/>
      <c r="O25" s="764"/>
      <c r="P25" s="758">
        <f>SUM(I25:O25)</f>
        <v>37754</v>
      </c>
      <c r="Q25" s="765"/>
    </row>
    <row r="26" spans="1:17" s="766" customFormat="1" ht="18" customHeight="1">
      <c r="A26" s="574">
        <v>17</v>
      </c>
      <c r="B26" s="759"/>
      <c r="C26" s="366"/>
      <c r="D26" s="1146" t="s">
        <v>725</v>
      </c>
      <c r="E26" s="335"/>
      <c r="F26" s="796"/>
      <c r="G26" s="336"/>
      <c r="H26" s="774"/>
      <c r="I26" s="771"/>
      <c r="J26" s="764"/>
      <c r="K26" s="784"/>
      <c r="L26" s="764"/>
      <c r="M26" s="1306"/>
      <c r="N26" s="784"/>
      <c r="O26" s="764"/>
      <c r="P26" s="1307">
        <f>SUM(I26:O26)</f>
        <v>0</v>
      </c>
      <c r="Q26" s="765"/>
    </row>
    <row r="27" spans="1:17" s="766" customFormat="1" ht="18" customHeight="1">
      <c r="A27" s="574">
        <v>18</v>
      </c>
      <c r="B27" s="759"/>
      <c r="C27" s="366"/>
      <c r="D27" s="483" t="s">
        <v>1091</v>
      </c>
      <c r="E27" s="335"/>
      <c r="F27" s="796"/>
      <c r="G27" s="336"/>
      <c r="H27" s="774"/>
      <c r="I27" s="771"/>
      <c r="J27" s="764"/>
      <c r="K27" s="784"/>
      <c r="L27" s="764"/>
      <c r="M27" s="1309">
        <f>SUM(M25:M26)</f>
        <v>37754</v>
      </c>
      <c r="N27" s="784"/>
      <c r="O27" s="764"/>
      <c r="P27" s="569">
        <f>SUM(I27:O27)</f>
        <v>37754</v>
      </c>
      <c r="Q27" s="765"/>
    </row>
    <row r="28" spans="1:17" s="766" customFormat="1" ht="22.5" customHeight="1">
      <c r="A28" s="574">
        <v>19</v>
      </c>
      <c r="B28" s="759"/>
      <c r="C28" s="366"/>
      <c r="D28" s="563" t="s">
        <v>603</v>
      </c>
      <c r="E28" s="335"/>
      <c r="F28" s="796"/>
      <c r="G28" s="336"/>
      <c r="H28" s="774"/>
      <c r="I28" s="771"/>
      <c r="J28" s="764"/>
      <c r="K28" s="784"/>
      <c r="L28" s="764"/>
      <c r="M28" s="784"/>
      <c r="N28" s="784"/>
      <c r="O28" s="764"/>
      <c r="P28" s="758"/>
      <c r="Q28" s="765"/>
    </row>
    <row r="29" spans="1:17" s="766" customFormat="1" ht="18" customHeight="1">
      <c r="A29" s="574">
        <v>20</v>
      </c>
      <c r="B29" s="759"/>
      <c r="C29" s="366"/>
      <c r="D29" s="761" t="s">
        <v>283</v>
      </c>
      <c r="E29" s="335">
        <f>F29+G29+P32</f>
        <v>108328</v>
      </c>
      <c r="F29" s="796"/>
      <c r="G29" s="336">
        <v>25527</v>
      </c>
      <c r="H29" s="774"/>
      <c r="I29" s="771"/>
      <c r="J29" s="764"/>
      <c r="K29" s="784"/>
      <c r="L29" s="764"/>
      <c r="M29" s="764">
        <v>82877</v>
      </c>
      <c r="N29" s="784"/>
      <c r="O29" s="764"/>
      <c r="P29" s="758">
        <f>SUM(I29:O29)</f>
        <v>82877</v>
      </c>
      <c r="Q29" s="765"/>
    </row>
    <row r="30" spans="1:17" s="766" customFormat="1" ht="18" customHeight="1">
      <c r="A30" s="574">
        <v>21</v>
      </c>
      <c r="B30" s="759"/>
      <c r="C30" s="366"/>
      <c r="D30" s="483" t="s">
        <v>938</v>
      </c>
      <c r="E30" s="335"/>
      <c r="F30" s="796"/>
      <c r="G30" s="336"/>
      <c r="H30" s="774"/>
      <c r="I30" s="771"/>
      <c r="J30" s="764"/>
      <c r="K30" s="784"/>
      <c r="L30" s="764"/>
      <c r="M30" s="1309">
        <v>82801</v>
      </c>
      <c r="N30" s="784"/>
      <c r="O30" s="764"/>
      <c r="P30" s="758">
        <f>SUM(I30:O30)</f>
        <v>82801</v>
      </c>
      <c r="Q30" s="765"/>
    </row>
    <row r="31" spans="1:17" s="766" customFormat="1" ht="18" customHeight="1">
      <c r="A31" s="574">
        <v>22</v>
      </c>
      <c r="B31" s="759"/>
      <c r="C31" s="366"/>
      <c r="D31" s="1146" t="s">
        <v>725</v>
      </c>
      <c r="E31" s="335"/>
      <c r="F31" s="796"/>
      <c r="G31" s="336"/>
      <c r="H31" s="774"/>
      <c r="I31" s="771"/>
      <c r="J31" s="764"/>
      <c r="K31" s="784"/>
      <c r="L31" s="764"/>
      <c r="M31" s="1306"/>
      <c r="N31" s="784"/>
      <c r="O31" s="764"/>
      <c r="P31" s="1307">
        <f>SUM(I31:O31)</f>
        <v>0</v>
      </c>
      <c r="Q31" s="765"/>
    </row>
    <row r="32" spans="1:17" s="766" customFormat="1" ht="18" customHeight="1">
      <c r="A32" s="574">
        <v>23</v>
      </c>
      <c r="B32" s="759"/>
      <c r="C32" s="366"/>
      <c r="D32" s="483" t="s">
        <v>1091</v>
      </c>
      <c r="E32" s="335"/>
      <c r="F32" s="796"/>
      <c r="G32" s="336"/>
      <c r="H32" s="774"/>
      <c r="I32" s="771"/>
      <c r="J32" s="764"/>
      <c r="K32" s="784"/>
      <c r="L32" s="764"/>
      <c r="M32" s="1309">
        <f>SUM(M30:M31)</f>
        <v>82801</v>
      </c>
      <c r="N32" s="784"/>
      <c r="O32" s="764"/>
      <c r="P32" s="569">
        <f>SUM(I32:O32)</f>
        <v>82801</v>
      </c>
      <c r="Q32" s="765"/>
    </row>
    <row r="33" spans="1:17" s="766" customFormat="1" ht="22.5" customHeight="1">
      <c r="A33" s="574">
        <v>24</v>
      </c>
      <c r="B33" s="759"/>
      <c r="C33" s="366"/>
      <c r="D33" s="563" t="s">
        <v>671</v>
      </c>
      <c r="E33" s="335"/>
      <c r="F33" s="796"/>
      <c r="G33" s="336"/>
      <c r="H33" s="774"/>
      <c r="I33" s="771"/>
      <c r="J33" s="764"/>
      <c r="K33" s="784"/>
      <c r="L33" s="764"/>
      <c r="M33" s="784"/>
      <c r="N33" s="784"/>
      <c r="O33" s="764"/>
      <c r="P33" s="758"/>
      <c r="Q33" s="765"/>
    </row>
    <row r="34" spans="1:17" s="766" customFormat="1" ht="18" customHeight="1">
      <c r="A34" s="574">
        <v>25</v>
      </c>
      <c r="B34" s="759"/>
      <c r="C34" s="366"/>
      <c r="D34" s="761" t="s">
        <v>283</v>
      </c>
      <c r="E34" s="335">
        <f>F34+G34+P37</f>
        <v>37500</v>
      </c>
      <c r="F34" s="796"/>
      <c r="G34" s="336">
        <v>7620</v>
      </c>
      <c r="H34" s="774"/>
      <c r="I34" s="771"/>
      <c r="J34" s="764"/>
      <c r="K34" s="784"/>
      <c r="L34" s="764"/>
      <c r="M34" s="764">
        <v>29880</v>
      </c>
      <c r="N34" s="784"/>
      <c r="O34" s="764"/>
      <c r="P34" s="758">
        <f>SUM(I34:O34)</f>
        <v>29880</v>
      </c>
      <c r="Q34" s="765"/>
    </row>
    <row r="35" spans="1:17" s="766" customFormat="1" ht="18" customHeight="1">
      <c r="A35" s="574">
        <v>26</v>
      </c>
      <c r="B35" s="759"/>
      <c r="C35" s="366"/>
      <c r="D35" s="483" t="s">
        <v>938</v>
      </c>
      <c r="E35" s="335"/>
      <c r="F35" s="796"/>
      <c r="G35" s="336"/>
      <c r="H35" s="774"/>
      <c r="I35" s="771"/>
      <c r="J35" s="764"/>
      <c r="K35" s="784"/>
      <c r="L35" s="764"/>
      <c r="M35" s="1309">
        <v>29880</v>
      </c>
      <c r="N35" s="784"/>
      <c r="O35" s="764"/>
      <c r="P35" s="758">
        <f>SUM(I35:O35)</f>
        <v>29880</v>
      </c>
      <c r="Q35" s="765"/>
    </row>
    <row r="36" spans="1:17" s="766" customFormat="1" ht="18" customHeight="1">
      <c r="A36" s="574">
        <v>27</v>
      </c>
      <c r="B36" s="759"/>
      <c r="C36" s="366"/>
      <c r="D36" s="1146" t="s">
        <v>674</v>
      </c>
      <c r="E36" s="335"/>
      <c r="F36" s="796"/>
      <c r="G36" s="336"/>
      <c r="H36" s="774"/>
      <c r="I36" s="771"/>
      <c r="J36" s="764"/>
      <c r="K36" s="784"/>
      <c r="L36" s="764"/>
      <c r="M36" s="784"/>
      <c r="N36" s="784"/>
      <c r="O36" s="764"/>
      <c r="P36" s="1307">
        <f>SUM(I36:O36)</f>
        <v>0</v>
      </c>
      <c r="Q36" s="765"/>
    </row>
    <row r="37" spans="1:17" s="766" customFormat="1" ht="18" customHeight="1">
      <c r="A37" s="574">
        <v>28</v>
      </c>
      <c r="B37" s="759"/>
      <c r="C37" s="366"/>
      <c r="D37" s="483" t="s">
        <v>1091</v>
      </c>
      <c r="E37" s="335"/>
      <c r="F37" s="796"/>
      <c r="G37" s="336"/>
      <c r="H37" s="774"/>
      <c r="I37" s="771"/>
      <c r="J37" s="764"/>
      <c r="K37" s="784"/>
      <c r="L37" s="764"/>
      <c r="M37" s="1309">
        <f>SUM(M35:M36)</f>
        <v>29880</v>
      </c>
      <c r="N37" s="784"/>
      <c r="O37" s="764"/>
      <c r="P37" s="569">
        <f>SUM(I37:O37)</f>
        <v>29880</v>
      </c>
      <c r="Q37" s="765"/>
    </row>
    <row r="38" spans="1:256" s="560" customFormat="1" ht="22.5" customHeight="1">
      <c r="A38" s="574">
        <v>29</v>
      </c>
      <c r="B38" s="568"/>
      <c r="C38" s="366"/>
      <c r="D38" s="563" t="s">
        <v>604</v>
      </c>
      <c r="E38" s="335"/>
      <c r="F38" s="564"/>
      <c r="G38" s="336"/>
      <c r="H38" s="773"/>
      <c r="I38" s="770"/>
      <c r="J38" s="561"/>
      <c r="K38" s="561"/>
      <c r="L38" s="561"/>
      <c r="M38" s="561"/>
      <c r="N38" s="561"/>
      <c r="O38" s="561"/>
      <c r="P38" s="569"/>
      <c r="Q38" s="565"/>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326"/>
      <c r="CL38" s="326"/>
      <c r="CM38" s="326"/>
      <c r="CN38" s="326"/>
      <c r="CO38" s="326"/>
      <c r="CP38" s="326"/>
      <c r="CQ38" s="326"/>
      <c r="CR38" s="326"/>
      <c r="CS38" s="326"/>
      <c r="CT38" s="326"/>
      <c r="CU38" s="326"/>
      <c r="CV38" s="326"/>
      <c r="CW38" s="326"/>
      <c r="CX38" s="326"/>
      <c r="CY38" s="326"/>
      <c r="CZ38" s="326"/>
      <c r="DA38" s="326"/>
      <c r="DB38" s="326"/>
      <c r="DC38" s="326"/>
      <c r="DD38" s="326"/>
      <c r="DE38" s="326"/>
      <c r="DF38" s="326"/>
      <c r="DG38" s="326"/>
      <c r="DH38" s="326"/>
      <c r="DI38" s="326"/>
      <c r="DJ38" s="326"/>
      <c r="DK38" s="326"/>
      <c r="DL38" s="326"/>
      <c r="DM38" s="326"/>
      <c r="DN38" s="326"/>
      <c r="DO38" s="326"/>
      <c r="DP38" s="326"/>
      <c r="DQ38" s="326"/>
      <c r="DR38" s="326"/>
      <c r="DS38" s="326"/>
      <c r="DT38" s="326"/>
      <c r="DU38" s="326"/>
      <c r="DV38" s="326"/>
      <c r="DW38" s="326"/>
      <c r="DX38" s="326"/>
      <c r="DY38" s="326"/>
      <c r="DZ38" s="326"/>
      <c r="EA38" s="326"/>
      <c r="EB38" s="326"/>
      <c r="EC38" s="326"/>
      <c r="ED38" s="326"/>
      <c r="EE38" s="326"/>
      <c r="EF38" s="326"/>
      <c r="EG38" s="326"/>
      <c r="EH38" s="326"/>
      <c r="EI38" s="326"/>
      <c r="EJ38" s="326"/>
      <c r="EK38" s="326"/>
      <c r="EL38" s="326"/>
      <c r="EM38" s="326"/>
      <c r="EN38" s="326"/>
      <c r="EO38" s="326"/>
      <c r="EP38" s="326"/>
      <c r="EQ38" s="326"/>
      <c r="ER38" s="326"/>
      <c r="ES38" s="326"/>
      <c r="ET38" s="326"/>
      <c r="EU38" s="326"/>
      <c r="EV38" s="326"/>
      <c r="EW38" s="326"/>
      <c r="EX38" s="326"/>
      <c r="EY38" s="326"/>
      <c r="EZ38" s="326"/>
      <c r="FA38" s="326"/>
      <c r="FB38" s="326"/>
      <c r="FC38" s="326"/>
      <c r="FD38" s="326"/>
      <c r="FE38" s="326"/>
      <c r="FF38" s="326"/>
      <c r="FG38" s="326"/>
      <c r="FH38" s="326"/>
      <c r="FI38" s="326"/>
      <c r="FJ38" s="326"/>
      <c r="FK38" s="326"/>
      <c r="FL38" s="326"/>
      <c r="FM38" s="326"/>
      <c r="FN38" s="326"/>
      <c r="FO38" s="326"/>
      <c r="FP38" s="326"/>
      <c r="FQ38" s="326"/>
      <c r="FR38" s="326"/>
      <c r="FS38" s="326"/>
      <c r="FT38" s="326"/>
      <c r="FU38" s="326"/>
      <c r="FV38" s="326"/>
      <c r="FW38" s="326"/>
      <c r="FX38" s="326"/>
      <c r="FY38" s="326"/>
      <c r="FZ38" s="326"/>
      <c r="GA38" s="326"/>
      <c r="GB38" s="326"/>
      <c r="GC38" s="326"/>
      <c r="GD38" s="326"/>
      <c r="GE38" s="326"/>
      <c r="GF38" s="326"/>
      <c r="GG38" s="326"/>
      <c r="GH38" s="326"/>
      <c r="GI38" s="326"/>
      <c r="GJ38" s="326"/>
      <c r="GK38" s="326"/>
      <c r="GL38" s="326"/>
      <c r="GM38" s="326"/>
      <c r="GN38" s="326"/>
      <c r="GO38" s="326"/>
      <c r="GP38" s="326"/>
      <c r="GQ38" s="326"/>
      <c r="GR38" s="326"/>
      <c r="GS38" s="326"/>
      <c r="GT38" s="326"/>
      <c r="GU38" s="326"/>
      <c r="GV38" s="326"/>
      <c r="GW38" s="326"/>
      <c r="GX38" s="326"/>
      <c r="GY38" s="326"/>
      <c r="GZ38" s="326"/>
      <c r="HA38" s="326"/>
      <c r="HB38" s="326"/>
      <c r="HC38" s="326"/>
      <c r="HD38" s="326"/>
      <c r="HE38" s="326"/>
      <c r="HF38" s="326"/>
      <c r="HG38" s="326"/>
      <c r="HH38" s="326"/>
      <c r="HI38" s="326"/>
      <c r="HJ38" s="326"/>
      <c r="HK38" s="326"/>
      <c r="HL38" s="326"/>
      <c r="HM38" s="326"/>
      <c r="HN38" s="326"/>
      <c r="HO38" s="326"/>
      <c r="HP38" s="326"/>
      <c r="HQ38" s="326"/>
      <c r="HR38" s="326"/>
      <c r="HS38" s="326"/>
      <c r="HT38" s="326"/>
      <c r="HU38" s="326"/>
      <c r="HV38" s="326"/>
      <c r="HW38" s="326"/>
      <c r="HX38" s="326"/>
      <c r="HY38" s="326"/>
      <c r="HZ38" s="326"/>
      <c r="IA38" s="326"/>
      <c r="IB38" s="326"/>
      <c r="IC38" s="326"/>
      <c r="ID38" s="326"/>
      <c r="IE38" s="326"/>
      <c r="IF38" s="326"/>
      <c r="IG38" s="326"/>
      <c r="IH38" s="326"/>
      <c r="II38" s="326"/>
      <c r="IJ38" s="326"/>
      <c r="IK38" s="326"/>
      <c r="IL38" s="326"/>
      <c r="IM38" s="326"/>
      <c r="IN38" s="326"/>
      <c r="IO38" s="326"/>
      <c r="IP38" s="326"/>
      <c r="IQ38" s="326"/>
      <c r="IR38" s="326"/>
      <c r="IS38" s="326"/>
      <c r="IT38" s="326"/>
      <c r="IU38" s="326"/>
      <c r="IV38" s="326"/>
    </row>
    <row r="39" spans="1:17" s="766" customFormat="1" ht="18" customHeight="1">
      <c r="A39" s="574">
        <v>30</v>
      </c>
      <c r="B39" s="759"/>
      <c r="C39" s="820"/>
      <c r="D39" s="821" t="s">
        <v>283</v>
      </c>
      <c r="E39" s="335">
        <f>F39+G39+P42</f>
        <v>8000</v>
      </c>
      <c r="F39" s="822"/>
      <c r="G39" s="1498"/>
      <c r="H39" s="823"/>
      <c r="I39" s="824"/>
      <c r="J39" s="825"/>
      <c r="K39" s="826"/>
      <c r="L39" s="825"/>
      <c r="M39" s="825">
        <v>8000</v>
      </c>
      <c r="N39" s="825"/>
      <c r="O39" s="825"/>
      <c r="P39" s="827">
        <f>SUM(I39:O39)</f>
        <v>8000</v>
      </c>
      <c r="Q39" s="817"/>
    </row>
    <row r="40" spans="1:17" s="766" customFormat="1" ht="18" customHeight="1">
      <c r="A40" s="574">
        <v>31</v>
      </c>
      <c r="B40" s="759"/>
      <c r="C40" s="820"/>
      <c r="D40" s="483" t="s">
        <v>938</v>
      </c>
      <c r="E40" s="335"/>
      <c r="F40" s="822"/>
      <c r="G40" s="1498"/>
      <c r="H40" s="823"/>
      <c r="I40" s="824"/>
      <c r="J40" s="824"/>
      <c r="K40" s="1524"/>
      <c r="L40" s="824"/>
      <c r="M40" s="1683">
        <v>6000</v>
      </c>
      <c r="N40" s="1683"/>
      <c r="O40" s="1683">
        <v>2000</v>
      </c>
      <c r="P40" s="1392">
        <f>SUM(I40:O40)</f>
        <v>8000</v>
      </c>
      <c r="Q40" s="817"/>
    </row>
    <row r="41" spans="1:17" s="766" customFormat="1" ht="18" customHeight="1">
      <c r="A41" s="574">
        <v>32</v>
      </c>
      <c r="B41" s="759"/>
      <c r="C41" s="366"/>
      <c r="D41" s="1146" t="s">
        <v>674</v>
      </c>
      <c r="E41" s="335"/>
      <c r="F41" s="796"/>
      <c r="G41" s="336"/>
      <c r="H41" s="774"/>
      <c r="I41" s="771"/>
      <c r="J41" s="771"/>
      <c r="K41" s="788"/>
      <c r="L41" s="771"/>
      <c r="M41" s="1305"/>
      <c r="N41" s="771"/>
      <c r="O41" s="1305"/>
      <c r="P41" s="1307">
        <f>SUM(I41:O41)</f>
        <v>0</v>
      </c>
      <c r="Q41" s="765"/>
    </row>
    <row r="42" spans="1:17" s="766" customFormat="1" ht="18" customHeight="1" thickBot="1">
      <c r="A42" s="574">
        <v>33</v>
      </c>
      <c r="B42" s="759"/>
      <c r="C42" s="1014"/>
      <c r="D42" s="484" t="s">
        <v>1091</v>
      </c>
      <c r="E42" s="1335"/>
      <c r="F42" s="1336"/>
      <c r="G42" s="1499"/>
      <c r="H42" s="1337"/>
      <c r="I42" s="1338"/>
      <c r="J42" s="1338"/>
      <c r="K42" s="1323"/>
      <c r="L42" s="1338"/>
      <c r="M42" s="1342">
        <f>SUM(M40:M41)</f>
        <v>6000</v>
      </c>
      <c r="N42" s="1338"/>
      <c r="O42" s="1342">
        <f>SUM(O40:O41)</f>
        <v>2000</v>
      </c>
      <c r="P42" s="569">
        <f>SUM(I42:O42)</f>
        <v>8000</v>
      </c>
      <c r="Q42" s="1339"/>
    </row>
    <row r="43" spans="1:17" s="766" customFormat="1" ht="24.75" customHeight="1" thickTop="1">
      <c r="A43" s="574">
        <v>34</v>
      </c>
      <c r="B43" s="759"/>
      <c r="C43" s="1348"/>
      <c r="D43" s="1535" t="s">
        <v>508</v>
      </c>
      <c r="E43" s="1518">
        <f>E39+E24+E19+E13+E29+E34</f>
        <v>229886</v>
      </c>
      <c r="F43" s="1518">
        <f>F39+F24+F19+F13+F12</f>
        <v>0</v>
      </c>
      <c r="G43" s="1518">
        <f>G39+G24+G19+G13+G34+G29</f>
        <v>61971</v>
      </c>
      <c r="H43" s="1349"/>
      <c r="I43" s="1350"/>
      <c r="J43" s="1350"/>
      <c r="K43" s="1350"/>
      <c r="L43" s="1350"/>
      <c r="M43" s="1350"/>
      <c r="N43" s="1350"/>
      <c r="O43" s="1350"/>
      <c r="P43" s="1350"/>
      <c r="Q43" s="1351"/>
    </row>
    <row r="44" spans="1:17" s="766" customFormat="1" ht="19.5" customHeight="1">
      <c r="A44" s="574">
        <v>35</v>
      </c>
      <c r="B44" s="759"/>
      <c r="C44" s="366"/>
      <c r="D44" s="1994" t="s">
        <v>283</v>
      </c>
      <c r="E44" s="564"/>
      <c r="F44" s="564"/>
      <c r="G44" s="1500"/>
      <c r="H44" s="1352"/>
      <c r="I44" s="771">
        <f>I39+I34+I29+I24+I19+I13</f>
        <v>300</v>
      </c>
      <c r="J44" s="771">
        <f aca="true" t="shared" si="0" ref="J44:P45">J39+J34+J29+J24+J19+J13</f>
        <v>42</v>
      </c>
      <c r="K44" s="771">
        <f t="shared" si="0"/>
        <v>1994</v>
      </c>
      <c r="L44" s="771">
        <f t="shared" si="0"/>
        <v>0</v>
      </c>
      <c r="M44" s="771">
        <f t="shared" si="0"/>
        <v>162051</v>
      </c>
      <c r="N44" s="771">
        <f t="shared" si="0"/>
        <v>0</v>
      </c>
      <c r="O44" s="771">
        <f t="shared" si="0"/>
        <v>0</v>
      </c>
      <c r="P44" s="771">
        <f t="shared" si="0"/>
        <v>164387</v>
      </c>
      <c r="Q44" s="765"/>
    </row>
    <row r="45" spans="1:17" s="766" customFormat="1" ht="19.5" customHeight="1">
      <c r="A45" s="574">
        <v>36</v>
      </c>
      <c r="B45" s="759"/>
      <c r="C45" s="366"/>
      <c r="D45" s="483" t="s">
        <v>938</v>
      </c>
      <c r="E45" s="564"/>
      <c r="F45" s="564"/>
      <c r="G45" s="1500"/>
      <c r="H45" s="1352"/>
      <c r="I45" s="1308">
        <f>I40+I35+I30+I25+I20+I14</f>
        <v>900</v>
      </c>
      <c r="J45" s="1308">
        <f aca="true" t="shared" si="1" ref="J45:O45">J40+J35+J30+J25+J20+J14</f>
        <v>126</v>
      </c>
      <c r="K45" s="1308">
        <f t="shared" si="1"/>
        <v>871</v>
      </c>
      <c r="L45" s="1308">
        <f t="shared" si="1"/>
        <v>0</v>
      </c>
      <c r="M45" s="1308">
        <f t="shared" si="1"/>
        <v>156435</v>
      </c>
      <c r="N45" s="1308">
        <f t="shared" si="1"/>
        <v>0</v>
      </c>
      <c r="O45" s="1308">
        <f t="shared" si="1"/>
        <v>3500</v>
      </c>
      <c r="P45" s="1308">
        <f t="shared" si="0"/>
        <v>161832</v>
      </c>
      <c r="Q45" s="765"/>
    </row>
    <row r="46" spans="1:17" s="766" customFormat="1" ht="19.5" customHeight="1">
      <c r="A46" s="574">
        <v>37</v>
      </c>
      <c r="B46" s="759"/>
      <c r="C46" s="366"/>
      <c r="D46" s="1146" t="s">
        <v>674</v>
      </c>
      <c r="E46" s="564"/>
      <c r="F46" s="564"/>
      <c r="G46" s="1500"/>
      <c r="H46" s="1352"/>
      <c r="I46" s="1306">
        <f>I41+I36+I31+I26+I21+I15</f>
        <v>0</v>
      </c>
      <c r="J46" s="1306">
        <f aca="true" t="shared" si="2" ref="J46:O46">J41+J36+J31+J26+J21+J15</f>
        <v>0</v>
      </c>
      <c r="K46" s="1306">
        <f t="shared" si="2"/>
        <v>0</v>
      </c>
      <c r="L46" s="1306">
        <f t="shared" si="2"/>
        <v>0</v>
      </c>
      <c r="M46" s="1306">
        <f t="shared" si="2"/>
        <v>0</v>
      </c>
      <c r="N46" s="1306">
        <f t="shared" si="2"/>
        <v>0</v>
      </c>
      <c r="O46" s="1306">
        <f t="shared" si="2"/>
        <v>0</v>
      </c>
      <c r="P46" s="1307">
        <f>SUM(I46:O46)</f>
        <v>0</v>
      </c>
      <c r="Q46" s="765"/>
    </row>
    <row r="47" spans="1:17" s="766" customFormat="1" ht="19.5" customHeight="1" thickBot="1">
      <c r="A47" s="574">
        <v>38</v>
      </c>
      <c r="B47" s="759"/>
      <c r="C47" s="1343"/>
      <c r="D47" s="1157" t="s">
        <v>1091</v>
      </c>
      <c r="E47" s="1344"/>
      <c r="F47" s="1344"/>
      <c r="G47" s="1501"/>
      <c r="H47" s="1345"/>
      <c r="I47" s="1346">
        <f>SUM(I45:I46)</f>
        <v>900</v>
      </c>
      <c r="J47" s="1346">
        <f aca="true" t="shared" si="3" ref="J47:O47">SUM(J45:J46)</f>
        <v>126</v>
      </c>
      <c r="K47" s="1346">
        <f t="shared" si="3"/>
        <v>871</v>
      </c>
      <c r="L47" s="1346">
        <f t="shared" si="3"/>
        <v>0</v>
      </c>
      <c r="M47" s="1346">
        <f t="shared" si="3"/>
        <v>156435</v>
      </c>
      <c r="N47" s="1346">
        <f t="shared" si="3"/>
        <v>0</v>
      </c>
      <c r="O47" s="1346">
        <f t="shared" si="3"/>
        <v>3500</v>
      </c>
      <c r="P47" s="1346">
        <f>SUM(P45:P46)</f>
        <v>161832</v>
      </c>
      <c r="Q47" s="1347"/>
    </row>
    <row r="48" spans="1:17" s="766" customFormat="1" ht="24.75" customHeight="1" thickTop="1">
      <c r="A48" s="574">
        <v>39</v>
      </c>
      <c r="B48" s="759"/>
      <c r="C48" s="809">
        <v>2</v>
      </c>
      <c r="D48" s="816" t="s">
        <v>605</v>
      </c>
      <c r="E48" s="810"/>
      <c r="F48" s="811"/>
      <c r="G48" s="1502"/>
      <c r="H48" s="772" t="s">
        <v>23</v>
      </c>
      <c r="I48" s="812"/>
      <c r="J48" s="813"/>
      <c r="K48" s="814"/>
      <c r="L48" s="813"/>
      <c r="M48" s="813"/>
      <c r="N48" s="813"/>
      <c r="O48" s="813"/>
      <c r="P48" s="815"/>
      <c r="Q48" s="818"/>
    </row>
    <row r="49" spans="1:256" s="560" customFormat="1" ht="22.5" customHeight="1">
      <c r="A49" s="574">
        <v>40</v>
      </c>
      <c r="B49" s="568"/>
      <c r="C49" s="366"/>
      <c r="D49" s="794" t="s">
        <v>465</v>
      </c>
      <c r="E49" s="335"/>
      <c r="F49" s="564"/>
      <c r="G49" s="336"/>
      <c r="H49" s="773"/>
      <c r="I49" s="770"/>
      <c r="J49" s="561"/>
      <c r="K49" s="561"/>
      <c r="L49" s="561"/>
      <c r="M49" s="561"/>
      <c r="N49" s="561"/>
      <c r="O49" s="561"/>
      <c r="P49" s="569"/>
      <c r="Q49" s="565"/>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6"/>
      <c r="DE49" s="326"/>
      <c r="DF49" s="326"/>
      <c r="DG49" s="326"/>
      <c r="DH49" s="326"/>
      <c r="DI49" s="326"/>
      <c r="DJ49" s="326"/>
      <c r="DK49" s="326"/>
      <c r="DL49" s="326"/>
      <c r="DM49" s="326"/>
      <c r="DN49" s="326"/>
      <c r="DO49" s="326"/>
      <c r="DP49" s="326"/>
      <c r="DQ49" s="326"/>
      <c r="DR49" s="326"/>
      <c r="DS49" s="326"/>
      <c r="DT49" s="326"/>
      <c r="DU49" s="326"/>
      <c r="DV49" s="326"/>
      <c r="DW49" s="326"/>
      <c r="DX49" s="326"/>
      <c r="DY49" s="326"/>
      <c r="DZ49" s="326"/>
      <c r="EA49" s="326"/>
      <c r="EB49" s="326"/>
      <c r="EC49" s="326"/>
      <c r="ED49" s="326"/>
      <c r="EE49" s="326"/>
      <c r="EF49" s="326"/>
      <c r="EG49" s="326"/>
      <c r="EH49" s="326"/>
      <c r="EI49" s="326"/>
      <c r="EJ49" s="326"/>
      <c r="EK49" s="326"/>
      <c r="EL49" s="326"/>
      <c r="EM49" s="326"/>
      <c r="EN49" s="326"/>
      <c r="EO49" s="326"/>
      <c r="EP49" s="326"/>
      <c r="EQ49" s="326"/>
      <c r="ER49" s="326"/>
      <c r="ES49" s="326"/>
      <c r="ET49" s="326"/>
      <c r="EU49" s="326"/>
      <c r="EV49" s="326"/>
      <c r="EW49" s="326"/>
      <c r="EX49" s="326"/>
      <c r="EY49" s="326"/>
      <c r="EZ49" s="326"/>
      <c r="FA49" s="326"/>
      <c r="FB49" s="326"/>
      <c r="FC49" s="326"/>
      <c r="FD49" s="326"/>
      <c r="FE49" s="326"/>
      <c r="FF49" s="326"/>
      <c r="FG49" s="326"/>
      <c r="FH49" s="326"/>
      <c r="FI49" s="326"/>
      <c r="FJ49" s="326"/>
      <c r="FK49" s="326"/>
      <c r="FL49" s="326"/>
      <c r="FM49" s="326"/>
      <c r="FN49" s="326"/>
      <c r="FO49" s="326"/>
      <c r="FP49" s="326"/>
      <c r="FQ49" s="326"/>
      <c r="FR49" s="326"/>
      <c r="FS49" s="326"/>
      <c r="FT49" s="326"/>
      <c r="FU49" s="326"/>
      <c r="FV49" s="326"/>
      <c r="FW49" s="326"/>
      <c r="FX49" s="326"/>
      <c r="FY49" s="326"/>
      <c r="FZ49" s="326"/>
      <c r="GA49" s="326"/>
      <c r="GB49" s="326"/>
      <c r="GC49" s="326"/>
      <c r="GD49" s="326"/>
      <c r="GE49" s="326"/>
      <c r="GF49" s="326"/>
      <c r="GG49" s="326"/>
      <c r="GH49" s="326"/>
      <c r="GI49" s="326"/>
      <c r="GJ49" s="326"/>
      <c r="GK49" s="326"/>
      <c r="GL49" s="326"/>
      <c r="GM49" s="326"/>
      <c r="GN49" s="326"/>
      <c r="GO49" s="326"/>
      <c r="GP49" s="326"/>
      <c r="GQ49" s="326"/>
      <c r="GR49" s="326"/>
      <c r="GS49" s="326"/>
      <c r="GT49" s="326"/>
      <c r="GU49" s="326"/>
      <c r="GV49" s="326"/>
      <c r="GW49" s="326"/>
      <c r="GX49" s="326"/>
      <c r="GY49" s="326"/>
      <c r="GZ49" s="326"/>
      <c r="HA49" s="326"/>
      <c r="HB49" s="326"/>
      <c r="HC49" s="326"/>
      <c r="HD49" s="326"/>
      <c r="HE49" s="326"/>
      <c r="HF49" s="326"/>
      <c r="HG49" s="326"/>
      <c r="HH49" s="326"/>
      <c r="HI49" s="326"/>
      <c r="HJ49" s="326"/>
      <c r="HK49" s="326"/>
      <c r="HL49" s="326"/>
      <c r="HM49" s="326"/>
      <c r="HN49" s="326"/>
      <c r="HO49" s="326"/>
      <c r="HP49" s="326"/>
      <c r="HQ49" s="326"/>
      <c r="HR49" s="326"/>
      <c r="HS49" s="326"/>
      <c r="HT49" s="326"/>
      <c r="HU49" s="326"/>
      <c r="HV49" s="326"/>
      <c r="HW49" s="326"/>
      <c r="HX49" s="326"/>
      <c r="HY49" s="326"/>
      <c r="HZ49" s="326"/>
      <c r="IA49" s="326"/>
      <c r="IB49" s="326"/>
      <c r="IC49" s="326"/>
      <c r="ID49" s="326"/>
      <c r="IE49" s="326"/>
      <c r="IF49" s="326"/>
      <c r="IG49" s="326"/>
      <c r="IH49" s="326"/>
      <c r="II49" s="326"/>
      <c r="IJ49" s="326"/>
      <c r="IK49" s="326"/>
      <c r="IL49" s="326"/>
      <c r="IM49" s="326"/>
      <c r="IN49" s="326"/>
      <c r="IO49" s="326"/>
      <c r="IP49" s="326"/>
      <c r="IQ49" s="326"/>
      <c r="IR49" s="326"/>
      <c r="IS49" s="326"/>
      <c r="IT49" s="326"/>
      <c r="IU49" s="326"/>
      <c r="IV49" s="326"/>
    </row>
    <row r="50" spans="1:17" s="766" customFormat="1" ht="18" customHeight="1">
      <c r="A50" s="574">
        <v>41</v>
      </c>
      <c r="B50" s="759"/>
      <c r="C50" s="366"/>
      <c r="D50" s="761" t="s">
        <v>283</v>
      </c>
      <c r="E50" s="335">
        <f>F50+G50+P53+4262</f>
        <v>117920</v>
      </c>
      <c r="F50" s="763"/>
      <c r="G50" s="336">
        <f>52632+26713</f>
        <v>79345</v>
      </c>
      <c r="H50" s="774"/>
      <c r="I50" s="771">
        <v>2426</v>
      </c>
      <c r="J50" s="764">
        <v>344</v>
      </c>
      <c r="K50" s="764">
        <v>39439</v>
      </c>
      <c r="L50" s="784"/>
      <c r="M50" s="764"/>
      <c r="N50" s="764"/>
      <c r="O50" s="764"/>
      <c r="P50" s="758">
        <f>SUM(I50:O50)</f>
        <v>42209</v>
      </c>
      <c r="Q50" s="765"/>
    </row>
    <row r="51" spans="1:17" s="766" customFormat="1" ht="18" customHeight="1">
      <c r="A51" s="574">
        <v>42</v>
      </c>
      <c r="B51" s="759"/>
      <c r="C51" s="366"/>
      <c r="D51" s="483" t="s">
        <v>938</v>
      </c>
      <c r="E51" s="335"/>
      <c r="F51" s="763"/>
      <c r="G51" s="336"/>
      <c r="H51" s="774"/>
      <c r="I51" s="1308">
        <v>650</v>
      </c>
      <c r="J51" s="1309">
        <v>91</v>
      </c>
      <c r="K51" s="1309">
        <v>39477</v>
      </c>
      <c r="L51" s="561"/>
      <c r="M51" s="1309"/>
      <c r="N51" s="1309"/>
      <c r="O51" s="1309"/>
      <c r="P51" s="569">
        <f>SUM(I51:O51)</f>
        <v>40218</v>
      </c>
      <c r="Q51" s="765"/>
    </row>
    <row r="52" spans="1:17" s="766" customFormat="1" ht="18" customHeight="1">
      <c r="A52" s="574">
        <v>43</v>
      </c>
      <c r="B52" s="759"/>
      <c r="C52" s="366"/>
      <c r="D52" s="1146" t="s">
        <v>1019</v>
      </c>
      <c r="E52" s="335"/>
      <c r="F52" s="763"/>
      <c r="G52" s="336"/>
      <c r="H52" s="774"/>
      <c r="I52" s="1305"/>
      <c r="J52" s="1306"/>
      <c r="K52" s="1306">
        <v>-5905</v>
      </c>
      <c r="L52" s="784"/>
      <c r="M52" s="764"/>
      <c r="N52" s="764"/>
      <c r="O52" s="764"/>
      <c r="P52" s="1307">
        <f>SUM(I52:O52)</f>
        <v>-5905</v>
      </c>
      <c r="Q52" s="765"/>
    </row>
    <row r="53" spans="1:17" s="766" customFormat="1" ht="18" customHeight="1">
      <c r="A53" s="574">
        <v>44</v>
      </c>
      <c r="B53" s="759"/>
      <c r="C53" s="366"/>
      <c r="D53" s="483" t="s">
        <v>1091</v>
      </c>
      <c r="E53" s="335"/>
      <c r="F53" s="763"/>
      <c r="G53" s="336"/>
      <c r="H53" s="774"/>
      <c r="I53" s="1308">
        <f>SUM(I51:I52)</f>
        <v>650</v>
      </c>
      <c r="J53" s="1308">
        <f>SUM(J51:J52)</f>
        <v>91</v>
      </c>
      <c r="K53" s="1308">
        <f>SUM(K51:K52)</f>
        <v>33572</v>
      </c>
      <c r="L53" s="784"/>
      <c r="M53" s="764"/>
      <c r="N53" s="764"/>
      <c r="O53" s="764"/>
      <c r="P53" s="569">
        <f>SUM(I53:O53)</f>
        <v>34313</v>
      </c>
      <c r="Q53" s="765"/>
    </row>
    <row r="54" spans="1:17" s="766" customFormat="1" ht="22.5" customHeight="1">
      <c r="A54" s="574">
        <v>45</v>
      </c>
      <c r="B54" s="759"/>
      <c r="C54" s="366"/>
      <c r="D54" s="563" t="s">
        <v>606</v>
      </c>
      <c r="E54" s="762"/>
      <c r="F54" s="763"/>
      <c r="G54" s="1503"/>
      <c r="H54" s="774"/>
      <c r="I54" s="771"/>
      <c r="J54" s="764"/>
      <c r="K54" s="784"/>
      <c r="L54" s="784"/>
      <c r="M54" s="764"/>
      <c r="N54" s="764"/>
      <c r="O54" s="764"/>
      <c r="P54" s="758"/>
      <c r="Q54" s="765"/>
    </row>
    <row r="55" spans="1:17" s="766" customFormat="1" ht="18" customHeight="1">
      <c r="A55" s="574">
        <v>46</v>
      </c>
      <c r="B55" s="759"/>
      <c r="C55" s="820"/>
      <c r="D55" s="821" t="s">
        <v>283</v>
      </c>
      <c r="E55" s="829">
        <f>F55+G55+P58</f>
        <v>2500</v>
      </c>
      <c r="F55" s="978"/>
      <c r="G55" s="1504"/>
      <c r="H55" s="823"/>
      <c r="I55" s="824"/>
      <c r="J55" s="825"/>
      <c r="K55" s="826"/>
      <c r="L55" s="826"/>
      <c r="M55" s="825"/>
      <c r="N55" s="825">
        <v>2500</v>
      </c>
      <c r="O55" s="825"/>
      <c r="P55" s="827">
        <f>SUM(I55:O55)</f>
        <v>2500</v>
      </c>
      <c r="Q55" s="817"/>
    </row>
    <row r="56" spans="1:17" s="766" customFormat="1" ht="18" customHeight="1">
      <c r="A56" s="574">
        <v>47</v>
      </c>
      <c r="B56" s="759"/>
      <c r="C56" s="820"/>
      <c r="D56" s="483" t="s">
        <v>938</v>
      </c>
      <c r="E56" s="829"/>
      <c r="F56" s="978"/>
      <c r="G56" s="1504"/>
      <c r="H56" s="823"/>
      <c r="I56" s="824"/>
      <c r="J56" s="824"/>
      <c r="K56" s="1524"/>
      <c r="L56" s="1524"/>
      <c r="M56" s="824"/>
      <c r="N56" s="1683">
        <v>2500</v>
      </c>
      <c r="O56" s="1683"/>
      <c r="P56" s="1392">
        <f>SUM(I56:O56)</f>
        <v>2500</v>
      </c>
      <c r="Q56" s="817"/>
    </row>
    <row r="57" spans="1:17" s="766" customFormat="1" ht="18" customHeight="1">
      <c r="A57" s="574">
        <v>48</v>
      </c>
      <c r="B57" s="759"/>
      <c r="C57" s="366"/>
      <c r="D57" s="1146" t="s">
        <v>674</v>
      </c>
      <c r="E57" s="335"/>
      <c r="F57" s="763"/>
      <c r="G57" s="1503"/>
      <c r="H57" s="774"/>
      <c r="I57" s="771"/>
      <c r="J57" s="771"/>
      <c r="K57" s="788"/>
      <c r="L57" s="788"/>
      <c r="M57" s="771"/>
      <c r="N57" s="788"/>
      <c r="O57" s="771"/>
      <c r="P57" s="1307">
        <f>SUM(I57:O57)</f>
        <v>0</v>
      </c>
      <c r="Q57" s="765"/>
    </row>
    <row r="58" spans="1:17" s="766" customFormat="1" ht="18" customHeight="1" thickBot="1">
      <c r="A58" s="574">
        <v>49</v>
      </c>
      <c r="B58" s="759"/>
      <c r="C58" s="1014"/>
      <c r="D58" s="483" t="s">
        <v>1091</v>
      </c>
      <c r="E58" s="1335"/>
      <c r="F58" s="1378"/>
      <c r="G58" s="1505"/>
      <c r="H58" s="1337"/>
      <c r="I58" s="1338"/>
      <c r="J58" s="1338"/>
      <c r="K58" s="1323"/>
      <c r="L58" s="1323"/>
      <c r="M58" s="1338"/>
      <c r="N58" s="1342">
        <f>SUM(N56:N57)</f>
        <v>2500</v>
      </c>
      <c r="O58" s="1338"/>
      <c r="P58" s="569">
        <f>SUM(I58:O58)</f>
        <v>2500</v>
      </c>
      <c r="Q58" s="1339"/>
    </row>
    <row r="59" spans="1:17" s="766" customFormat="1" ht="24.75" customHeight="1" thickTop="1">
      <c r="A59" s="574">
        <v>50</v>
      </c>
      <c r="B59" s="759"/>
      <c r="C59" s="1348"/>
      <c r="D59" s="1535" t="s">
        <v>607</v>
      </c>
      <c r="E59" s="1358">
        <f>E55+E50</f>
        <v>120420</v>
      </c>
      <c r="F59" s="1358">
        <f>F55+F50</f>
        <v>0</v>
      </c>
      <c r="G59" s="1358">
        <f>G55+G50</f>
        <v>79345</v>
      </c>
      <c r="H59" s="1359"/>
      <c r="I59" s="1350"/>
      <c r="J59" s="1350"/>
      <c r="K59" s="1350"/>
      <c r="L59" s="1350"/>
      <c r="M59" s="1350"/>
      <c r="N59" s="1350"/>
      <c r="O59" s="1350"/>
      <c r="P59" s="1350"/>
      <c r="Q59" s="1351"/>
    </row>
    <row r="60" spans="1:17" s="766" customFormat="1" ht="19.5" customHeight="1">
      <c r="A60" s="574">
        <v>51</v>
      </c>
      <c r="B60" s="759"/>
      <c r="C60" s="366"/>
      <c r="D60" s="821" t="s">
        <v>283</v>
      </c>
      <c r="E60" s="1018"/>
      <c r="F60" s="1018"/>
      <c r="G60" s="1506"/>
      <c r="H60" s="774"/>
      <c r="I60" s="771">
        <f>I55+I50</f>
        <v>2426</v>
      </c>
      <c r="J60" s="771">
        <f aca="true" t="shared" si="4" ref="J60:P60">J55+J50</f>
        <v>344</v>
      </c>
      <c r="K60" s="771">
        <f t="shared" si="4"/>
        <v>39439</v>
      </c>
      <c r="L60" s="771">
        <f t="shared" si="4"/>
        <v>0</v>
      </c>
      <c r="M60" s="771">
        <f t="shared" si="4"/>
        <v>0</v>
      </c>
      <c r="N60" s="771">
        <f t="shared" si="4"/>
        <v>2500</v>
      </c>
      <c r="O60" s="771">
        <f t="shared" si="4"/>
        <v>0</v>
      </c>
      <c r="P60" s="771">
        <f t="shared" si="4"/>
        <v>44709</v>
      </c>
      <c r="Q60" s="765"/>
    </row>
    <row r="61" spans="1:17" s="766" customFormat="1" ht="19.5" customHeight="1">
      <c r="A61" s="574">
        <v>52</v>
      </c>
      <c r="B61" s="759"/>
      <c r="C61" s="366"/>
      <c r="D61" s="483" t="s">
        <v>938</v>
      </c>
      <c r="E61" s="1018"/>
      <c r="F61" s="1018"/>
      <c r="G61" s="1506"/>
      <c r="H61" s="774"/>
      <c r="I61" s="1308">
        <f>I56+I51</f>
        <v>650</v>
      </c>
      <c r="J61" s="1308">
        <f aca="true" t="shared" si="5" ref="J61:O61">J56+J51</f>
        <v>91</v>
      </c>
      <c r="K61" s="1308">
        <f t="shared" si="5"/>
        <v>39477</v>
      </c>
      <c r="L61" s="1308">
        <f t="shared" si="5"/>
        <v>0</v>
      </c>
      <c r="M61" s="1308">
        <f t="shared" si="5"/>
        <v>0</v>
      </c>
      <c r="N61" s="1308">
        <f t="shared" si="5"/>
        <v>2500</v>
      </c>
      <c r="O61" s="1308">
        <f t="shared" si="5"/>
        <v>0</v>
      </c>
      <c r="P61" s="1308">
        <f>P56+P51</f>
        <v>42718</v>
      </c>
      <c r="Q61" s="765"/>
    </row>
    <row r="62" spans="1:17" s="766" customFormat="1" ht="19.5" customHeight="1">
      <c r="A62" s="574">
        <v>53</v>
      </c>
      <c r="B62" s="759"/>
      <c r="C62" s="366"/>
      <c r="D62" s="1146" t="s">
        <v>674</v>
      </c>
      <c r="E62" s="1018"/>
      <c r="F62" s="1018"/>
      <c r="G62" s="1506"/>
      <c r="H62" s="774"/>
      <c r="I62" s="1305">
        <f>I57+I52</f>
        <v>0</v>
      </c>
      <c r="J62" s="1305">
        <f aca="true" t="shared" si="6" ref="J62:O62">J57+J52</f>
        <v>0</v>
      </c>
      <c r="K62" s="1305">
        <f t="shared" si="6"/>
        <v>-5905</v>
      </c>
      <c r="L62" s="1305">
        <f t="shared" si="6"/>
        <v>0</v>
      </c>
      <c r="M62" s="1305">
        <f t="shared" si="6"/>
        <v>0</v>
      </c>
      <c r="N62" s="1305">
        <f t="shared" si="6"/>
        <v>0</v>
      </c>
      <c r="O62" s="1305">
        <f t="shared" si="6"/>
        <v>0</v>
      </c>
      <c r="P62" s="1307">
        <f>SUM(I62:O62)</f>
        <v>-5905</v>
      </c>
      <c r="Q62" s="765"/>
    </row>
    <row r="63" spans="1:17" s="766" customFormat="1" ht="19.5" customHeight="1" thickBot="1">
      <c r="A63" s="574">
        <v>54</v>
      </c>
      <c r="B63" s="759"/>
      <c r="C63" s="1353"/>
      <c r="D63" s="1157" t="s">
        <v>1091</v>
      </c>
      <c r="E63" s="1354"/>
      <c r="F63" s="1354"/>
      <c r="G63" s="1507"/>
      <c r="H63" s="1355"/>
      <c r="I63" s="1356">
        <f>SUM(I61:I62)</f>
        <v>650</v>
      </c>
      <c r="J63" s="1356">
        <f aca="true" t="shared" si="7" ref="J63:O63">SUM(J61:J62)</f>
        <v>91</v>
      </c>
      <c r="K63" s="1356">
        <f t="shared" si="7"/>
        <v>33572</v>
      </c>
      <c r="L63" s="1356">
        <f t="shared" si="7"/>
        <v>0</v>
      </c>
      <c r="M63" s="1356">
        <f t="shared" si="7"/>
        <v>0</v>
      </c>
      <c r="N63" s="1356">
        <f t="shared" si="7"/>
        <v>2500</v>
      </c>
      <c r="O63" s="1356">
        <f t="shared" si="7"/>
        <v>0</v>
      </c>
      <c r="P63" s="1379">
        <f>SUM(I63:O63)</f>
        <v>36813</v>
      </c>
      <c r="Q63" s="1357"/>
    </row>
    <row r="64" spans="1:256" s="560" customFormat="1" ht="22.5" customHeight="1" thickTop="1">
      <c r="A64" s="574">
        <v>55</v>
      </c>
      <c r="B64" s="568"/>
      <c r="C64" s="809">
        <v>3</v>
      </c>
      <c r="D64" s="816" t="s">
        <v>608</v>
      </c>
      <c r="E64" s="333"/>
      <c r="F64" s="331"/>
      <c r="G64" s="332"/>
      <c r="H64" s="772" t="s">
        <v>23</v>
      </c>
      <c r="I64" s="979"/>
      <c r="J64" s="980"/>
      <c r="K64" s="980"/>
      <c r="L64" s="980"/>
      <c r="M64" s="980"/>
      <c r="N64" s="980"/>
      <c r="O64" s="980"/>
      <c r="P64" s="981"/>
      <c r="Q64" s="562"/>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26"/>
      <c r="EJ64" s="326"/>
      <c r="EK64" s="326"/>
      <c r="EL64" s="326"/>
      <c r="EM64" s="326"/>
      <c r="EN64" s="326"/>
      <c r="EO64" s="326"/>
      <c r="EP64" s="326"/>
      <c r="EQ64" s="326"/>
      <c r="ER64" s="326"/>
      <c r="ES64" s="326"/>
      <c r="ET64" s="326"/>
      <c r="EU64" s="326"/>
      <c r="EV64" s="326"/>
      <c r="EW64" s="326"/>
      <c r="EX64" s="326"/>
      <c r="EY64" s="326"/>
      <c r="EZ64" s="326"/>
      <c r="FA64" s="326"/>
      <c r="FB64" s="326"/>
      <c r="FC64" s="326"/>
      <c r="FD64" s="326"/>
      <c r="FE64" s="326"/>
      <c r="FF64" s="326"/>
      <c r="FG64" s="326"/>
      <c r="FH64" s="326"/>
      <c r="FI64" s="326"/>
      <c r="FJ64" s="326"/>
      <c r="FK64" s="326"/>
      <c r="FL64" s="326"/>
      <c r="FM64" s="326"/>
      <c r="FN64" s="326"/>
      <c r="FO64" s="326"/>
      <c r="FP64" s="326"/>
      <c r="FQ64" s="326"/>
      <c r="FR64" s="326"/>
      <c r="FS64" s="326"/>
      <c r="FT64" s="326"/>
      <c r="FU64" s="326"/>
      <c r="FV64" s="326"/>
      <c r="FW64" s="326"/>
      <c r="FX64" s="326"/>
      <c r="FY64" s="326"/>
      <c r="FZ64" s="326"/>
      <c r="GA64" s="326"/>
      <c r="GB64" s="326"/>
      <c r="GC64" s="326"/>
      <c r="GD64" s="326"/>
      <c r="GE64" s="326"/>
      <c r="GF64" s="326"/>
      <c r="GG64" s="326"/>
      <c r="GH64" s="326"/>
      <c r="GI64" s="326"/>
      <c r="GJ64" s="326"/>
      <c r="GK64" s="326"/>
      <c r="GL64" s="326"/>
      <c r="GM64" s="326"/>
      <c r="GN64" s="326"/>
      <c r="GO64" s="326"/>
      <c r="GP64" s="326"/>
      <c r="GQ64" s="326"/>
      <c r="GR64" s="326"/>
      <c r="GS64" s="326"/>
      <c r="GT64" s="326"/>
      <c r="GU64" s="326"/>
      <c r="GV64" s="326"/>
      <c r="GW64" s="326"/>
      <c r="GX64" s="326"/>
      <c r="GY64" s="326"/>
      <c r="GZ64" s="326"/>
      <c r="HA64" s="326"/>
      <c r="HB64" s="326"/>
      <c r="HC64" s="326"/>
      <c r="HD64" s="326"/>
      <c r="HE64" s="326"/>
      <c r="HF64" s="326"/>
      <c r="HG64" s="326"/>
      <c r="HH64" s="326"/>
      <c r="HI64" s="326"/>
      <c r="HJ64" s="326"/>
      <c r="HK64" s="326"/>
      <c r="HL64" s="326"/>
      <c r="HM64" s="326"/>
      <c r="HN64" s="326"/>
      <c r="HO64" s="326"/>
      <c r="HP64" s="326"/>
      <c r="HQ64" s="326"/>
      <c r="HR64" s="326"/>
      <c r="HS64" s="326"/>
      <c r="HT64" s="326"/>
      <c r="HU64" s="326"/>
      <c r="HV64" s="326"/>
      <c r="HW64" s="326"/>
      <c r="HX64" s="326"/>
      <c r="HY64" s="326"/>
      <c r="HZ64" s="326"/>
      <c r="IA64" s="326"/>
      <c r="IB64" s="326"/>
      <c r="IC64" s="326"/>
      <c r="ID64" s="326"/>
      <c r="IE64" s="326"/>
      <c r="IF64" s="326"/>
      <c r="IG64" s="326"/>
      <c r="IH64" s="326"/>
      <c r="II64" s="326"/>
      <c r="IJ64" s="326"/>
      <c r="IK64" s="326"/>
      <c r="IL64" s="326"/>
      <c r="IM64" s="326"/>
      <c r="IN64" s="326"/>
      <c r="IO64" s="326"/>
      <c r="IP64" s="326"/>
      <c r="IQ64" s="326"/>
      <c r="IR64" s="326"/>
      <c r="IS64" s="326"/>
      <c r="IT64" s="326"/>
      <c r="IU64" s="326"/>
      <c r="IV64" s="326"/>
    </row>
    <row r="65" spans="1:256" s="560" customFormat="1" ht="37.5" customHeight="1">
      <c r="A65" s="574">
        <v>56</v>
      </c>
      <c r="B65" s="568"/>
      <c r="C65" s="366"/>
      <c r="D65" s="328" t="s">
        <v>609</v>
      </c>
      <c r="E65" s="335"/>
      <c r="F65" s="564"/>
      <c r="G65" s="336"/>
      <c r="H65" s="773"/>
      <c r="I65" s="770"/>
      <c r="J65" s="561"/>
      <c r="K65" s="561"/>
      <c r="L65" s="561"/>
      <c r="M65" s="561"/>
      <c r="N65" s="561"/>
      <c r="O65" s="561"/>
      <c r="P65" s="569"/>
      <c r="Q65" s="565"/>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6"/>
      <c r="CK65" s="326"/>
      <c r="CL65" s="326"/>
      <c r="CM65" s="326"/>
      <c r="CN65" s="326"/>
      <c r="CO65" s="326"/>
      <c r="CP65" s="326"/>
      <c r="CQ65" s="326"/>
      <c r="CR65" s="326"/>
      <c r="CS65" s="326"/>
      <c r="CT65" s="326"/>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326"/>
      <c r="DW65" s="326"/>
      <c r="DX65" s="326"/>
      <c r="DY65" s="326"/>
      <c r="DZ65" s="326"/>
      <c r="EA65" s="326"/>
      <c r="EB65" s="326"/>
      <c r="EC65" s="326"/>
      <c r="ED65" s="326"/>
      <c r="EE65" s="326"/>
      <c r="EF65" s="326"/>
      <c r="EG65" s="326"/>
      <c r="EH65" s="326"/>
      <c r="EI65" s="326"/>
      <c r="EJ65" s="326"/>
      <c r="EK65" s="326"/>
      <c r="EL65" s="326"/>
      <c r="EM65" s="326"/>
      <c r="EN65" s="326"/>
      <c r="EO65" s="326"/>
      <c r="EP65" s="326"/>
      <c r="EQ65" s="326"/>
      <c r="ER65" s="326"/>
      <c r="ES65" s="326"/>
      <c r="ET65" s="326"/>
      <c r="EU65" s="326"/>
      <c r="EV65" s="326"/>
      <c r="EW65" s="326"/>
      <c r="EX65" s="326"/>
      <c r="EY65" s="326"/>
      <c r="EZ65" s="326"/>
      <c r="FA65" s="326"/>
      <c r="FB65" s="326"/>
      <c r="FC65" s="326"/>
      <c r="FD65" s="326"/>
      <c r="FE65" s="326"/>
      <c r="FF65" s="326"/>
      <c r="FG65" s="326"/>
      <c r="FH65" s="326"/>
      <c r="FI65" s="326"/>
      <c r="FJ65" s="326"/>
      <c r="FK65" s="326"/>
      <c r="FL65" s="326"/>
      <c r="FM65" s="326"/>
      <c r="FN65" s="326"/>
      <c r="FO65" s="326"/>
      <c r="FP65" s="326"/>
      <c r="FQ65" s="326"/>
      <c r="FR65" s="326"/>
      <c r="FS65" s="326"/>
      <c r="FT65" s="326"/>
      <c r="FU65" s="326"/>
      <c r="FV65" s="326"/>
      <c r="FW65" s="326"/>
      <c r="FX65" s="326"/>
      <c r="FY65" s="326"/>
      <c r="FZ65" s="326"/>
      <c r="GA65" s="326"/>
      <c r="GB65" s="326"/>
      <c r="GC65" s="326"/>
      <c r="GD65" s="326"/>
      <c r="GE65" s="326"/>
      <c r="GF65" s="326"/>
      <c r="GG65" s="326"/>
      <c r="GH65" s="326"/>
      <c r="GI65" s="326"/>
      <c r="GJ65" s="326"/>
      <c r="GK65" s="326"/>
      <c r="GL65" s="326"/>
      <c r="GM65" s="326"/>
      <c r="GN65" s="326"/>
      <c r="GO65" s="326"/>
      <c r="GP65" s="326"/>
      <c r="GQ65" s="326"/>
      <c r="GR65" s="326"/>
      <c r="GS65" s="326"/>
      <c r="GT65" s="326"/>
      <c r="GU65" s="326"/>
      <c r="GV65" s="326"/>
      <c r="GW65" s="326"/>
      <c r="GX65" s="326"/>
      <c r="GY65" s="326"/>
      <c r="GZ65" s="326"/>
      <c r="HA65" s="326"/>
      <c r="HB65" s="326"/>
      <c r="HC65" s="326"/>
      <c r="HD65" s="326"/>
      <c r="HE65" s="326"/>
      <c r="HF65" s="326"/>
      <c r="HG65" s="326"/>
      <c r="HH65" s="326"/>
      <c r="HI65" s="326"/>
      <c r="HJ65" s="326"/>
      <c r="HK65" s="326"/>
      <c r="HL65" s="326"/>
      <c r="HM65" s="326"/>
      <c r="HN65" s="326"/>
      <c r="HO65" s="326"/>
      <c r="HP65" s="326"/>
      <c r="HQ65" s="326"/>
      <c r="HR65" s="326"/>
      <c r="HS65" s="326"/>
      <c r="HT65" s="326"/>
      <c r="HU65" s="326"/>
      <c r="HV65" s="326"/>
      <c r="HW65" s="326"/>
      <c r="HX65" s="326"/>
      <c r="HY65" s="326"/>
      <c r="HZ65" s="326"/>
      <c r="IA65" s="326"/>
      <c r="IB65" s="326"/>
      <c r="IC65" s="326"/>
      <c r="ID65" s="326"/>
      <c r="IE65" s="326"/>
      <c r="IF65" s="326"/>
      <c r="IG65" s="326"/>
      <c r="IH65" s="326"/>
      <c r="II65" s="326"/>
      <c r="IJ65" s="326"/>
      <c r="IK65" s="326"/>
      <c r="IL65" s="326"/>
      <c r="IM65" s="326"/>
      <c r="IN65" s="326"/>
      <c r="IO65" s="326"/>
      <c r="IP65" s="326"/>
      <c r="IQ65" s="326"/>
      <c r="IR65" s="326"/>
      <c r="IS65" s="326"/>
      <c r="IT65" s="326"/>
      <c r="IU65" s="326"/>
      <c r="IV65" s="326"/>
    </row>
    <row r="66" spans="1:256" s="560" customFormat="1" ht="19.5" customHeight="1">
      <c r="A66" s="574">
        <v>57</v>
      </c>
      <c r="B66" s="568"/>
      <c r="C66" s="327"/>
      <c r="D66" s="761" t="s">
        <v>283</v>
      </c>
      <c r="E66" s="335">
        <f>F66+G66+P69</f>
        <v>2418111</v>
      </c>
      <c r="F66" s="564"/>
      <c r="G66" s="336"/>
      <c r="H66" s="773"/>
      <c r="I66" s="770"/>
      <c r="J66" s="561"/>
      <c r="K66" s="561"/>
      <c r="L66" s="561"/>
      <c r="M66" s="764">
        <v>2414207</v>
      </c>
      <c r="N66" s="561"/>
      <c r="O66" s="561"/>
      <c r="P66" s="758">
        <f>SUM(I66:O66)</f>
        <v>2414207</v>
      </c>
      <c r="Q66" s="565"/>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c r="BT66" s="326"/>
      <c r="BU66" s="326"/>
      <c r="BV66" s="326"/>
      <c r="BW66" s="326"/>
      <c r="BX66" s="326"/>
      <c r="BY66" s="326"/>
      <c r="BZ66" s="326"/>
      <c r="CA66" s="326"/>
      <c r="CB66" s="326"/>
      <c r="CC66" s="326"/>
      <c r="CD66" s="326"/>
      <c r="CE66" s="326"/>
      <c r="CF66" s="326"/>
      <c r="CG66" s="326"/>
      <c r="CH66" s="326"/>
      <c r="CI66" s="326"/>
      <c r="CJ66" s="326"/>
      <c r="CK66" s="326"/>
      <c r="CL66" s="326"/>
      <c r="CM66" s="326"/>
      <c r="CN66" s="326"/>
      <c r="CO66" s="326"/>
      <c r="CP66" s="326"/>
      <c r="CQ66" s="326"/>
      <c r="CR66" s="326"/>
      <c r="CS66" s="326"/>
      <c r="CT66" s="326"/>
      <c r="CU66" s="326"/>
      <c r="CV66" s="326"/>
      <c r="CW66" s="326"/>
      <c r="CX66" s="326"/>
      <c r="CY66" s="326"/>
      <c r="CZ66" s="326"/>
      <c r="DA66" s="326"/>
      <c r="DB66" s="326"/>
      <c r="DC66" s="326"/>
      <c r="DD66" s="326"/>
      <c r="DE66" s="326"/>
      <c r="DF66" s="326"/>
      <c r="DG66" s="326"/>
      <c r="DH66" s="326"/>
      <c r="DI66" s="326"/>
      <c r="DJ66" s="326"/>
      <c r="DK66" s="326"/>
      <c r="DL66" s="326"/>
      <c r="DM66" s="326"/>
      <c r="DN66" s="326"/>
      <c r="DO66" s="326"/>
      <c r="DP66" s="326"/>
      <c r="DQ66" s="326"/>
      <c r="DR66" s="326"/>
      <c r="DS66" s="326"/>
      <c r="DT66" s="326"/>
      <c r="DU66" s="326"/>
      <c r="DV66" s="326"/>
      <c r="DW66" s="326"/>
      <c r="DX66" s="326"/>
      <c r="DY66" s="326"/>
      <c r="DZ66" s="326"/>
      <c r="EA66" s="326"/>
      <c r="EB66" s="326"/>
      <c r="EC66" s="326"/>
      <c r="ED66" s="326"/>
      <c r="EE66" s="326"/>
      <c r="EF66" s="326"/>
      <c r="EG66" s="326"/>
      <c r="EH66" s="326"/>
      <c r="EI66" s="326"/>
      <c r="EJ66" s="326"/>
      <c r="EK66" s="326"/>
      <c r="EL66" s="326"/>
      <c r="EM66" s="326"/>
      <c r="EN66" s="326"/>
      <c r="EO66" s="326"/>
      <c r="EP66" s="326"/>
      <c r="EQ66" s="326"/>
      <c r="ER66" s="326"/>
      <c r="ES66" s="326"/>
      <c r="ET66" s="326"/>
      <c r="EU66" s="326"/>
      <c r="EV66" s="326"/>
      <c r="EW66" s="326"/>
      <c r="EX66" s="326"/>
      <c r="EY66" s="326"/>
      <c r="EZ66" s="326"/>
      <c r="FA66" s="326"/>
      <c r="FB66" s="326"/>
      <c r="FC66" s="326"/>
      <c r="FD66" s="326"/>
      <c r="FE66" s="326"/>
      <c r="FF66" s="326"/>
      <c r="FG66" s="326"/>
      <c r="FH66" s="326"/>
      <c r="FI66" s="326"/>
      <c r="FJ66" s="326"/>
      <c r="FK66" s="326"/>
      <c r="FL66" s="326"/>
      <c r="FM66" s="326"/>
      <c r="FN66" s="326"/>
      <c r="FO66" s="326"/>
      <c r="FP66" s="326"/>
      <c r="FQ66" s="326"/>
      <c r="FR66" s="326"/>
      <c r="FS66" s="326"/>
      <c r="FT66" s="326"/>
      <c r="FU66" s="326"/>
      <c r="FV66" s="326"/>
      <c r="FW66" s="326"/>
      <c r="FX66" s="326"/>
      <c r="FY66" s="326"/>
      <c r="FZ66" s="326"/>
      <c r="GA66" s="326"/>
      <c r="GB66" s="326"/>
      <c r="GC66" s="326"/>
      <c r="GD66" s="326"/>
      <c r="GE66" s="326"/>
      <c r="GF66" s="326"/>
      <c r="GG66" s="326"/>
      <c r="GH66" s="326"/>
      <c r="GI66" s="326"/>
      <c r="GJ66" s="326"/>
      <c r="GK66" s="326"/>
      <c r="GL66" s="326"/>
      <c r="GM66" s="326"/>
      <c r="GN66" s="326"/>
      <c r="GO66" s="326"/>
      <c r="GP66" s="326"/>
      <c r="GQ66" s="326"/>
      <c r="GR66" s="326"/>
      <c r="GS66" s="326"/>
      <c r="GT66" s="326"/>
      <c r="GU66" s="326"/>
      <c r="GV66" s="326"/>
      <c r="GW66" s="326"/>
      <c r="GX66" s="326"/>
      <c r="GY66" s="326"/>
      <c r="GZ66" s="326"/>
      <c r="HA66" s="326"/>
      <c r="HB66" s="326"/>
      <c r="HC66" s="326"/>
      <c r="HD66" s="326"/>
      <c r="HE66" s="326"/>
      <c r="HF66" s="326"/>
      <c r="HG66" s="326"/>
      <c r="HH66" s="326"/>
      <c r="HI66" s="326"/>
      <c r="HJ66" s="326"/>
      <c r="HK66" s="326"/>
      <c r="HL66" s="326"/>
      <c r="HM66" s="326"/>
      <c r="HN66" s="326"/>
      <c r="HO66" s="326"/>
      <c r="HP66" s="326"/>
      <c r="HQ66" s="326"/>
      <c r="HR66" s="326"/>
      <c r="HS66" s="326"/>
      <c r="HT66" s="326"/>
      <c r="HU66" s="326"/>
      <c r="HV66" s="326"/>
      <c r="HW66" s="326"/>
      <c r="HX66" s="326"/>
      <c r="HY66" s="326"/>
      <c r="HZ66" s="326"/>
      <c r="IA66" s="326"/>
      <c r="IB66" s="326"/>
      <c r="IC66" s="326"/>
      <c r="ID66" s="326"/>
      <c r="IE66" s="326"/>
      <c r="IF66" s="326"/>
      <c r="IG66" s="326"/>
      <c r="IH66" s="326"/>
      <c r="II66" s="326"/>
      <c r="IJ66" s="326"/>
      <c r="IK66" s="326"/>
      <c r="IL66" s="326"/>
      <c r="IM66" s="326"/>
      <c r="IN66" s="326"/>
      <c r="IO66" s="326"/>
      <c r="IP66" s="326"/>
      <c r="IQ66" s="326"/>
      <c r="IR66" s="326"/>
      <c r="IS66" s="326"/>
      <c r="IT66" s="326"/>
      <c r="IU66" s="326"/>
      <c r="IV66" s="326"/>
    </row>
    <row r="67" spans="1:256" s="560" customFormat="1" ht="19.5" customHeight="1">
      <c r="A67" s="574">
        <v>58</v>
      </c>
      <c r="B67" s="568"/>
      <c r="C67" s="327"/>
      <c r="D67" s="483" t="s">
        <v>938</v>
      </c>
      <c r="E67" s="335"/>
      <c r="F67" s="564"/>
      <c r="G67" s="336"/>
      <c r="H67" s="773"/>
      <c r="I67" s="770"/>
      <c r="J67" s="561"/>
      <c r="K67" s="1309">
        <v>773</v>
      </c>
      <c r="L67" s="561"/>
      <c r="M67" s="1309">
        <v>2368296</v>
      </c>
      <c r="N67" s="561"/>
      <c r="O67" s="1309">
        <v>45138</v>
      </c>
      <c r="P67" s="569">
        <f>SUM(I67:O67)</f>
        <v>2414207</v>
      </c>
      <c r="Q67" s="565"/>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6"/>
      <c r="BZ67" s="326"/>
      <c r="CA67" s="326"/>
      <c r="CB67" s="326"/>
      <c r="CC67" s="326"/>
      <c r="CD67" s="326"/>
      <c r="CE67" s="326"/>
      <c r="CF67" s="326"/>
      <c r="CG67" s="326"/>
      <c r="CH67" s="326"/>
      <c r="CI67" s="326"/>
      <c r="CJ67" s="326"/>
      <c r="CK67" s="326"/>
      <c r="CL67" s="326"/>
      <c r="CM67" s="326"/>
      <c r="CN67" s="326"/>
      <c r="CO67" s="326"/>
      <c r="CP67" s="326"/>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326"/>
      <c r="DM67" s="326"/>
      <c r="DN67" s="326"/>
      <c r="DO67" s="326"/>
      <c r="DP67" s="326"/>
      <c r="DQ67" s="326"/>
      <c r="DR67" s="326"/>
      <c r="DS67" s="326"/>
      <c r="DT67" s="326"/>
      <c r="DU67" s="326"/>
      <c r="DV67" s="326"/>
      <c r="DW67" s="326"/>
      <c r="DX67" s="326"/>
      <c r="DY67" s="326"/>
      <c r="DZ67" s="326"/>
      <c r="EA67" s="326"/>
      <c r="EB67" s="326"/>
      <c r="EC67" s="326"/>
      <c r="ED67" s="326"/>
      <c r="EE67" s="326"/>
      <c r="EF67" s="326"/>
      <c r="EG67" s="326"/>
      <c r="EH67" s="326"/>
      <c r="EI67" s="326"/>
      <c r="EJ67" s="326"/>
      <c r="EK67" s="326"/>
      <c r="EL67" s="326"/>
      <c r="EM67" s="326"/>
      <c r="EN67" s="326"/>
      <c r="EO67" s="326"/>
      <c r="EP67" s="326"/>
      <c r="EQ67" s="326"/>
      <c r="ER67" s="326"/>
      <c r="ES67" s="326"/>
      <c r="ET67" s="326"/>
      <c r="EU67" s="326"/>
      <c r="EV67" s="326"/>
      <c r="EW67" s="326"/>
      <c r="EX67" s="326"/>
      <c r="EY67" s="326"/>
      <c r="EZ67" s="326"/>
      <c r="FA67" s="326"/>
      <c r="FB67" s="326"/>
      <c r="FC67" s="326"/>
      <c r="FD67" s="326"/>
      <c r="FE67" s="326"/>
      <c r="FF67" s="326"/>
      <c r="FG67" s="326"/>
      <c r="FH67" s="326"/>
      <c r="FI67" s="326"/>
      <c r="FJ67" s="326"/>
      <c r="FK67" s="326"/>
      <c r="FL67" s="326"/>
      <c r="FM67" s="326"/>
      <c r="FN67" s="326"/>
      <c r="FO67" s="326"/>
      <c r="FP67" s="326"/>
      <c r="FQ67" s="326"/>
      <c r="FR67" s="326"/>
      <c r="FS67" s="326"/>
      <c r="FT67" s="326"/>
      <c r="FU67" s="326"/>
      <c r="FV67" s="326"/>
      <c r="FW67" s="326"/>
      <c r="FX67" s="326"/>
      <c r="FY67" s="326"/>
      <c r="FZ67" s="326"/>
      <c r="GA67" s="326"/>
      <c r="GB67" s="326"/>
      <c r="GC67" s="326"/>
      <c r="GD67" s="326"/>
      <c r="GE67" s="326"/>
      <c r="GF67" s="326"/>
      <c r="GG67" s="326"/>
      <c r="GH67" s="326"/>
      <c r="GI67" s="326"/>
      <c r="GJ67" s="326"/>
      <c r="GK67" s="326"/>
      <c r="GL67" s="326"/>
      <c r="GM67" s="326"/>
      <c r="GN67" s="326"/>
      <c r="GO67" s="326"/>
      <c r="GP67" s="326"/>
      <c r="GQ67" s="326"/>
      <c r="GR67" s="326"/>
      <c r="GS67" s="326"/>
      <c r="GT67" s="326"/>
      <c r="GU67" s="326"/>
      <c r="GV67" s="326"/>
      <c r="GW67" s="326"/>
      <c r="GX67" s="326"/>
      <c r="GY67" s="326"/>
      <c r="GZ67" s="326"/>
      <c r="HA67" s="326"/>
      <c r="HB67" s="326"/>
      <c r="HC67" s="326"/>
      <c r="HD67" s="326"/>
      <c r="HE67" s="326"/>
      <c r="HF67" s="326"/>
      <c r="HG67" s="326"/>
      <c r="HH67" s="326"/>
      <c r="HI67" s="326"/>
      <c r="HJ67" s="326"/>
      <c r="HK67" s="326"/>
      <c r="HL67" s="326"/>
      <c r="HM67" s="326"/>
      <c r="HN67" s="326"/>
      <c r="HO67" s="326"/>
      <c r="HP67" s="326"/>
      <c r="HQ67" s="326"/>
      <c r="HR67" s="326"/>
      <c r="HS67" s="326"/>
      <c r="HT67" s="326"/>
      <c r="HU67" s="326"/>
      <c r="HV67" s="326"/>
      <c r="HW67" s="326"/>
      <c r="HX67" s="326"/>
      <c r="HY67" s="326"/>
      <c r="HZ67" s="326"/>
      <c r="IA67" s="326"/>
      <c r="IB67" s="326"/>
      <c r="IC67" s="326"/>
      <c r="ID67" s="326"/>
      <c r="IE67" s="326"/>
      <c r="IF67" s="326"/>
      <c r="IG67" s="326"/>
      <c r="IH67" s="326"/>
      <c r="II67" s="326"/>
      <c r="IJ67" s="326"/>
      <c r="IK67" s="326"/>
      <c r="IL67" s="326"/>
      <c r="IM67" s="326"/>
      <c r="IN67" s="326"/>
      <c r="IO67" s="326"/>
      <c r="IP67" s="326"/>
      <c r="IQ67" s="326"/>
      <c r="IR67" s="326"/>
      <c r="IS67" s="326"/>
      <c r="IT67" s="326"/>
      <c r="IU67" s="326"/>
      <c r="IV67" s="326"/>
    </row>
    <row r="68" spans="1:256" s="560" customFormat="1" ht="19.5" customHeight="1">
      <c r="A68" s="574">
        <v>59</v>
      </c>
      <c r="B68" s="568"/>
      <c r="C68" s="327"/>
      <c r="D68" s="1146" t="s">
        <v>725</v>
      </c>
      <c r="E68" s="335"/>
      <c r="F68" s="564"/>
      <c r="G68" s="336"/>
      <c r="H68" s="773"/>
      <c r="I68" s="770"/>
      <c r="J68" s="561"/>
      <c r="K68" s="1306">
        <f>387+243</f>
        <v>630</v>
      </c>
      <c r="L68" s="1306"/>
      <c r="M68" s="1306"/>
      <c r="N68" s="1306"/>
      <c r="O68" s="1306">
        <v>3274</v>
      </c>
      <c r="P68" s="1307">
        <f>SUM(I68:O68)</f>
        <v>3904</v>
      </c>
      <c r="Q68" s="565"/>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c r="CO68" s="326"/>
      <c r="CP68" s="326"/>
      <c r="CQ68" s="326"/>
      <c r="CR68" s="326"/>
      <c r="CS68" s="326"/>
      <c r="CT68" s="326"/>
      <c r="CU68" s="326"/>
      <c r="CV68" s="326"/>
      <c r="CW68" s="326"/>
      <c r="CX68" s="326"/>
      <c r="CY68" s="326"/>
      <c r="CZ68" s="326"/>
      <c r="DA68" s="326"/>
      <c r="DB68" s="326"/>
      <c r="DC68" s="326"/>
      <c r="DD68" s="326"/>
      <c r="DE68" s="326"/>
      <c r="DF68" s="326"/>
      <c r="DG68" s="326"/>
      <c r="DH68" s="326"/>
      <c r="DI68" s="326"/>
      <c r="DJ68" s="326"/>
      <c r="DK68" s="326"/>
      <c r="DL68" s="326"/>
      <c r="DM68" s="326"/>
      <c r="DN68" s="326"/>
      <c r="DO68" s="326"/>
      <c r="DP68" s="326"/>
      <c r="DQ68" s="326"/>
      <c r="DR68" s="326"/>
      <c r="DS68" s="326"/>
      <c r="DT68" s="326"/>
      <c r="DU68" s="326"/>
      <c r="DV68" s="326"/>
      <c r="DW68" s="326"/>
      <c r="DX68" s="326"/>
      <c r="DY68" s="326"/>
      <c r="DZ68" s="326"/>
      <c r="EA68" s="326"/>
      <c r="EB68" s="326"/>
      <c r="EC68" s="326"/>
      <c r="ED68" s="326"/>
      <c r="EE68" s="326"/>
      <c r="EF68" s="326"/>
      <c r="EG68" s="326"/>
      <c r="EH68" s="326"/>
      <c r="EI68" s="326"/>
      <c r="EJ68" s="326"/>
      <c r="EK68" s="326"/>
      <c r="EL68" s="326"/>
      <c r="EM68" s="326"/>
      <c r="EN68" s="326"/>
      <c r="EO68" s="326"/>
      <c r="EP68" s="326"/>
      <c r="EQ68" s="326"/>
      <c r="ER68" s="326"/>
      <c r="ES68" s="326"/>
      <c r="ET68" s="326"/>
      <c r="EU68" s="326"/>
      <c r="EV68" s="326"/>
      <c r="EW68" s="326"/>
      <c r="EX68" s="326"/>
      <c r="EY68" s="326"/>
      <c r="EZ68" s="326"/>
      <c r="FA68" s="326"/>
      <c r="FB68" s="326"/>
      <c r="FC68" s="326"/>
      <c r="FD68" s="326"/>
      <c r="FE68" s="326"/>
      <c r="FF68" s="326"/>
      <c r="FG68" s="326"/>
      <c r="FH68" s="326"/>
      <c r="FI68" s="326"/>
      <c r="FJ68" s="326"/>
      <c r="FK68" s="326"/>
      <c r="FL68" s="326"/>
      <c r="FM68" s="326"/>
      <c r="FN68" s="326"/>
      <c r="FO68" s="326"/>
      <c r="FP68" s="326"/>
      <c r="FQ68" s="326"/>
      <c r="FR68" s="326"/>
      <c r="FS68" s="326"/>
      <c r="FT68" s="326"/>
      <c r="FU68" s="326"/>
      <c r="FV68" s="326"/>
      <c r="FW68" s="326"/>
      <c r="FX68" s="326"/>
      <c r="FY68" s="326"/>
      <c r="FZ68" s="326"/>
      <c r="GA68" s="326"/>
      <c r="GB68" s="326"/>
      <c r="GC68" s="326"/>
      <c r="GD68" s="326"/>
      <c r="GE68" s="326"/>
      <c r="GF68" s="326"/>
      <c r="GG68" s="326"/>
      <c r="GH68" s="326"/>
      <c r="GI68" s="326"/>
      <c r="GJ68" s="326"/>
      <c r="GK68" s="326"/>
      <c r="GL68" s="326"/>
      <c r="GM68" s="326"/>
      <c r="GN68" s="326"/>
      <c r="GO68" s="326"/>
      <c r="GP68" s="326"/>
      <c r="GQ68" s="326"/>
      <c r="GR68" s="326"/>
      <c r="GS68" s="326"/>
      <c r="GT68" s="326"/>
      <c r="GU68" s="326"/>
      <c r="GV68" s="326"/>
      <c r="GW68" s="326"/>
      <c r="GX68" s="326"/>
      <c r="GY68" s="326"/>
      <c r="GZ68" s="326"/>
      <c r="HA68" s="326"/>
      <c r="HB68" s="326"/>
      <c r="HC68" s="326"/>
      <c r="HD68" s="326"/>
      <c r="HE68" s="326"/>
      <c r="HF68" s="326"/>
      <c r="HG68" s="326"/>
      <c r="HH68" s="326"/>
      <c r="HI68" s="326"/>
      <c r="HJ68" s="326"/>
      <c r="HK68" s="326"/>
      <c r="HL68" s="326"/>
      <c r="HM68" s="326"/>
      <c r="HN68" s="326"/>
      <c r="HO68" s="326"/>
      <c r="HP68" s="326"/>
      <c r="HQ68" s="326"/>
      <c r="HR68" s="326"/>
      <c r="HS68" s="326"/>
      <c r="HT68" s="326"/>
      <c r="HU68" s="326"/>
      <c r="HV68" s="326"/>
      <c r="HW68" s="326"/>
      <c r="HX68" s="326"/>
      <c r="HY68" s="326"/>
      <c r="HZ68" s="326"/>
      <c r="IA68" s="326"/>
      <c r="IB68" s="326"/>
      <c r="IC68" s="326"/>
      <c r="ID68" s="326"/>
      <c r="IE68" s="326"/>
      <c r="IF68" s="326"/>
      <c r="IG68" s="326"/>
      <c r="IH68" s="326"/>
      <c r="II68" s="326"/>
      <c r="IJ68" s="326"/>
      <c r="IK68" s="326"/>
      <c r="IL68" s="326"/>
      <c r="IM68" s="326"/>
      <c r="IN68" s="326"/>
      <c r="IO68" s="326"/>
      <c r="IP68" s="326"/>
      <c r="IQ68" s="326"/>
      <c r="IR68" s="326"/>
      <c r="IS68" s="326"/>
      <c r="IT68" s="326"/>
      <c r="IU68" s="326"/>
      <c r="IV68" s="326"/>
    </row>
    <row r="69" spans="1:256" s="560" customFormat="1" ht="19.5" customHeight="1">
      <c r="A69" s="574">
        <v>60</v>
      </c>
      <c r="B69" s="568"/>
      <c r="C69" s="327"/>
      <c r="D69" s="483" t="s">
        <v>1091</v>
      </c>
      <c r="E69" s="335"/>
      <c r="F69" s="564"/>
      <c r="G69" s="336"/>
      <c r="H69" s="773"/>
      <c r="I69" s="770"/>
      <c r="J69" s="561"/>
      <c r="K69" s="1309">
        <f>SUM(K67:K68)</f>
        <v>1403</v>
      </c>
      <c r="L69" s="561"/>
      <c r="M69" s="1309">
        <f>SUM(M67:M68)</f>
        <v>2368296</v>
      </c>
      <c r="N69" s="561"/>
      <c r="O69" s="1309">
        <f>SUM(O67:O68)</f>
        <v>48412</v>
      </c>
      <c r="P69" s="569">
        <f>SUM(I69:O69)</f>
        <v>2418111</v>
      </c>
      <c r="Q69" s="565"/>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c r="CH69" s="326"/>
      <c r="CI69" s="326"/>
      <c r="CJ69" s="326"/>
      <c r="CK69" s="326"/>
      <c r="CL69" s="326"/>
      <c r="CM69" s="326"/>
      <c r="CN69" s="326"/>
      <c r="CO69" s="326"/>
      <c r="CP69" s="326"/>
      <c r="CQ69" s="326"/>
      <c r="CR69" s="326"/>
      <c r="CS69" s="326"/>
      <c r="CT69" s="326"/>
      <c r="CU69" s="326"/>
      <c r="CV69" s="326"/>
      <c r="CW69" s="326"/>
      <c r="CX69" s="326"/>
      <c r="CY69" s="326"/>
      <c r="CZ69" s="326"/>
      <c r="DA69" s="326"/>
      <c r="DB69" s="326"/>
      <c r="DC69" s="326"/>
      <c r="DD69" s="326"/>
      <c r="DE69" s="326"/>
      <c r="DF69" s="326"/>
      <c r="DG69" s="326"/>
      <c r="DH69" s="326"/>
      <c r="DI69" s="326"/>
      <c r="DJ69" s="326"/>
      <c r="DK69" s="326"/>
      <c r="DL69" s="326"/>
      <c r="DM69" s="326"/>
      <c r="DN69" s="326"/>
      <c r="DO69" s="326"/>
      <c r="DP69" s="326"/>
      <c r="DQ69" s="326"/>
      <c r="DR69" s="326"/>
      <c r="DS69" s="326"/>
      <c r="DT69" s="326"/>
      <c r="DU69" s="326"/>
      <c r="DV69" s="326"/>
      <c r="DW69" s="326"/>
      <c r="DX69" s="326"/>
      <c r="DY69" s="326"/>
      <c r="DZ69" s="326"/>
      <c r="EA69" s="326"/>
      <c r="EB69" s="326"/>
      <c r="EC69" s="326"/>
      <c r="ED69" s="326"/>
      <c r="EE69" s="326"/>
      <c r="EF69" s="326"/>
      <c r="EG69" s="326"/>
      <c r="EH69" s="326"/>
      <c r="EI69" s="326"/>
      <c r="EJ69" s="326"/>
      <c r="EK69" s="326"/>
      <c r="EL69" s="326"/>
      <c r="EM69" s="326"/>
      <c r="EN69" s="326"/>
      <c r="EO69" s="326"/>
      <c r="EP69" s="326"/>
      <c r="EQ69" s="326"/>
      <c r="ER69" s="326"/>
      <c r="ES69" s="326"/>
      <c r="ET69" s="326"/>
      <c r="EU69" s="326"/>
      <c r="EV69" s="326"/>
      <c r="EW69" s="326"/>
      <c r="EX69" s="326"/>
      <c r="EY69" s="326"/>
      <c r="EZ69" s="326"/>
      <c r="FA69" s="326"/>
      <c r="FB69" s="326"/>
      <c r="FC69" s="326"/>
      <c r="FD69" s="326"/>
      <c r="FE69" s="326"/>
      <c r="FF69" s="326"/>
      <c r="FG69" s="326"/>
      <c r="FH69" s="326"/>
      <c r="FI69" s="326"/>
      <c r="FJ69" s="326"/>
      <c r="FK69" s="326"/>
      <c r="FL69" s="326"/>
      <c r="FM69" s="326"/>
      <c r="FN69" s="326"/>
      <c r="FO69" s="326"/>
      <c r="FP69" s="326"/>
      <c r="FQ69" s="326"/>
      <c r="FR69" s="326"/>
      <c r="FS69" s="326"/>
      <c r="FT69" s="326"/>
      <c r="FU69" s="326"/>
      <c r="FV69" s="326"/>
      <c r="FW69" s="326"/>
      <c r="FX69" s="326"/>
      <c r="FY69" s="326"/>
      <c r="FZ69" s="326"/>
      <c r="GA69" s="326"/>
      <c r="GB69" s="326"/>
      <c r="GC69" s="326"/>
      <c r="GD69" s="326"/>
      <c r="GE69" s="326"/>
      <c r="GF69" s="326"/>
      <c r="GG69" s="326"/>
      <c r="GH69" s="326"/>
      <c r="GI69" s="326"/>
      <c r="GJ69" s="326"/>
      <c r="GK69" s="326"/>
      <c r="GL69" s="326"/>
      <c r="GM69" s="326"/>
      <c r="GN69" s="326"/>
      <c r="GO69" s="326"/>
      <c r="GP69" s="326"/>
      <c r="GQ69" s="326"/>
      <c r="GR69" s="326"/>
      <c r="GS69" s="326"/>
      <c r="GT69" s="326"/>
      <c r="GU69" s="326"/>
      <c r="GV69" s="326"/>
      <c r="GW69" s="326"/>
      <c r="GX69" s="326"/>
      <c r="GY69" s="326"/>
      <c r="GZ69" s="326"/>
      <c r="HA69" s="326"/>
      <c r="HB69" s="326"/>
      <c r="HC69" s="326"/>
      <c r="HD69" s="326"/>
      <c r="HE69" s="326"/>
      <c r="HF69" s="326"/>
      <c r="HG69" s="326"/>
      <c r="HH69" s="326"/>
      <c r="HI69" s="326"/>
      <c r="HJ69" s="326"/>
      <c r="HK69" s="326"/>
      <c r="HL69" s="326"/>
      <c r="HM69" s="326"/>
      <c r="HN69" s="326"/>
      <c r="HO69" s="326"/>
      <c r="HP69" s="326"/>
      <c r="HQ69" s="326"/>
      <c r="HR69" s="326"/>
      <c r="HS69" s="326"/>
      <c r="HT69" s="326"/>
      <c r="HU69" s="326"/>
      <c r="HV69" s="326"/>
      <c r="HW69" s="326"/>
      <c r="HX69" s="326"/>
      <c r="HY69" s="326"/>
      <c r="HZ69" s="326"/>
      <c r="IA69" s="326"/>
      <c r="IB69" s="326"/>
      <c r="IC69" s="326"/>
      <c r="ID69" s="326"/>
      <c r="IE69" s="326"/>
      <c r="IF69" s="326"/>
      <c r="IG69" s="326"/>
      <c r="IH69" s="326"/>
      <c r="II69" s="326"/>
      <c r="IJ69" s="326"/>
      <c r="IK69" s="326"/>
      <c r="IL69" s="326"/>
      <c r="IM69" s="326"/>
      <c r="IN69" s="326"/>
      <c r="IO69" s="326"/>
      <c r="IP69" s="326"/>
      <c r="IQ69" s="326"/>
      <c r="IR69" s="326"/>
      <c r="IS69" s="326"/>
      <c r="IT69" s="326"/>
      <c r="IU69" s="326"/>
      <c r="IV69" s="326"/>
    </row>
    <row r="70" spans="1:17" s="766" customFormat="1" ht="37.5" customHeight="1">
      <c r="A70" s="574">
        <v>61</v>
      </c>
      <c r="B70" s="759"/>
      <c r="C70" s="366"/>
      <c r="D70" s="328" t="s">
        <v>610</v>
      </c>
      <c r="E70" s="762"/>
      <c r="F70" s="763"/>
      <c r="G70" s="1503"/>
      <c r="H70" s="774"/>
      <c r="I70" s="771"/>
      <c r="J70" s="764"/>
      <c r="K70" s="764"/>
      <c r="L70" s="764"/>
      <c r="M70" s="784"/>
      <c r="N70" s="764"/>
      <c r="O70" s="764"/>
      <c r="P70" s="758"/>
      <c r="Q70" s="765"/>
    </row>
    <row r="71" spans="1:256" s="560" customFormat="1" ht="19.5" customHeight="1">
      <c r="A71" s="574">
        <v>62</v>
      </c>
      <c r="B71" s="568"/>
      <c r="C71" s="820"/>
      <c r="D71" s="821" t="s">
        <v>283</v>
      </c>
      <c r="E71" s="829">
        <f>F71+G71+P74</f>
        <v>887793</v>
      </c>
      <c r="F71" s="829"/>
      <c r="G71" s="1498"/>
      <c r="H71" s="831"/>
      <c r="I71" s="982"/>
      <c r="J71" s="829"/>
      <c r="K71" s="829"/>
      <c r="L71" s="829"/>
      <c r="M71" s="825">
        <v>889445</v>
      </c>
      <c r="N71" s="829"/>
      <c r="O71" s="829"/>
      <c r="P71" s="827">
        <f>SUM(I71:O71)</f>
        <v>889445</v>
      </c>
      <c r="Q71" s="819"/>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6"/>
      <c r="BT71" s="326"/>
      <c r="BU71" s="326"/>
      <c r="BV71" s="326"/>
      <c r="BW71" s="326"/>
      <c r="BX71" s="326"/>
      <c r="BY71" s="326"/>
      <c r="BZ71" s="326"/>
      <c r="CA71" s="326"/>
      <c r="CB71" s="326"/>
      <c r="CC71" s="326"/>
      <c r="CD71" s="326"/>
      <c r="CE71" s="326"/>
      <c r="CF71" s="326"/>
      <c r="CG71" s="326"/>
      <c r="CH71" s="326"/>
      <c r="CI71" s="326"/>
      <c r="CJ71" s="326"/>
      <c r="CK71" s="326"/>
      <c r="CL71" s="326"/>
      <c r="CM71" s="326"/>
      <c r="CN71" s="326"/>
      <c r="CO71" s="326"/>
      <c r="CP71" s="326"/>
      <c r="CQ71" s="326"/>
      <c r="CR71" s="326"/>
      <c r="CS71" s="326"/>
      <c r="CT71" s="326"/>
      <c r="CU71" s="326"/>
      <c r="CV71" s="326"/>
      <c r="CW71" s="326"/>
      <c r="CX71" s="326"/>
      <c r="CY71" s="326"/>
      <c r="CZ71" s="326"/>
      <c r="DA71" s="326"/>
      <c r="DB71" s="326"/>
      <c r="DC71" s="326"/>
      <c r="DD71" s="326"/>
      <c r="DE71" s="326"/>
      <c r="DF71" s="326"/>
      <c r="DG71" s="326"/>
      <c r="DH71" s="326"/>
      <c r="DI71" s="326"/>
      <c r="DJ71" s="326"/>
      <c r="DK71" s="326"/>
      <c r="DL71" s="326"/>
      <c r="DM71" s="326"/>
      <c r="DN71" s="326"/>
      <c r="DO71" s="326"/>
      <c r="DP71" s="326"/>
      <c r="DQ71" s="326"/>
      <c r="DR71" s="326"/>
      <c r="DS71" s="326"/>
      <c r="DT71" s="326"/>
      <c r="DU71" s="326"/>
      <c r="DV71" s="326"/>
      <c r="DW71" s="326"/>
      <c r="DX71" s="326"/>
      <c r="DY71" s="326"/>
      <c r="DZ71" s="326"/>
      <c r="EA71" s="326"/>
      <c r="EB71" s="326"/>
      <c r="EC71" s="326"/>
      <c r="ED71" s="326"/>
      <c r="EE71" s="326"/>
      <c r="EF71" s="326"/>
      <c r="EG71" s="326"/>
      <c r="EH71" s="326"/>
      <c r="EI71" s="326"/>
      <c r="EJ71" s="326"/>
      <c r="EK71" s="326"/>
      <c r="EL71" s="326"/>
      <c r="EM71" s="326"/>
      <c r="EN71" s="326"/>
      <c r="EO71" s="326"/>
      <c r="EP71" s="326"/>
      <c r="EQ71" s="326"/>
      <c r="ER71" s="326"/>
      <c r="ES71" s="326"/>
      <c r="ET71" s="326"/>
      <c r="EU71" s="326"/>
      <c r="EV71" s="326"/>
      <c r="EW71" s="326"/>
      <c r="EX71" s="326"/>
      <c r="EY71" s="326"/>
      <c r="EZ71" s="326"/>
      <c r="FA71" s="326"/>
      <c r="FB71" s="326"/>
      <c r="FC71" s="326"/>
      <c r="FD71" s="326"/>
      <c r="FE71" s="326"/>
      <c r="FF71" s="326"/>
      <c r="FG71" s="326"/>
      <c r="FH71" s="326"/>
      <c r="FI71" s="326"/>
      <c r="FJ71" s="326"/>
      <c r="FK71" s="326"/>
      <c r="FL71" s="326"/>
      <c r="FM71" s="326"/>
      <c r="FN71" s="326"/>
      <c r="FO71" s="326"/>
      <c r="FP71" s="326"/>
      <c r="FQ71" s="326"/>
      <c r="FR71" s="326"/>
      <c r="FS71" s="326"/>
      <c r="FT71" s="326"/>
      <c r="FU71" s="326"/>
      <c r="FV71" s="326"/>
      <c r="FW71" s="326"/>
      <c r="FX71" s="326"/>
      <c r="FY71" s="326"/>
      <c r="FZ71" s="326"/>
      <c r="GA71" s="326"/>
      <c r="GB71" s="326"/>
      <c r="GC71" s="326"/>
      <c r="GD71" s="326"/>
      <c r="GE71" s="326"/>
      <c r="GF71" s="326"/>
      <c r="GG71" s="326"/>
      <c r="GH71" s="326"/>
      <c r="GI71" s="326"/>
      <c r="GJ71" s="326"/>
      <c r="GK71" s="326"/>
      <c r="GL71" s="326"/>
      <c r="GM71" s="326"/>
      <c r="GN71" s="326"/>
      <c r="GO71" s="326"/>
      <c r="GP71" s="326"/>
      <c r="GQ71" s="326"/>
      <c r="GR71" s="326"/>
      <c r="GS71" s="326"/>
      <c r="GT71" s="326"/>
      <c r="GU71" s="326"/>
      <c r="GV71" s="326"/>
      <c r="GW71" s="326"/>
      <c r="GX71" s="326"/>
      <c r="GY71" s="326"/>
      <c r="GZ71" s="326"/>
      <c r="HA71" s="326"/>
      <c r="HB71" s="326"/>
      <c r="HC71" s="326"/>
      <c r="HD71" s="326"/>
      <c r="HE71" s="326"/>
      <c r="HF71" s="326"/>
      <c r="HG71" s="326"/>
      <c r="HH71" s="326"/>
      <c r="HI71" s="326"/>
      <c r="HJ71" s="326"/>
      <c r="HK71" s="326"/>
      <c r="HL71" s="326"/>
      <c r="HM71" s="326"/>
      <c r="HN71" s="326"/>
      <c r="HO71" s="326"/>
      <c r="HP71" s="326"/>
      <c r="HQ71" s="326"/>
      <c r="HR71" s="326"/>
      <c r="HS71" s="326"/>
      <c r="HT71" s="326"/>
      <c r="HU71" s="326"/>
      <c r="HV71" s="326"/>
      <c r="HW71" s="326"/>
      <c r="HX71" s="326"/>
      <c r="HY71" s="326"/>
      <c r="HZ71" s="326"/>
      <c r="IA71" s="326"/>
      <c r="IB71" s="326"/>
      <c r="IC71" s="326"/>
      <c r="ID71" s="326"/>
      <c r="IE71" s="326"/>
      <c r="IF71" s="326"/>
      <c r="IG71" s="326"/>
      <c r="IH71" s="326"/>
      <c r="II71" s="326"/>
      <c r="IJ71" s="326"/>
      <c r="IK71" s="326"/>
      <c r="IL71" s="326"/>
      <c r="IM71" s="326"/>
      <c r="IN71" s="326"/>
      <c r="IO71" s="326"/>
      <c r="IP71" s="326"/>
      <c r="IQ71" s="326"/>
      <c r="IR71" s="326"/>
      <c r="IS71" s="326"/>
      <c r="IT71" s="326"/>
      <c r="IU71" s="326"/>
      <c r="IV71" s="326"/>
    </row>
    <row r="72" spans="1:256" s="560" customFormat="1" ht="19.5" customHeight="1">
      <c r="A72" s="574">
        <v>63</v>
      </c>
      <c r="B72" s="1017"/>
      <c r="C72" s="820"/>
      <c r="D72" s="483" t="s">
        <v>938</v>
      </c>
      <c r="E72" s="829"/>
      <c r="F72" s="829"/>
      <c r="G72" s="1498"/>
      <c r="H72" s="831"/>
      <c r="I72" s="982"/>
      <c r="J72" s="829"/>
      <c r="K72" s="829"/>
      <c r="L72" s="829"/>
      <c r="M72" s="1761">
        <v>700000</v>
      </c>
      <c r="N72" s="829"/>
      <c r="O72" s="1021">
        <v>187793</v>
      </c>
      <c r="P72" s="1392">
        <f>SUM(I72:O72)</f>
        <v>887793</v>
      </c>
      <c r="Q72" s="819"/>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c r="DU72" s="326"/>
      <c r="DV72" s="326"/>
      <c r="DW72" s="326"/>
      <c r="DX72" s="326"/>
      <c r="DY72" s="326"/>
      <c r="DZ72" s="326"/>
      <c r="EA72" s="326"/>
      <c r="EB72" s="326"/>
      <c r="EC72" s="326"/>
      <c r="ED72" s="326"/>
      <c r="EE72" s="326"/>
      <c r="EF72" s="326"/>
      <c r="EG72" s="326"/>
      <c r="EH72" s="326"/>
      <c r="EI72" s="326"/>
      <c r="EJ72" s="326"/>
      <c r="EK72" s="326"/>
      <c r="EL72" s="326"/>
      <c r="EM72" s="326"/>
      <c r="EN72" s="326"/>
      <c r="EO72" s="326"/>
      <c r="EP72" s="326"/>
      <c r="EQ72" s="326"/>
      <c r="ER72" s="326"/>
      <c r="ES72" s="326"/>
      <c r="ET72" s="326"/>
      <c r="EU72" s="326"/>
      <c r="EV72" s="326"/>
      <c r="EW72" s="326"/>
      <c r="EX72" s="326"/>
      <c r="EY72" s="326"/>
      <c r="EZ72" s="326"/>
      <c r="FA72" s="326"/>
      <c r="FB72" s="326"/>
      <c r="FC72" s="326"/>
      <c r="FD72" s="326"/>
      <c r="FE72" s="326"/>
      <c r="FF72" s="326"/>
      <c r="FG72" s="326"/>
      <c r="FH72" s="326"/>
      <c r="FI72" s="326"/>
      <c r="FJ72" s="326"/>
      <c r="FK72" s="326"/>
      <c r="FL72" s="326"/>
      <c r="FM72" s="326"/>
      <c r="FN72" s="326"/>
      <c r="FO72" s="326"/>
      <c r="FP72" s="326"/>
      <c r="FQ72" s="326"/>
      <c r="FR72" s="326"/>
      <c r="FS72" s="326"/>
      <c r="FT72" s="326"/>
      <c r="FU72" s="326"/>
      <c r="FV72" s="326"/>
      <c r="FW72" s="326"/>
      <c r="FX72" s="326"/>
      <c r="FY72" s="326"/>
      <c r="FZ72" s="326"/>
      <c r="GA72" s="326"/>
      <c r="GB72" s="326"/>
      <c r="GC72" s="326"/>
      <c r="GD72" s="326"/>
      <c r="GE72" s="326"/>
      <c r="GF72" s="326"/>
      <c r="GG72" s="326"/>
      <c r="GH72" s="326"/>
      <c r="GI72" s="326"/>
      <c r="GJ72" s="326"/>
      <c r="GK72" s="326"/>
      <c r="GL72" s="326"/>
      <c r="GM72" s="326"/>
      <c r="GN72" s="326"/>
      <c r="GO72" s="326"/>
      <c r="GP72" s="326"/>
      <c r="GQ72" s="326"/>
      <c r="GR72" s="326"/>
      <c r="GS72" s="326"/>
      <c r="GT72" s="326"/>
      <c r="GU72" s="326"/>
      <c r="GV72" s="326"/>
      <c r="GW72" s="326"/>
      <c r="GX72" s="326"/>
      <c r="GY72" s="326"/>
      <c r="GZ72" s="326"/>
      <c r="HA72" s="326"/>
      <c r="HB72" s="326"/>
      <c r="HC72" s="326"/>
      <c r="HD72" s="326"/>
      <c r="HE72" s="326"/>
      <c r="HF72" s="326"/>
      <c r="HG72" s="326"/>
      <c r="HH72" s="326"/>
      <c r="HI72" s="326"/>
      <c r="HJ72" s="326"/>
      <c r="HK72" s="326"/>
      <c r="HL72" s="326"/>
      <c r="HM72" s="326"/>
      <c r="HN72" s="326"/>
      <c r="HO72" s="326"/>
      <c r="HP72" s="326"/>
      <c r="HQ72" s="326"/>
      <c r="HR72" s="326"/>
      <c r="HS72" s="326"/>
      <c r="HT72" s="326"/>
      <c r="HU72" s="326"/>
      <c r="HV72" s="326"/>
      <c r="HW72" s="326"/>
      <c r="HX72" s="326"/>
      <c r="HY72" s="326"/>
      <c r="HZ72" s="326"/>
      <c r="IA72" s="326"/>
      <c r="IB72" s="326"/>
      <c r="IC72" s="326"/>
      <c r="ID72" s="326"/>
      <c r="IE72" s="326"/>
      <c r="IF72" s="326"/>
      <c r="IG72" s="326"/>
      <c r="IH72" s="326"/>
      <c r="II72" s="326"/>
      <c r="IJ72" s="326"/>
      <c r="IK72" s="326"/>
      <c r="IL72" s="326"/>
      <c r="IM72" s="326"/>
      <c r="IN72" s="326"/>
      <c r="IO72" s="326"/>
      <c r="IP72" s="326"/>
      <c r="IQ72" s="326"/>
      <c r="IR72" s="326"/>
      <c r="IS72" s="326"/>
      <c r="IT72" s="326"/>
      <c r="IU72" s="326"/>
      <c r="IV72" s="326"/>
    </row>
    <row r="73" spans="1:256" s="560" customFormat="1" ht="19.5" customHeight="1">
      <c r="A73" s="574">
        <v>64</v>
      </c>
      <c r="B73" s="1017"/>
      <c r="C73" s="366"/>
      <c r="D73" s="1146" t="s">
        <v>674</v>
      </c>
      <c r="E73" s="335"/>
      <c r="F73" s="335"/>
      <c r="G73" s="336"/>
      <c r="H73" s="773"/>
      <c r="I73" s="1360"/>
      <c r="J73" s="335"/>
      <c r="K73" s="335"/>
      <c r="L73" s="335"/>
      <c r="M73" s="1306"/>
      <c r="N73" s="335"/>
      <c r="O73" s="1380"/>
      <c r="P73" s="1307">
        <f>SUM(I73:O73)</f>
        <v>0</v>
      </c>
      <c r="Q73" s="565"/>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6"/>
      <c r="DO73" s="326"/>
      <c r="DP73" s="326"/>
      <c r="DQ73" s="326"/>
      <c r="DR73" s="326"/>
      <c r="DS73" s="326"/>
      <c r="DT73" s="326"/>
      <c r="DU73" s="326"/>
      <c r="DV73" s="326"/>
      <c r="DW73" s="326"/>
      <c r="DX73" s="326"/>
      <c r="DY73" s="326"/>
      <c r="DZ73" s="326"/>
      <c r="EA73" s="326"/>
      <c r="EB73" s="326"/>
      <c r="EC73" s="326"/>
      <c r="ED73" s="326"/>
      <c r="EE73" s="326"/>
      <c r="EF73" s="326"/>
      <c r="EG73" s="326"/>
      <c r="EH73" s="326"/>
      <c r="EI73" s="326"/>
      <c r="EJ73" s="326"/>
      <c r="EK73" s="326"/>
      <c r="EL73" s="326"/>
      <c r="EM73" s="326"/>
      <c r="EN73" s="326"/>
      <c r="EO73" s="326"/>
      <c r="EP73" s="326"/>
      <c r="EQ73" s="326"/>
      <c r="ER73" s="326"/>
      <c r="ES73" s="326"/>
      <c r="ET73" s="326"/>
      <c r="EU73" s="326"/>
      <c r="EV73" s="326"/>
      <c r="EW73" s="326"/>
      <c r="EX73" s="326"/>
      <c r="EY73" s="326"/>
      <c r="EZ73" s="326"/>
      <c r="FA73" s="326"/>
      <c r="FB73" s="326"/>
      <c r="FC73" s="326"/>
      <c r="FD73" s="326"/>
      <c r="FE73" s="326"/>
      <c r="FF73" s="326"/>
      <c r="FG73" s="326"/>
      <c r="FH73" s="326"/>
      <c r="FI73" s="326"/>
      <c r="FJ73" s="326"/>
      <c r="FK73" s="326"/>
      <c r="FL73" s="326"/>
      <c r="FM73" s="326"/>
      <c r="FN73" s="326"/>
      <c r="FO73" s="326"/>
      <c r="FP73" s="326"/>
      <c r="FQ73" s="326"/>
      <c r="FR73" s="326"/>
      <c r="FS73" s="326"/>
      <c r="FT73" s="326"/>
      <c r="FU73" s="326"/>
      <c r="FV73" s="326"/>
      <c r="FW73" s="326"/>
      <c r="FX73" s="326"/>
      <c r="FY73" s="326"/>
      <c r="FZ73" s="326"/>
      <c r="GA73" s="326"/>
      <c r="GB73" s="326"/>
      <c r="GC73" s="326"/>
      <c r="GD73" s="326"/>
      <c r="GE73" s="326"/>
      <c r="GF73" s="326"/>
      <c r="GG73" s="326"/>
      <c r="GH73" s="326"/>
      <c r="GI73" s="326"/>
      <c r="GJ73" s="326"/>
      <c r="GK73" s="326"/>
      <c r="GL73" s="326"/>
      <c r="GM73" s="326"/>
      <c r="GN73" s="326"/>
      <c r="GO73" s="326"/>
      <c r="GP73" s="326"/>
      <c r="GQ73" s="326"/>
      <c r="GR73" s="326"/>
      <c r="GS73" s="326"/>
      <c r="GT73" s="326"/>
      <c r="GU73" s="326"/>
      <c r="GV73" s="326"/>
      <c r="GW73" s="326"/>
      <c r="GX73" s="326"/>
      <c r="GY73" s="326"/>
      <c r="GZ73" s="326"/>
      <c r="HA73" s="326"/>
      <c r="HB73" s="326"/>
      <c r="HC73" s="326"/>
      <c r="HD73" s="326"/>
      <c r="HE73" s="326"/>
      <c r="HF73" s="326"/>
      <c r="HG73" s="326"/>
      <c r="HH73" s="326"/>
      <c r="HI73" s="326"/>
      <c r="HJ73" s="326"/>
      <c r="HK73" s="326"/>
      <c r="HL73" s="326"/>
      <c r="HM73" s="326"/>
      <c r="HN73" s="326"/>
      <c r="HO73" s="326"/>
      <c r="HP73" s="326"/>
      <c r="HQ73" s="326"/>
      <c r="HR73" s="326"/>
      <c r="HS73" s="326"/>
      <c r="HT73" s="326"/>
      <c r="HU73" s="326"/>
      <c r="HV73" s="326"/>
      <c r="HW73" s="326"/>
      <c r="HX73" s="326"/>
      <c r="HY73" s="326"/>
      <c r="HZ73" s="326"/>
      <c r="IA73" s="326"/>
      <c r="IB73" s="326"/>
      <c r="IC73" s="326"/>
      <c r="ID73" s="326"/>
      <c r="IE73" s="326"/>
      <c r="IF73" s="326"/>
      <c r="IG73" s="326"/>
      <c r="IH73" s="326"/>
      <c r="II73" s="326"/>
      <c r="IJ73" s="326"/>
      <c r="IK73" s="326"/>
      <c r="IL73" s="326"/>
      <c r="IM73" s="326"/>
      <c r="IN73" s="326"/>
      <c r="IO73" s="326"/>
      <c r="IP73" s="326"/>
      <c r="IQ73" s="326"/>
      <c r="IR73" s="326"/>
      <c r="IS73" s="326"/>
      <c r="IT73" s="326"/>
      <c r="IU73" s="326"/>
      <c r="IV73" s="326"/>
    </row>
    <row r="74" spans="1:256" s="560" customFormat="1" ht="19.5" customHeight="1" thickBot="1">
      <c r="A74" s="574">
        <v>65</v>
      </c>
      <c r="B74" s="1017"/>
      <c r="C74" s="1014"/>
      <c r="D74" s="483" t="s">
        <v>1091</v>
      </c>
      <c r="E74" s="1335"/>
      <c r="F74" s="1335"/>
      <c r="G74" s="1499"/>
      <c r="H74" s="1301"/>
      <c r="I74" s="1340"/>
      <c r="J74" s="1335"/>
      <c r="K74" s="1335"/>
      <c r="L74" s="1335"/>
      <c r="M74" s="1762">
        <f>SUM(M72:M73)</f>
        <v>700000</v>
      </c>
      <c r="N74" s="1335"/>
      <c r="O74" s="1015">
        <f>SUM(O72:O73)</f>
        <v>187793</v>
      </c>
      <c r="P74" s="569">
        <f>SUM(I74:O74)</f>
        <v>887793</v>
      </c>
      <c r="Q74" s="1304"/>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6"/>
      <c r="DP74" s="326"/>
      <c r="DQ74" s="326"/>
      <c r="DR74" s="326"/>
      <c r="DS74" s="326"/>
      <c r="DT74" s="326"/>
      <c r="DU74" s="326"/>
      <c r="DV74" s="326"/>
      <c r="DW74" s="326"/>
      <c r="DX74" s="326"/>
      <c r="DY74" s="326"/>
      <c r="DZ74" s="326"/>
      <c r="EA74" s="326"/>
      <c r="EB74" s="326"/>
      <c r="EC74" s="326"/>
      <c r="ED74" s="326"/>
      <c r="EE74" s="326"/>
      <c r="EF74" s="326"/>
      <c r="EG74" s="326"/>
      <c r="EH74" s="326"/>
      <c r="EI74" s="326"/>
      <c r="EJ74" s="326"/>
      <c r="EK74" s="326"/>
      <c r="EL74" s="326"/>
      <c r="EM74" s="326"/>
      <c r="EN74" s="326"/>
      <c r="EO74" s="326"/>
      <c r="EP74" s="326"/>
      <c r="EQ74" s="326"/>
      <c r="ER74" s="326"/>
      <c r="ES74" s="326"/>
      <c r="ET74" s="326"/>
      <c r="EU74" s="326"/>
      <c r="EV74" s="326"/>
      <c r="EW74" s="326"/>
      <c r="EX74" s="326"/>
      <c r="EY74" s="326"/>
      <c r="EZ74" s="326"/>
      <c r="FA74" s="326"/>
      <c r="FB74" s="326"/>
      <c r="FC74" s="326"/>
      <c r="FD74" s="326"/>
      <c r="FE74" s="326"/>
      <c r="FF74" s="326"/>
      <c r="FG74" s="326"/>
      <c r="FH74" s="326"/>
      <c r="FI74" s="326"/>
      <c r="FJ74" s="326"/>
      <c r="FK74" s="326"/>
      <c r="FL74" s="326"/>
      <c r="FM74" s="326"/>
      <c r="FN74" s="326"/>
      <c r="FO74" s="326"/>
      <c r="FP74" s="326"/>
      <c r="FQ74" s="326"/>
      <c r="FR74" s="326"/>
      <c r="FS74" s="326"/>
      <c r="FT74" s="326"/>
      <c r="FU74" s="326"/>
      <c r="FV74" s="326"/>
      <c r="FW74" s="326"/>
      <c r="FX74" s="326"/>
      <c r="FY74" s="326"/>
      <c r="FZ74" s="326"/>
      <c r="GA74" s="326"/>
      <c r="GB74" s="326"/>
      <c r="GC74" s="326"/>
      <c r="GD74" s="326"/>
      <c r="GE74" s="326"/>
      <c r="GF74" s="326"/>
      <c r="GG74" s="326"/>
      <c r="GH74" s="326"/>
      <c r="GI74" s="326"/>
      <c r="GJ74" s="326"/>
      <c r="GK74" s="326"/>
      <c r="GL74" s="326"/>
      <c r="GM74" s="326"/>
      <c r="GN74" s="326"/>
      <c r="GO74" s="326"/>
      <c r="GP74" s="326"/>
      <c r="GQ74" s="326"/>
      <c r="GR74" s="326"/>
      <c r="GS74" s="326"/>
      <c r="GT74" s="326"/>
      <c r="GU74" s="326"/>
      <c r="GV74" s="326"/>
      <c r="GW74" s="326"/>
      <c r="GX74" s="326"/>
      <c r="GY74" s="326"/>
      <c r="GZ74" s="326"/>
      <c r="HA74" s="326"/>
      <c r="HB74" s="326"/>
      <c r="HC74" s="326"/>
      <c r="HD74" s="326"/>
      <c r="HE74" s="326"/>
      <c r="HF74" s="326"/>
      <c r="HG74" s="326"/>
      <c r="HH74" s="326"/>
      <c r="HI74" s="326"/>
      <c r="HJ74" s="326"/>
      <c r="HK74" s="326"/>
      <c r="HL74" s="326"/>
      <c r="HM74" s="326"/>
      <c r="HN74" s="326"/>
      <c r="HO74" s="326"/>
      <c r="HP74" s="326"/>
      <c r="HQ74" s="326"/>
      <c r="HR74" s="326"/>
      <c r="HS74" s="326"/>
      <c r="HT74" s="326"/>
      <c r="HU74" s="326"/>
      <c r="HV74" s="326"/>
      <c r="HW74" s="326"/>
      <c r="HX74" s="326"/>
      <c r="HY74" s="326"/>
      <c r="HZ74" s="326"/>
      <c r="IA74" s="326"/>
      <c r="IB74" s="326"/>
      <c r="IC74" s="326"/>
      <c r="ID74" s="326"/>
      <c r="IE74" s="326"/>
      <c r="IF74" s="326"/>
      <c r="IG74" s="326"/>
      <c r="IH74" s="326"/>
      <c r="II74" s="326"/>
      <c r="IJ74" s="326"/>
      <c r="IK74" s="326"/>
      <c r="IL74" s="326"/>
      <c r="IM74" s="326"/>
      <c r="IN74" s="326"/>
      <c r="IO74" s="326"/>
      <c r="IP74" s="326"/>
      <c r="IQ74" s="326"/>
      <c r="IR74" s="326"/>
      <c r="IS74" s="326"/>
      <c r="IT74" s="326"/>
      <c r="IU74" s="326"/>
      <c r="IV74" s="326"/>
    </row>
    <row r="75" spans="1:256" s="560" customFormat="1" ht="24.75" customHeight="1" thickTop="1">
      <c r="A75" s="574">
        <v>66</v>
      </c>
      <c r="B75" s="1017"/>
      <c r="C75" s="1348"/>
      <c r="D75" s="1535" t="s">
        <v>611</v>
      </c>
      <c r="E75" s="1358">
        <f>E71+E66</f>
        <v>3305904</v>
      </c>
      <c r="F75" s="1358">
        <f>F71+F66</f>
        <v>0</v>
      </c>
      <c r="G75" s="1508">
        <f>G71+G66</f>
        <v>0</v>
      </c>
      <c r="H75" s="1364"/>
      <c r="I75" s="1358"/>
      <c r="J75" s="1358"/>
      <c r="K75" s="1358"/>
      <c r="L75" s="1358"/>
      <c r="M75" s="1358"/>
      <c r="N75" s="1358"/>
      <c r="O75" s="1358"/>
      <c r="P75" s="1358"/>
      <c r="Q75" s="1365"/>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c r="EI75" s="326"/>
      <c r="EJ75" s="326"/>
      <c r="EK75" s="326"/>
      <c r="EL75" s="326"/>
      <c r="EM75" s="326"/>
      <c r="EN75" s="326"/>
      <c r="EO75" s="326"/>
      <c r="EP75" s="326"/>
      <c r="EQ75" s="326"/>
      <c r="ER75" s="326"/>
      <c r="ES75" s="326"/>
      <c r="ET75" s="326"/>
      <c r="EU75" s="326"/>
      <c r="EV75" s="326"/>
      <c r="EW75" s="326"/>
      <c r="EX75" s="326"/>
      <c r="EY75" s="326"/>
      <c r="EZ75" s="326"/>
      <c r="FA75" s="326"/>
      <c r="FB75" s="326"/>
      <c r="FC75" s="326"/>
      <c r="FD75" s="326"/>
      <c r="FE75" s="326"/>
      <c r="FF75" s="326"/>
      <c r="FG75" s="326"/>
      <c r="FH75" s="326"/>
      <c r="FI75" s="326"/>
      <c r="FJ75" s="326"/>
      <c r="FK75" s="326"/>
      <c r="FL75" s="326"/>
      <c r="FM75" s="326"/>
      <c r="FN75" s="326"/>
      <c r="FO75" s="326"/>
      <c r="FP75" s="326"/>
      <c r="FQ75" s="326"/>
      <c r="FR75" s="326"/>
      <c r="FS75" s="326"/>
      <c r="FT75" s="326"/>
      <c r="FU75" s="326"/>
      <c r="FV75" s="326"/>
      <c r="FW75" s="326"/>
      <c r="FX75" s="326"/>
      <c r="FY75" s="326"/>
      <c r="FZ75" s="326"/>
      <c r="GA75" s="326"/>
      <c r="GB75" s="326"/>
      <c r="GC75" s="326"/>
      <c r="GD75" s="326"/>
      <c r="GE75" s="326"/>
      <c r="GF75" s="326"/>
      <c r="GG75" s="326"/>
      <c r="GH75" s="326"/>
      <c r="GI75" s="326"/>
      <c r="GJ75" s="326"/>
      <c r="GK75" s="326"/>
      <c r="GL75" s="326"/>
      <c r="GM75" s="326"/>
      <c r="GN75" s="326"/>
      <c r="GO75" s="326"/>
      <c r="GP75" s="326"/>
      <c r="GQ75" s="326"/>
      <c r="GR75" s="326"/>
      <c r="GS75" s="326"/>
      <c r="GT75" s="326"/>
      <c r="GU75" s="326"/>
      <c r="GV75" s="326"/>
      <c r="GW75" s="326"/>
      <c r="GX75" s="326"/>
      <c r="GY75" s="326"/>
      <c r="GZ75" s="326"/>
      <c r="HA75" s="326"/>
      <c r="HB75" s="326"/>
      <c r="HC75" s="326"/>
      <c r="HD75" s="326"/>
      <c r="HE75" s="326"/>
      <c r="HF75" s="326"/>
      <c r="HG75" s="326"/>
      <c r="HH75" s="326"/>
      <c r="HI75" s="326"/>
      <c r="HJ75" s="326"/>
      <c r="HK75" s="326"/>
      <c r="HL75" s="326"/>
      <c r="HM75" s="326"/>
      <c r="HN75" s="326"/>
      <c r="HO75" s="326"/>
      <c r="HP75" s="326"/>
      <c r="HQ75" s="326"/>
      <c r="HR75" s="326"/>
      <c r="HS75" s="326"/>
      <c r="HT75" s="326"/>
      <c r="HU75" s="326"/>
      <c r="HV75" s="326"/>
      <c r="HW75" s="326"/>
      <c r="HX75" s="326"/>
      <c r="HY75" s="326"/>
      <c r="HZ75" s="326"/>
      <c r="IA75" s="326"/>
      <c r="IB75" s="326"/>
      <c r="IC75" s="326"/>
      <c r="ID75" s="326"/>
      <c r="IE75" s="326"/>
      <c r="IF75" s="326"/>
      <c r="IG75" s="326"/>
      <c r="IH75" s="326"/>
      <c r="II75" s="326"/>
      <c r="IJ75" s="326"/>
      <c r="IK75" s="326"/>
      <c r="IL75" s="326"/>
      <c r="IM75" s="326"/>
      <c r="IN75" s="326"/>
      <c r="IO75" s="326"/>
      <c r="IP75" s="326"/>
      <c r="IQ75" s="326"/>
      <c r="IR75" s="326"/>
      <c r="IS75" s="326"/>
      <c r="IT75" s="326"/>
      <c r="IU75" s="326"/>
      <c r="IV75" s="326"/>
    </row>
    <row r="76" spans="1:256" s="560" customFormat="1" ht="19.5" customHeight="1">
      <c r="A76" s="574">
        <v>67</v>
      </c>
      <c r="B76" s="1017"/>
      <c r="C76" s="366"/>
      <c r="D76" s="821" t="s">
        <v>283</v>
      </c>
      <c r="E76" s="1018"/>
      <c r="F76" s="1018"/>
      <c r="G76" s="1506"/>
      <c r="H76" s="1366"/>
      <c r="I76" s="762">
        <f>I71+I66</f>
        <v>0</v>
      </c>
      <c r="J76" s="762">
        <f aca="true" t="shared" si="8" ref="J76:P76">J71+J66</f>
        <v>0</v>
      </c>
      <c r="K76" s="762">
        <f t="shared" si="8"/>
        <v>0</v>
      </c>
      <c r="L76" s="762">
        <f t="shared" si="8"/>
        <v>0</v>
      </c>
      <c r="M76" s="762">
        <f t="shared" si="8"/>
        <v>3303652</v>
      </c>
      <c r="N76" s="762">
        <f t="shared" si="8"/>
        <v>0</v>
      </c>
      <c r="O76" s="762">
        <f t="shared" si="8"/>
        <v>0</v>
      </c>
      <c r="P76" s="762">
        <f t="shared" si="8"/>
        <v>3303652</v>
      </c>
      <c r="Q76" s="565"/>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26"/>
      <c r="BM76" s="326"/>
      <c r="BN76" s="326"/>
      <c r="BO76" s="326"/>
      <c r="BP76" s="326"/>
      <c r="BQ76" s="326"/>
      <c r="BR76" s="326"/>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326"/>
      <c r="DW76" s="326"/>
      <c r="DX76" s="326"/>
      <c r="DY76" s="326"/>
      <c r="DZ76" s="326"/>
      <c r="EA76" s="326"/>
      <c r="EB76" s="326"/>
      <c r="EC76" s="326"/>
      <c r="ED76" s="326"/>
      <c r="EE76" s="326"/>
      <c r="EF76" s="326"/>
      <c r="EG76" s="326"/>
      <c r="EH76" s="326"/>
      <c r="EI76" s="326"/>
      <c r="EJ76" s="326"/>
      <c r="EK76" s="326"/>
      <c r="EL76" s="326"/>
      <c r="EM76" s="326"/>
      <c r="EN76" s="326"/>
      <c r="EO76" s="326"/>
      <c r="EP76" s="326"/>
      <c r="EQ76" s="326"/>
      <c r="ER76" s="326"/>
      <c r="ES76" s="326"/>
      <c r="ET76" s="326"/>
      <c r="EU76" s="326"/>
      <c r="EV76" s="326"/>
      <c r="EW76" s="326"/>
      <c r="EX76" s="326"/>
      <c r="EY76" s="326"/>
      <c r="EZ76" s="326"/>
      <c r="FA76" s="326"/>
      <c r="FB76" s="326"/>
      <c r="FC76" s="326"/>
      <c r="FD76" s="326"/>
      <c r="FE76" s="326"/>
      <c r="FF76" s="326"/>
      <c r="FG76" s="326"/>
      <c r="FH76" s="326"/>
      <c r="FI76" s="326"/>
      <c r="FJ76" s="326"/>
      <c r="FK76" s="326"/>
      <c r="FL76" s="326"/>
      <c r="FM76" s="326"/>
      <c r="FN76" s="326"/>
      <c r="FO76" s="326"/>
      <c r="FP76" s="326"/>
      <c r="FQ76" s="326"/>
      <c r="FR76" s="326"/>
      <c r="FS76" s="326"/>
      <c r="FT76" s="326"/>
      <c r="FU76" s="326"/>
      <c r="FV76" s="326"/>
      <c r="FW76" s="326"/>
      <c r="FX76" s="326"/>
      <c r="FY76" s="326"/>
      <c r="FZ76" s="326"/>
      <c r="GA76" s="326"/>
      <c r="GB76" s="326"/>
      <c r="GC76" s="326"/>
      <c r="GD76" s="326"/>
      <c r="GE76" s="326"/>
      <c r="GF76" s="326"/>
      <c r="GG76" s="326"/>
      <c r="GH76" s="326"/>
      <c r="GI76" s="326"/>
      <c r="GJ76" s="326"/>
      <c r="GK76" s="326"/>
      <c r="GL76" s="326"/>
      <c r="GM76" s="326"/>
      <c r="GN76" s="326"/>
      <c r="GO76" s="326"/>
      <c r="GP76" s="326"/>
      <c r="GQ76" s="326"/>
      <c r="GR76" s="326"/>
      <c r="GS76" s="326"/>
      <c r="GT76" s="326"/>
      <c r="GU76" s="326"/>
      <c r="GV76" s="326"/>
      <c r="GW76" s="326"/>
      <c r="GX76" s="326"/>
      <c r="GY76" s="326"/>
      <c r="GZ76" s="326"/>
      <c r="HA76" s="326"/>
      <c r="HB76" s="326"/>
      <c r="HC76" s="326"/>
      <c r="HD76" s="326"/>
      <c r="HE76" s="326"/>
      <c r="HF76" s="326"/>
      <c r="HG76" s="326"/>
      <c r="HH76" s="326"/>
      <c r="HI76" s="326"/>
      <c r="HJ76" s="326"/>
      <c r="HK76" s="326"/>
      <c r="HL76" s="326"/>
      <c r="HM76" s="326"/>
      <c r="HN76" s="326"/>
      <c r="HO76" s="326"/>
      <c r="HP76" s="326"/>
      <c r="HQ76" s="326"/>
      <c r="HR76" s="326"/>
      <c r="HS76" s="326"/>
      <c r="HT76" s="326"/>
      <c r="HU76" s="326"/>
      <c r="HV76" s="326"/>
      <c r="HW76" s="326"/>
      <c r="HX76" s="326"/>
      <c r="HY76" s="326"/>
      <c r="HZ76" s="326"/>
      <c r="IA76" s="326"/>
      <c r="IB76" s="326"/>
      <c r="IC76" s="326"/>
      <c r="ID76" s="326"/>
      <c r="IE76" s="326"/>
      <c r="IF76" s="326"/>
      <c r="IG76" s="326"/>
      <c r="IH76" s="326"/>
      <c r="II76" s="326"/>
      <c r="IJ76" s="326"/>
      <c r="IK76" s="326"/>
      <c r="IL76" s="326"/>
      <c r="IM76" s="326"/>
      <c r="IN76" s="326"/>
      <c r="IO76" s="326"/>
      <c r="IP76" s="326"/>
      <c r="IQ76" s="326"/>
      <c r="IR76" s="326"/>
      <c r="IS76" s="326"/>
      <c r="IT76" s="326"/>
      <c r="IU76" s="326"/>
      <c r="IV76" s="326"/>
    </row>
    <row r="77" spans="1:256" s="560" customFormat="1" ht="19.5" customHeight="1">
      <c r="A77" s="574">
        <v>68</v>
      </c>
      <c r="B77" s="1017"/>
      <c r="C77" s="366"/>
      <c r="D77" s="483" t="s">
        <v>938</v>
      </c>
      <c r="E77" s="1018"/>
      <c r="F77" s="1018"/>
      <c r="G77" s="1506"/>
      <c r="H77" s="1366"/>
      <c r="I77" s="1018">
        <f>I72+I67</f>
        <v>0</v>
      </c>
      <c r="J77" s="1018">
        <f aca="true" t="shared" si="9" ref="J77:O77">J72+J67</f>
        <v>0</v>
      </c>
      <c r="K77" s="1018">
        <f t="shared" si="9"/>
        <v>773</v>
      </c>
      <c r="L77" s="1018">
        <f t="shared" si="9"/>
        <v>0</v>
      </c>
      <c r="M77" s="1018">
        <f t="shared" si="9"/>
        <v>3068296</v>
      </c>
      <c r="N77" s="1018">
        <f t="shared" si="9"/>
        <v>0</v>
      </c>
      <c r="O77" s="1018">
        <f t="shared" si="9"/>
        <v>232931</v>
      </c>
      <c r="P77" s="1018">
        <f>P72+P67</f>
        <v>3302000</v>
      </c>
      <c r="Q77" s="565"/>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c r="BM77" s="326"/>
      <c r="BN77" s="326"/>
      <c r="BO77" s="326"/>
      <c r="BP77" s="326"/>
      <c r="BQ77" s="326"/>
      <c r="BR77" s="326"/>
      <c r="BS77" s="326"/>
      <c r="BT77" s="326"/>
      <c r="BU77" s="326"/>
      <c r="BV77" s="326"/>
      <c r="BW77" s="326"/>
      <c r="BX77" s="326"/>
      <c r="BY77" s="326"/>
      <c r="BZ77" s="326"/>
      <c r="CA77" s="326"/>
      <c r="CB77" s="326"/>
      <c r="CC77" s="326"/>
      <c r="CD77" s="326"/>
      <c r="CE77" s="326"/>
      <c r="CF77" s="326"/>
      <c r="CG77" s="326"/>
      <c r="CH77" s="326"/>
      <c r="CI77" s="326"/>
      <c r="CJ77" s="326"/>
      <c r="CK77" s="326"/>
      <c r="CL77" s="326"/>
      <c r="CM77" s="326"/>
      <c r="CN77" s="326"/>
      <c r="CO77" s="326"/>
      <c r="CP77" s="326"/>
      <c r="CQ77" s="326"/>
      <c r="CR77" s="326"/>
      <c r="CS77" s="326"/>
      <c r="CT77" s="326"/>
      <c r="CU77" s="326"/>
      <c r="CV77" s="326"/>
      <c r="CW77" s="326"/>
      <c r="CX77" s="326"/>
      <c r="CY77" s="326"/>
      <c r="CZ77" s="326"/>
      <c r="DA77" s="326"/>
      <c r="DB77" s="326"/>
      <c r="DC77" s="326"/>
      <c r="DD77" s="326"/>
      <c r="DE77" s="326"/>
      <c r="DF77" s="326"/>
      <c r="DG77" s="326"/>
      <c r="DH77" s="326"/>
      <c r="DI77" s="326"/>
      <c r="DJ77" s="326"/>
      <c r="DK77" s="326"/>
      <c r="DL77" s="326"/>
      <c r="DM77" s="326"/>
      <c r="DN77" s="326"/>
      <c r="DO77" s="326"/>
      <c r="DP77" s="326"/>
      <c r="DQ77" s="326"/>
      <c r="DR77" s="326"/>
      <c r="DS77" s="326"/>
      <c r="DT77" s="326"/>
      <c r="DU77" s="326"/>
      <c r="DV77" s="326"/>
      <c r="DW77" s="326"/>
      <c r="DX77" s="326"/>
      <c r="DY77" s="326"/>
      <c r="DZ77" s="326"/>
      <c r="EA77" s="326"/>
      <c r="EB77" s="326"/>
      <c r="EC77" s="326"/>
      <c r="ED77" s="326"/>
      <c r="EE77" s="326"/>
      <c r="EF77" s="326"/>
      <c r="EG77" s="326"/>
      <c r="EH77" s="326"/>
      <c r="EI77" s="326"/>
      <c r="EJ77" s="326"/>
      <c r="EK77" s="326"/>
      <c r="EL77" s="326"/>
      <c r="EM77" s="326"/>
      <c r="EN77" s="326"/>
      <c r="EO77" s="326"/>
      <c r="EP77" s="326"/>
      <c r="EQ77" s="326"/>
      <c r="ER77" s="326"/>
      <c r="ES77" s="326"/>
      <c r="ET77" s="326"/>
      <c r="EU77" s="326"/>
      <c r="EV77" s="326"/>
      <c r="EW77" s="326"/>
      <c r="EX77" s="326"/>
      <c r="EY77" s="326"/>
      <c r="EZ77" s="326"/>
      <c r="FA77" s="326"/>
      <c r="FB77" s="326"/>
      <c r="FC77" s="326"/>
      <c r="FD77" s="326"/>
      <c r="FE77" s="326"/>
      <c r="FF77" s="326"/>
      <c r="FG77" s="326"/>
      <c r="FH77" s="326"/>
      <c r="FI77" s="326"/>
      <c r="FJ77" s="326"/>
      <c r="FK77" s="326"/>
      <c r="FL77" s="326"/>
      <c r="FM77" s="326"/>
      <c r="FN77" s="326"/>
      <c r="FO77" s="326"/>
      <c r="FP77" s="326"/>
      <c r="FQ77" s="326"/>
      <c r="FR77" s="326"/>
      <c r="FS77" s="326"/>
      <c r="FT77" s="326"/>
      <c r="FU77" s="326"/>
      <c r="FV77" s="326"/>
      <c r="FW77" s="326"/>
      <c r="FX77" s="326"/>
      <c r="FY77" s="326"/>
      <c r="FZ77" s="326"/>
      <c r="GA77" s="326"/>
      <c r="GB77" s="326"/>
      <c r="GC77" s="326"/>
      <c r="GD77" s="326"/>
      <c r="GE77" s="326"/>
      <c r="GF77" s="326"/>
      <c r="GG77" s="326"/>
      <c r="GH77" s="326"/>
      <c r="GI77" s="326"/>
      <c r="GJ77" s="326"/>
      <c r="GK77" s="326"/>
      <c r="GL77" s="326"/>
      <c r="GM77" s="326"/>
      <c r="GN77" s="326"/>
      <c r="GO77" s="326"/>
      <c r="GP77" s="326"/>
      <c r="GQ77" s="326"/>
      <c r="GR77" s="326"/>
      <c r="GS77" s="326"/>
      <c r="GT77" s="326"/>
      <c r="GU77" s="326"/>
      <c r="GV77" s="326"/>
      <c r="GW77" s="326"/>
      <c r="GX77" s="326"/>
      <c r="GY77" s="326"/>
      <c r="GZ77" s="326"/>
      <c r="HA77" s="326"/>
      <c r="HB77" s="326"/>
      <c r="HC77" s="326"/>
      <c r="HD77" s="326"/>
      <c r="HE77" s="326"/>
      <c r="HF77" s="326"/>
      <c r="HG77" s="326"/>
      <c r="HH77" s="326"/>
      <c r="HI77" s="326"/>
      <c r="HJ77" s="326"/>
      <c r="HK77" s="326"/>
      <c r="HL77" s="326"/>
      <c r="HM77" s="326"/>
      <c r="HN77" s="326"/>
      <c r="HO77" s="326"/>
      <c r="HP77" s="326"/>
      <c r="HQ77" s="326"/>
      <c r="HR77" s="326"/>
      <c r="HS77" s="326"/>
      <c r="HT77" s="326"/>
      <c r="HU77" s="326"/>
      <c r="HV77" s="326"/>
      <c r="HW77" s="326"/>
      <c r="HX77" s="326"/>
      <c r="HY77" s="326"/>
      <c r="HZ77" s="326"/>
      <c r="IA77" s="326"/>
      <c r="IB77" s="326"/>
      <c r="IC77" s="326"/>
      <c r="ID77" s="326"/>
      <c r="IE77" s="326"/>
      <c r="IF77" s="326"/>
      <c r="IG77" s="326"/>
      <c r="IH77" s="326"/>
      <c r="II77" s="326"/>
      <c r="IJ77" s="326"/>
      <c r="IK77" s="326"/>
      <c r="IL77" s="326"/>
      <c r="IM77" s="326"/>
      <c r="IN77" s="326"/>
      <c r="IO77" s="326"/>
      <c r="IP77" s="326"/>
      <c r="IQ77" s="326"/>
      <c r="IR77" s="326"/>
      <c r="IS77" s="326"/>
      <c r="IT77" s="326"/>
      <c r="IU77" s="326"/>
      <c r="IV77" s="326"/>
    </row>
    <row r="78" spans="1:256" s="560" customFormat="1" ht="19.5" customHeight="1">
      <c r="A78" s="574">
        <v>69</v>
      </c>
      <c r="B78" s="1017"/>
      <c r="C78" s="366"/>
      <c r="D78" s="1146" t="s">
        <v>674</v>
      </c>
      <c r="E78" s="1018"/>
      <c r="F78" s="1018"/>
      <c r="G78" s="1506"/>
      <c r="H78" s="1366"/>
      <c r="I78" s="1380">
        <f>I73+I68</f>
        <v>0</v>
      </c>
      <c r="J78" s="1380">
        <f aca="true" t="shared" si="10" ref="J78:O78">J73+J68</f>
        <v>0</v>
      </c>
      <c r="K78" s="1380">
        <f t="shared" si="10"/>
        <v>630</v>
      </c>
      <c r="L78" s="1380">
        <f t="shared" si="10"/>
        <v>0</v>
      </c>
      <c r="M78" s="1380">
        <f t="shared" si="10"/>
        <v>0</v>
      </c>
      <c r="N78" s="1380">
        <f t="shared" si="10"/>
        <v>0</v>
      </c>
      <c r="O78" s="1380">
        <f t="shared" si="10"/>
        <v>3274</v>
      </c>
      <c r="P78" s="1307">
        <f>SUM(I78:O78)</f>
        <v>3904</v>
      </c>
      <c r="Q78" s="565"/>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c r="EI78" s="326"/>
      <c r="EJ78" s="326"/>
      <c r="EK78" s="326"/>
      <c r="EL78" s="326"/>
      <c r="EM78" s="326"/>
      <c r="EN78" s="326"/>
      <c r="EO78" s="326"/>
      <c r="EP78" s="326"/>
      <c r="EQ78" s="326"/>
      <c r="ER78" s="326"/>
      <c r="ES78" s="326"/>
      <c r="ET78" s="326"/>
      <c r="EU78" s="326"/>
      <c r="EV78" s="326"/>
      <c r="EW78" s="326"/>
      <c r="EX78" s="326"/>
      <c r="EY78" s="326"/>
      <c r="EZ78" s="326"/>
      <c r="FA78" s="326"/>
      <c r="FB78" s="326"/>
      <c r="FC78" s="326"/>
      <c r="FD78" s="326"/>
      <c r="FE78" s="326"/>
      <c r="FF78" s="326"/>
      <c r="FG78" s="326"/>
      <c r="FH78" s="326"/>
      <c r="FI78" s="326"/>
      <c r="FJ78" s="326"/>
      <c r="FK78" s="326"/>
      <c r="FL78" s="326"/>
      <c r="FM78" s="326"/>
      <c r="FN78" s="326"/>
      <c r="FO78" s="326"/>
      <c r="FP78" s="326"/>
      <c r="FQ78" s="326"/>
      <c r="FR78" s="326"/>
      <c r="FS78" s="326"/>
      <c r="FT78" s="326"/>
      <c r="FU78" s="326"/>
      <c r="FV78" s="326"/>
      <c r="FW78" s="326"/>
      <c r="FX78" s="326"/>
      <c r="FY78" s="326"/>
      <c r="FZ78" s="326"/>
      <c r="GA78" s="326"/>
      <c r="GB78" s="326"/>
      <c r="GC78" s="326"/>
      <c r="GD78" s="326"/>
      <c r="GE78" s="326"/>
      <c r="GF78" s="326"/>
      <c r="GG78" s="326"/>
      <c r="GH78" s="326"/>
      <c r="GI78" s="326"/>
      <c r="GJ78" s="326"/>
      <c r="GK78" s="326"/>
      <c r="GL78" s="326"/>
      <c r="GM78" s="326"/>
      <c r="GN78" s="326"/>
      <c r="GO78" s="326"/>
      <c r="GP78" s="326"/>
      <c r="GQ78" s="326"/>
      <c r="GR78" s="326"/>
      <c r="GS78" s="326"/>
      <c r="GT78" s="326"/>
      <c r="GU78" s="326"/>
      <c r="GV78" s="326"/>
      <c r="GW78" s="326"/>
      <c r="GX78" s="326"/>
      <c r="GY78" s="326"/>
      <c r="GZ78" s="326"/>
      <c r="HA78" s="326"/>
      <c r="HB78" s="326"/>
      <c r="HC78" s="326"/>
      <c r="HD78" s="326"/>
      <c r="HE78" s="326"/>
      <c r="HF78" s="326"/>
      <c r="HG78" s="326"/>
      <c r="HH78" s="326"/>
      <c r="HI78" s="326"/>
      <c r="HJ78" s="326"/>
      <c r="HK78" s="326"/>
      <c r="HL78" s="326"/>
      <c r="HM78" s="326"/>
      <c r="HN78" s="326"/>
      <c r="HO78" s="326"/>
      <c r="HP78" s="326"/>
      <c r="HQ78" s="326"/>
      <c r="HR78" s="326"/>
      <c r="HS78" s="326"/>
      <c r="HT78" s="326"/>
      <c r="HU78" s="326"/>
      <c r="HV78" s="326"/>
      <c r="HW78" s="326"/>
      <c r="HX78" s="326"/>
      <c r="HY78" s="326"/>
      <c r="HZ78" s="326"/>
      <c r="IA78" s="326"/>
      <c r="IB78" s="326"/>
      <c r="IC78" s="326"/>
      <c r="ID78" s="326"/>
      <c r="IE78" s="326"/>
      <c r="IF78" s="326"/>
      <c r="IG78" s="326"/>
      <c r="IH78" s="326"/>
      <c r="II78" s="326"/>
      <c r="IJ78" s="326"/>
      <c r="IK78" s="326"/>
      <c r="IL78" s="326"/>
      <c r="IM78" s="326"/>
      <c r="IN78" s="326"/>
      <c r="IO78" s="326"/>
      <c r="IP78" s="326"/>
      <c r="IQ78" s="326"/>
      <c r="IR78" s="326"/>
      <c r="IS78" s="326"/>
      <c r="IT78" s="326"/>
      <c r="IU78" s="326"/>
      <c r="IV78" s="326"/>
    </row>
    <row r="79" spans="1:256" s="560" customFormat="1" ht="19.5" customHeight="1" thickBot="1">
      <c r="A79" s="574">
        <v>70</v>
      </c>
      <c r="B79" s="1017"/>
      <c r="C79" s="1353"/>
      <c r="D79" s="1157" t="s">
        <v>1091</v>
      </c>
      <c r="E79" s="1354"/>
      <c r="F79" s="1354"/>
      <c r="G79" s="1507"/>
      <c r="H79" s="1367"/>
      <c r="I79" s="1354">
        <f>SUM(I77:I78)</f>
        <v>0</v>
      </c>
      <c r="J79" s="1354">
        <f aca="true" t="shared" si="11" ref="J79:O79">SUM(J77:J78)</f>
        <v>0</v>
      </c>
      <c r="K79" s="1354">
        <f t="shared" si="11"/>
        <v>1403</v>
      </c>
      <c r="L79" s="1354">
        <f t="shared" si="11"/>
        <v>0</v>
      </c>
      <c r="M79" s="1354">
        <f t="shared" si="11"/>
        <v>3068296</v>
      </c>
      <c r="N79" s="1354">
        <f t="shared" si="11"/>
        <v>0</v>
      </c>
      <c r="O79" s="1354">
        <f t="shared" si="11"/>
        <v>236205</v>
      </c>
      <c r="P79" s="1379">
        <f>SUM(I79:O79)</f>
        <v>3305904</v>
      </c>
      <c r="Q79" s="1368"/>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c r="EI79" s="326"/>
      <c r="EJ79" s="326"/>
      <c r="EK79" s="326"/>
      <c r="EL79" s="326"/>
      <c r="EM79" s="326"/>
      <c r="EN79" s="326"/>
      <c r="EO79" s="326"/>
      <c r="EP79" s="326"/>
      <c r="EQ79" s="326"/>
      <c r="ER79" s="326"/>
      <c r="ES79" s="326"/>
      <c r="ET79" s="326"/>
      <c r="EU79" s="326"/>
      <c r="EV79" s="326"/>
      <c r="EW79" s="326"/>
      <c r="EX79" s="326"/>
      <c r="EY79" s="326"/>
      <c r="EZ79" s="326"/>
      <c r="FA79" s="326"/>
      <c r="FB79" s="326"/>
      <c r="FC79" s="326"/>
      <c r="FD79" s="326"/>
      <c r="FE79" s="326"/>
      <c r="FF79" s="326"/>
      <c r="FG79" s="326"/>
      <c r="FH79" s="326"/>
      <c r="FI79" s="326"/>
      <c r="FJ79" s="326"/>
      <c r="FK79" s="326"/>
      <c r="FL79" s="326"/>
      <c r="FM79" s="326"/>
      <c r="FN79" s="326"/>
      <c r="FO79" s="326"/>
      <c r="FP79" s="326"/>
      <c r="FQ79" s="326"/>
      <c r="FR79" s="326"/>
      <c r="FS79" s="326"/>
      <c r="FT79" s="326"/>
      <c r="FU79" s="326"/>
      <c r="FV79" s="326"/>
      <c r="FW79" s="326"/>
      <c r="FX79" s="326"/>
      <c r="FY79" s="326"/>
      <c r="FZ79" s="326"/>
      <c r="GA79" s="326"/>
      <c r="GB79" s="326"/>
      <c r="GC79" s="326"/>
      <c r="GD79" s="326"/>
      <c r="GE79" s="326"/>
      <c r="GF79" s="326"/>
      <c r="GG79" s="326"/>
      <c r="GH79" s="326"/>
      <c r="GI79" s="326"/>
      <c r="GJ79" s="326"/>
      <c r="GK79" s="326"/>
      <c r="GL79" s="326"/>
      <c r="GM79" s="326"/>
      <c r="GN79" s="326"/>
      <c r="GO79" s="326"/>
      <c r="GP79" s="326"/>
      <c r="GQ79" s="326"/>
      <c r="GR79" s="326"/>
      <c r="GS79" s="326"/>
      <c r="GT79" s="326"/>
      <c r="GU79" s="326"/>
      <c r="GV79" s="326"/>
      <c r="GW79" s="326"/>
      <c r="GX79" s="326"/>
      <c r="GY79" s="326"/>
      <c r="GZ79" s="326"/>
      <c r="HA79" s="326"/>
      <c r="HB79" s="326"/>
      <c r="HC79" s="326"/>
      <c r="HD79" s="326"/>
      <c r="HE79" s="326"/>
      <c r="HF79" s="326"/>
      <c r="HG79" s="326"/>
      <c r="HH79" s="326"/>
      <c r="HI79" s="326"/>
      <c r="HJ79" s="326"/>
      <c r="HK79" s="326"/>
      <c r="HL79" s="326"/>
      <c r="HM79" s="326"/>
      <c r="HN79" s="326"/>
      <c r="HO79" s="326"/>
      <c r="HP79" s="326"/>
      <c r="HQ79" s="326"/>
      <c r="HR79" s="326"/>
      <c r="HS79" s="326"/>
      <c r="HT79" s="326"/>
      <c r="HU79" s="326"/>
      <c r="HV79" s="326"/>
      <c r="HW79" s="326"/>
      <c r="HX79" s="326"/>
      <c r="HY79" s="326"/>
      <c r="HZ79" s="326"/>
      <c r="IA79" s="326"/>
      <c r="IB79" s="326"/>
      <c r="IC79" s="326"/>
      <c r="ID79" s="326"/>
      <c r="IE79" s="326"/>
      <c r="IF79" s="326"/>
      <c r="IG79" s="326"/>
      <c r="IH79" s="326"/>
      <c r="II79" s="326"/>
      <c r="IJ79" s="326"/>
      <c r="IK79" s="326"/>
      <c r="IL79" s="326"/>
      <c r="IM79" s="326"/>
      <c r="IN79" s="326"/>
      <c r="IO79" s="326"/>
      <c r="IP79" s="326"/>
      <c r="IQ79" s="326"/>
      <c r="IR79" s="326"/>
      <c r="IS79" s="326"/>
      <c r="IT79" s="326"/>
      <c r="IU79" s="326"/>
      <c r="IV79" s="326"/>
    </row>
    <row r="80" spans="1:17" ht="22.5" customHeight="1" thickTop="1">
      <c r="A80" s="574">
        <v>71</v>
      </c>
      <c r="B80" s="466"/>
      <c r="C80" s="809">
        <v>4</v>
      </c>
      <c r="D80" s="816" t="s">
        <v>649</v>
      </c>
      <c r="E80" s="333"/>
      <c r="F80" s="333"/>
      <c r="G80" s="1509"/>
      <c r="H80" s="1024" t="s">
        <v>23</v>
      </c>
      <c r="I80" s="333"/>
      <c r="J80" s="333"/>
      <c r="K80" s="333"/>
      <c r="L80" s="333"/>
      <c r="M80" s="333"/>
      <c r="N80" s="333"/>
      <c r="O80" s="333"/>
      <c r="P80" s="984"/>
      <c r="Q80" s="1025"/>
    </row>
    <row r="81" spans="1:17" ht="22.5" customHeight="1">
      <c r="A81" s="574">
        <v>72</v>
      </c>
      <c r="B81" s="466"/>
      <c r="C81" s="809"/>
      <c r="D81" s="794" t="s">
        <v>465</v>
      </c>
      <c r="E81" s="333"/>
      <c r="F81" s="333"/>
      <c r="G81" s="332"/>
      <c r="H81" s="772"/>
      <c r="I81" s="983"/>
      <c r="J81" s="333"/>
      <c r="K81" s="333"/>
      <c r="L81" s="333"/>
      <c r="M81" s="333"/>
      <c r="N81" s="333"/>
      <c r="O81" s="333"/>
      <c r="P81" s="984"/>
      <c r="Q81" s="562"/>
    </row>
    <row r="82" spans="1:256" s="560" customFormat="1" ht="19.5" customHeight="1">
      <c r="A82" s="574">
        <v>73</v>
      </c>
      <c r="B82" s="568"/>
      <c r="C82" s="820"/>
      <c r="D82" s="828" t="s">
        <v>283</v>
      </c>
      <c r="E82" s="829">
        <f>F82+G82+P85+34903</f>
        <v>380582</v>
      </c>
      <c r="F82" s="830"/>
      <c r="G82" s="1498"/>
      <c r="H82" s="831"/>
      <c r="I82" s="832"/>
      <c r="J82" s="833"/>
      <c r="K82" s="825">
        <f>259700-78400</f>
        <v>181300</v>
      </c>
      <c r="L82" s="825">
        <v>78400</v>
      </c>
      <c r="M82" s="826"/>
      <c r="N82" s="833"/>
      <c r="O82" s="833"/>
      <c r="P82" s="827">
        <f>SUM(I82:O82)</f>
        <v>259700</v>
      </c>
      <c r="Q82" s="819"/>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326"/>
      <c r="CM82" s="326"/>
      <c r="CN82" s="326"/>
      <c r="CO82" s="326"/>
      <c r="CP82" s="326"/>
      <c r="CQ82" s="326"/>
      <c r="CR82" s="326"/>
      <c r="CS82" s="326"/>
      <c r="CT82" s="326"/>
      <c r="CU82" s="326"/>
      <c r="CV82" s="326"/>
      <c r="CW82" s="326"/>
      <c r="CX82" s="326"/>
      <c r="CY82" s="326"/>
      <c r="CZ82" s="326"/>
      <c r="DA82" s="326"/>
      <c r="DB82" s="326"/>
      <c r="DC82" s="326"/>
      <c r="DD82" s="326"/>
      <c r="DE82" s="326"/>
      <c r="DF82" s="326"/>
      <c r="DG82" s="326"/>
      <c r="DH82" s="326"/>
      <c r="DI82" s="326"/>
      <c r="DJ82" s="326"/>
      <c r="DK82" s="326"/>
      <c r="DL82" s="326"/>
      <c r="DM82" s="326"/>
      <c r="DN82" s="326"/>
      <c r="DO82" s="326"/>
      <c r="DP82" s="326"/>
      <c r="DQ82" s="326"/>
      <c r="DR82" s="326"/>
      <c r="DS82" s="326"/>
      <c r="DT82" s="326"/>
      <c r="DU82" s="326"/>
      <c r="DV82" s="326"/>
      <c r="DW82" s="326"/>
      <c r="DX82" s="326"/>
      <c r="DY82" s="326"/>
      <c r="DZ82" s="326"/>
      <c r="EA82" s="326"/>
      <c r="EB82" s="326"/>
      <c r="EC82" s="326"/>
      <c r="ED82" s="326"/>
      <c r="EE82" s="326"/>
      <c r="EF82" s="326"/>
      <c r="EG82" s="326"/>
      <c r="EH82" s="326"/>
      <c r="EI82" s="326"/>
      <c r="EJ82" s="326"/>
      <c r="EK82" s="326"/>
      <c r="EL82" s="326"/>
      <c r="EM82" s="326"/>
      <c r="EN82" s="326"/>
      <c r="EO82" s="326"/>
      <c r="EP82" s="326"/>
      <c r="EQ82" s="326"/>
      <c r="ER82" s="326"/>
      <c r="ES82" s="326"/>
      <c r="ET82" s="326"/>
      <c r="EU82" s="326"/>
      <c r="EV82" s="326"/>
      <c r="EW82" s="326"/>
      <c r="EX82" s="326"/>
      <c r="EY82" s="326"/>
      <c r="EZ82" s="326"/>
      <c r="FA82" s="326"/>
      <c r="FB82" s="326"/>
      <c r="FC82" s="326"/>
      <c r="FD82" s="326"/>
      <c r="FE82" s="326"/>
      <c r="FF82" s="326"/>
      <c r="FG82" s="326"/>
      <c r="FH82" s="326"/>
      <c r="FI82" s="326"/>
      <c r="FJ82" s="326"/>
      <c r="FK82" s="326"/>
      <c r="FL82" s="326"/>
      <c r="FM82" s="326"/>
      <c r="FN82" s="326"/>
      <c r="FO82" s="326"/>
      <c r="FP82" s="326"/>
      <c r="FQ82" s="326"/>
      <c r="FR82" s="326"/>
      <c r="FS82" s="326"/>
      <c r="FT82" s="326"/>
      <c r="FU82" s="326"/>
      <c r="FV82" s="326"/>
      <c r="FW82" s="326"/>
      <c r="FX82" s="326"/>
      <c r="FY82" s="326"/>
      <c r="FZ82" s="326"/>
      <c r="GA82" s="326"/>
      <c r="GB82" s="326"/>
      <c r="GC82" s="326"/>
      <c r="GD82" s="326"/>
      <c r="GE82" s="326"/>
      <c r="GF82" s="326"/>
      <c r="GG82" s="326"/>
      <c r="GH82" s="326"/>
      <c r="GI82" s="326"/>
      <c r="GJ82" s="326"/>
      <c r="GK82" s="326"/>
      <c r="GL82" s="326"/>
      <c r="GM82" s="326"/>
      <c r="GN82" s="326"/>
      <c r="GO82" s="326"/>
      <c r="GP82" s="326"/>
      <c r="GQ82" s="326"/>
      <c r="GR82" s="326"/>
      <c r="GS82" s="326"/>
      <c r="GT82" s="326"/>
      <c r="GU82" s="326"/>
      <c r="GV82" s="326"/>
      <c r="GW82" s="326"/>
      <c r="GX82" s="326"/>
      <c r="GY82" s="326"/>
      <c r="GZ82" s="326"/>
      <c r="HA82" s="326"/>
      <c r="HB82" s="326"/>
      <c r="HC82" s="326"/>
      <c r="HD82" s="326"/>
      <c r="HE82" s="326"/>
      <c r="HF82" s="326"/>
      <c r="HG82" s="326"/>
      <c r="HH82" s="326"/>
      <c r="HI82" s="326"/>
      <c r="HJ82" s="326"/>
      <c r="HK82" s="326"/>
      <c r="HL82" s="326"/>
      <c r="HM82" s="326"/>
      <c r="HN82" s="326"/>
      <c r="HO82" s="326"/>
      <c r="HP82" s="326"/>
      <c r="HQ82" s="326"/>
      <c r="HR82" s="326"/>
      <c r="HS82" s="326"/>
      <c r="HT82" s="326"/>
      <c r="HU82" s="326"/>
      <c r="HV82" s="326"/>
      <c r="HW82" s="326"/>
      <c r="HX82" s="326"/>
      <c r="HY82" s="326"/>
      <c r="HZ82" s="326"/>
      <c r="IA82" s="326"/>
      <c r="IB82" s="326"/>
      <c r="IC82" s="326"/>
      <c r="ID82" s="326"/>
      <c r="IE82" s="326"/>
      <c r="IF82" s="326"/>
      <c r="IG82" s="326"/>
      <c r="IH82" s="326"/>
      <c r="II82" s="326"/>
      <c r="IJ82" s="326"/>
      <c r="IK82" s="326"/>
      <c r="IL82" s="326"/>
      <c r="IM82" s="326"/>
      <c r="IN82" s="326"/>
      <c r="IO82" s="326"/>
      <c r="IP82" s="326"/>
      <c r="IQ82" s="326"/>
      <c r="IR82" s="326"/>
      <c r="IS82" s="326"/>
      <c r="IT82" s="326"/>
      <c r="IU82" s="326"/>
      <c r="IV82" s="326"/>
    </row>
    <row r="83" spans="1:256" s="560" customFormat="1" ht="19.5" customHeight="1">
      <c r="A83" s="574">
        <v>74</v>
      </c>
      <c r="B83" s="568"/>
      <c r="C83" s="820"/>
      <c r="D83" s="483" t="s">
        <v>938</v>
      </c>
      <c r="E83" s="829"/>
      <c r="F83" s="830"/>
      <c r="G83" s="1498"/>
      <c r="H83" s="831"/>
      <c r="I83" s="1683">
        <v>3385</v>
      </c>
      <c r="J83" s="1683">
        <v>524</v>
      </c>
      <c r="K83" s="1683">
        <v>268270</v>
      </c>
      <c r="L83" s="1683">
        <v>73500</v>
      </c>
      <c r="M83" s="832"/>
      <c r="N83" s="832"/>
      <c r="O83" s="832"/>
      <c r="P83" s="1392">
        <f>SUM(I83:O83)</f>
        <v>345679</v>
      </c>
      <c r="Q83" s="819"/>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c r="EI83" s="326"/>
      <c r="EJ83" s="326"/>
      <c r="EK83" s="326"/>
      <c r="EL83" s="326"/>
      <c r="EM83" s="326"/>
      <c r="EN83" s="326"/>
      <c r="EO83" s="326"/>
      <c r="EP83" s="326"/>
      <c r="EQ83" s="326"/>
      <c r="ER83" s="326"/>
      <c r="ES83" s="326"/>
      <c r="ET83" s="326"/>
      <c r="EU83" s="326"/>
      <c r="EV83" s="326"/>
      <c r="EW83" s="326"/>
      <c r="EX83" s="326"/>
      <c r="EY83" s="326"/>
      <c r="EZ83" s="326"/>
      <c r="FA83" s="326"/>
      <c r="FB83" s="326"/>
      <c r="FC83" s="326"/>
      <c r="FD83" s="326"/>
      <c r="FE83" s="326"/>
      <c r="FF83" s="326"/>
      <c r="FG83" s="326"/>
      <c r="FH83" s="326"/>
      <c r="FI83" s="326"/>
      <c r="FJ83" s="326"/>
      <c r="FK83" s="326"/>
      <c r="FL83" s="326"/>
      <c r="FM83" s="326"/>
      <c r="FN83" s="326"/>
      <c r="FO83" s="326"/>
      <c r="FP83" s="326"/>
      <c r="FQ83" s="326"/>
      <c r="FR83" s="326"/>
      <c r="FS83" s="326"/>
      <c r="FT83" s="326"/>
      <c r="FU83" s="326"/>
      <c r="FV83" s="326"/>
      <c r="FW83" s="326"/>
      <c r="FX83" s="326"/>
      <c r="FY83" s="326"/>
      <c r="FZ83" s="326"/>
      <c r="GA83" s="326"/>
      <c r="GB83" s="326"/>
      <c r="GC83" s="326"/>
      <c r="GD83" s="326"/>
      <c r="GE83" s="326"/>
      <c r="GF83" s="326"/>
      <c r="GG83" s="326"/>
      <c r="GH83" s="326"/>
      <c r="GI83" s="326"/>
      <c r="GJ83" s="326"/>
      <c r="GK83" s="326"/>
      <c r="GL83" s="326"/>
      <c r="GM83" s="326"/>
      <c r="GN83" s="326"/>
      <c r="GO83" s="326"/>
      <c r="GP83" s="326"/>
      <c r="GQ83" s="326"/>
      <c r="GR83" s="326"/>
      <c r="GS83" s="326"/>
      <c r="GT83" s="326"/>
      <c r="GU83" s="326"/>
      <c r="GV83" s="326"/>
      <c r="GW83" s="326"/>
      <c r="GX83" s="326"/>
      <c r="GY83" s="326"/>
      <c r="GZ83" s="326"/>
      <c r="HA83" s="326"/>
      <c r="HB83" s="326"/>
      <c r="HC83" s="326"/>
      <c r="HD83" s="326"/>
      <c r="HE83" s="326"/>
      <c r="HF83" s="326"/>
      <c r="HG83" s="326"/>
      <c r="HH83" s="326"/>
      <c r="HI83" s="326"/>
      <c r="HJ83" s="326"/>
      <c r="HK83" s="326"/>
      <c r="HL83" s="326"/>
      <c r="HM83" s="326"/>
      <c r="HN83" s="326"/>
      <c r="HO83" s="326"/>
      <c r="HP83" s="326"/>
      <c r="HQ83" s="326"/>
      <c r="HR83" s="326"/>
      <c r="HS83" s="326"/>
      <c r="HT83" s="326"/>
      <c r="HU83" s="326"/>
      <c r="HV83" s="326"/>
      <c r="HW83" s="326"/>
      <c r="HX83" s="326"/>
      <c r="HY83" s="326"/>
      <c r="HZ83" s="326"/>
      <c r="IA83" s="326"/>
      <c r="IB83" s="326"/>
      <c r="IC83" s="326"/>
      <c r="ID83" s="326"/>
      <c r="IE83" s="326"/>
      <c r="IF83" s="326"/>
      <c r="IG83" s="326"/>
      <c r="IH83" s="326"/>
      <c r="II83" s="326"/>
      <c r="IJ83" s="326"/>
      <c r="IK83" s="326"/>
      <c r="IL83" s="326"/>
      <c r="IM83" s="326"/>
      <c r="IN83" s="326"/>
      <c r="IO83" s="326"/>
      <c r="IP83" s="326"/>
      <c r="IQ83" s="326"/>
      <c r="IR83" s="326"/>
      <c r="IS83" s="326"/>
      <c r="IT83" s="326"/>
      <c r="IU83" s="326"/>
      <c r="IV83" s="326"/>
    </row>
    <row r="84" spans="1:256" s="560" customFormat="1" ht="19.5" customHeight="1">
      <c r="A84" s="574">
        <v>75</v>
      </c>
      <c r="B84" s="568"/>
      <c r="C84" s="366"/>
      <c r="D84" s="1146" t="s">
        <v>725</v>
      </c>
      <c r="E84" s="335"/>
      <c r="F84" s="564"/>
      <c r="G84" s="336"/>
      <c r="H84" s="773"/>
      <c r="I84" s="1305"/>
      <c r="J84" s="1305"/>
      <c r="K84" s="1305"/>
      <c r="L84" s="1305"/>
      <c r="M84" s="788"/>
      <c r="N84" s="770"/>
      <c r="O84" s="770"/>
      <c r="P84" s="1307">
        <f>SUM(I84:O84)</f>
        <v>0</v>
      </c>
      <c r="Q84" s="565"/>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c r="EI84" s="326"/>
      <c r="EJ84" s="326"/>
      <c r="EK84" s="326"/>
      <c r="EL84" s="326"/>
      <c r="EM84" s="326"/>
      <c r="EN84" s="326"/>
      <c r="EO84" s="326"/>
      <c r="EP84" s="326"/>
      <c r="EQ84" s="326"/>
      <c r="ER84" s="326"/>
      <c r="ES84" s="326"/>
      <c r="ET84" s="326"/>
      <c r="EU84" s="326"/>
      <c r="EV84" s="326"/>
      <c r="EW84" s="326"/>
      <c r="EX84" s="326"/>
      <c r="EY84" s="326"/>
      <c r="EZ84" s="326"/>
      <c r="FA84" s="326"/>
      <c r="FB84" s="326"/>
      <c r="FC84" s="326"/>
      <c r="FD84" s="326"/>
      <c r="FE84" s="326"/>
      <c r="FF84" s="326"/>
      <c r="FG84" s="326"/>
      <c r="FH84" s="326"/>
      <c r="FI84" s="326"/>
      <c r="FJ84" s="326"/>
      <c r="FK84" s="326"/>
      <c r="FL84" s="326"/>
      <c r="FM84" s="326"/>
      <c r="FN84" s="326"/>
      <c r="FO84" s="326"/>
      <c r="FP84" s="326"/>
      <c r="FQ84" s="326"/>
      <c r="FR84" s="326"/>
      <c r="FS84" s="326"/>
      <c r="FT84" s="326"/>
      <c r="FU84" s="326"/>
      <c r="FV84" s="326"/>
      <c r="FW84" s="326"/>
      <c r="FX84" s="326"/>
      <c r="FY84" s="326"/>
      <c r="FZ84" s="326"/>
      <c r="GA84" s="326"/>
      <c r="GB84" s="326"/>
      <c r="GC84" s="326"/>
      <c r="GD84" s="326"/>
      <c r="GE84" s="326"/>
      <c r="GF84" s="326"/>
      <c r="GG84" s="326"/>
      <c r="GH84" s="326"/>
      <c r="GI84" s="326"/>
      <c r="GJ84" s="326"/>
      <c r="GK84" s="326"/>
      <c r="GL84" s="326"/>
      <c r="GM84" s="326"/>
      <c r="GN84" s="326"/>
      <c r="GO84" s="326"/>
      <c r="GP84" s="326"/>
      <c r="GQ84" s="326"/>
      <c r="GR84" s="326"/>
      <c r="GS84" s="326"/>
      <c r="GT84" s="326"/>
      <c r="GU84" s="326"/>
      <c r="GV84" s="326"/>
      <c r="GW84" s="326"/>
      <c r="GX84" s="326"/>
      <c r="GY84" s="326"/>
      <c r="GZ84" s="326"/>
      <c r="HA84" s="326"/>
      <c r="HB84" s="326"/>
      <c r="HC84" s="326"/>
      <c r="HD84" s="326"/>
      <c r="HE84" s="326"/>
      <c r="HF84" s="326"/>
      <c r="HG84" s="326"/>
      <c r="HH84" s="326"/>
      <c r="HI84" s="326"/>
      <c r="HJ84" s="326"/>
      <c r="HK84" s="326"/>
      <c r="HL84" s="326"/>
      <c r="HM84" s="326"/>
      <c r="HN84" s="326"/>
      <c r="HO84" s="326"/>
      <c r="HP84" s="326"/>
      <c r="HQ84" s="326"/>
      <c r="HR84" s="326"/>
      <c r="HS84" s="326"/>
      <c r="HT84" s="326"/>
      <c r="HU84" s="326"/>
      <c r="HV84" s="326"/>
      <c r="HW84" s="326"/>
      <c r="HX84" s="326"/>
      <c r="HY84" s="326"/>
      <c r="HZ84" s="326"/>
      <c r="IA84" s="326"/>
      <c r="IB84" s="326"/>
      <c r="IC84" s="326"/>
      <c r="ID84" s="326"/>
      <c r="IE84" s="326"/>
      <c r="IF84" s="326"/>
      <c r="IG84" s="326"/>
      <c r="IH84" s="326"/>
      <c r="II84" s="326"/>
      <c r="IJ84" s="326"/>
      <c r="IK84" s="326"/>
      <c r="IL84" s="326"/>
      <c r="IM84" s="326"/>
      <c r="IN84" s="326"/>
      <c r="IO84" s="326"/>
      <c r="IP84" s="326"/>
      <c r="IQ84" s="326"/>
      <c r="IR84" s="326"/>
      <c r="IS84" s="326"/>
      <c r="IT84" s="326"/>
      <c r="IU84" s="326"/>
      <c r="IV84" s="326"/>
    </row>
    <row r="85" spans="1:256" s="560" customFormat="1" ht="19.5" customHeight="1" thickBot="1">
      <c r="A85" s="574">
        <v>76</v>
      </c>
      <c r="B85" s="568"/>
      <c r="C85" s="1014"/>
      <c r="D85" s="483" t="s">
        <v>1091</v>
      </c>
      <c r="E85" s="1335"/>
      <c r="F85" s="1341"/>
      <c r="G85" s="1499"/>
      <c r="H85" s="1301"/>
      <c r="I85" s="1342">
        <f>SUM(I83:I84)</f>
        <v>3385</v>
      </c>
      <c r="J85" s="1342">
        <f>SUM(J83:J84)</f>
        <v>524</v>
      </c>
      <c r="K85" s="1342">
        <f>SUM(K83:K84)</f>
        <v>268270</v>
      </c>
      <c r="L85" s="1342">
        <f>SUM(L83:L84)</f>
        <v>73500</v>
      </c>
      <c r="M85" s="1323"/>
      <c r="N85" s="1330"/>
      <c r="O85" s="1330"/>
      <c r="P85" s="569">
        <f>SUM(I85:O85)</f>
        <v>345679</v>
      </c>
      <c r="Q85" s="1304"/>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c r="BY85" s="326"/>
      <c r="BZ85" s="326"/>
      <c r="CA85" s="326"/>
      <c r="CB85" s="326"/>
      <c r="CC85" s="326"/>
      <c r="CD85" s="326"/>
      <c r="CE85" s="326"/>
      <c r="CF85" s="326"/>
      <c r="CG85" s="326"/>
      <c r="CH85" s="326"/>
      <c r="CI85" s="326"/>
      <c r="CJ85" s="326"/>
      <c r="CK85" s="326"/>
      <c r="CL85" s="326"/>
      <c r="CM85" s="326"/>
      <c r="CN85" s="326"/>
      <c r="CO85" s="326"/>
      <c r="CP85" s="326"/>
      <c r="CQ85" s="326"/>
      <c r="CR85" s="326"/>
      <c r="CS85" s="326"/>
      <c r="CT85" s="326"/>
      <c r="CU85" s="326"/>
      <c r="CV85" s="326"/>
      <c r="CW85" s="326"/>
      <c r="CX85" s="326"/>
      <c r="CY85" s="326"/>
      <c r="CZ85" s="326"/>
      <c r="DA85" s="326"/>
      <c r="DB85" s="326"/>
      <c r="DC85" s="326"/>
      <c r="DD85" s="326"/>
      <c r="DE85" s="326"/>
      <c r="DF85" s="326"/>
      <c r="DG85" s="326"/>
      <c r="DH85" s="326"/>
      <c r="DI85" s="326"/>
      <c r="DJ85" s="326"/>
      <c r="DK85" s="326"/>
      <c r="DL85" s="326"/>
      <c r="DM85" s="326"/>
      <c r="DN85" s="326"/>
      <c r="DO85" s="326"/>
      <c r="DP85" s="326"/>
      <c r="DQ85" s="326"/>
      <c r="DR85" s="326"/>
      <c r="DS85" s="326"/>
      <c r="DT85" s="326"/>
      <c r="DU85" s="326"/>
      <c r="DV85" s="326"/>
      <c r="DW85" s="326"/>
      <c r="DX85" s="326"/>
      <c r="DY85" s="326"/>
      <c r="DZ85" s="326"/>
      <c r="EA85" s="326"/>
      <c r="EB85" s="326"/>
      <c r="EC85" s="326"/>
      <c r="ED85" s="326"/>
      <c r="EE85" s="326"/>
      <c r="EF85" s="326"/>
      <c r="EG85" s="326"/>
      <c r="EH85" s="326"/>
      <c r="EI85" s="326"/>
      <c r="EJ85" s="326"/>
      <c r="EK85" s="326"/>
      <c r="EL85" s="326"/>
      <c r="EM85" s="326"/>
      <c r="EN85" s="326"/>
      <c r="EO85" s="326"/>
      <c r="EP85" s="326"/>
      <c r="EQ85" s="326"/>
      <c r="ER85" s="326"/>
      <c r="ES85" s="326"/>
      <c r="ET85" s="326"/>
      <c r="EU85" s="326"/>
      <c r="EV85" s="326"/>
      <c r="EW85" s="326"/>
      <c r="EX85" s="326"/>
      <c r="EY85" s="326"/>
      <c r="EZ85" s="326"/>
      <c r="FA85" s="326"/>
      <c r="FB85" s="326"/>
      <c r="FC85" s="326"/>
      <c r="FD85" s="326"/>
      <c r="FE85" s="326"/>
      <c r="FF85" s="326"/>
      <c r="FG85" s="326"/>
      <c r="FH85" s="326"/>
      <c r="FI85" s="326"/>
      <c r="FJ85" s="326"/>
      <c r="FK85" s="326"/>
      <c r="FL85" s="326"/>
      <c r="FM85" s="326"/>
      <c r="FN85" s="326"/>
      <c r="FO85" s="326"/>
      <c r="FP85" s="326"/>
      <c r="FQ85" s="326"/>
      <c r="FR85" s="326"/>
      <c r="FS85" s="326"/>
      <c r="FT85" s="326"/>
      <c r="FU85" s="326"/>
      <c r="FV85" s="326"/>
      <c r="FW85" s="326"/>
      <c r="FX85" s="326"/>
      <c r="FY85" s="326"/>
      <c r="FZ85" s="326"/>
      <c r="GA85" s="326"/>
      <c r="GB85" s="326"/>
      <c r="GC85" s="326"/>
      <c r="GD85" s="326"/>
      <c r="GE85" s="326"/>
      <c r="GF85" s="326"/>
      <c r="GG85" s="326"/>
      <c r="GH85" s="326"/>
      <c r="GI85" s="326"/>
      <c r="GJ85" s="326"/>
      <c r="GK85" s="326"/>
      <c r="GL85" s="326"/>
      <c r="GM85" s="326"/>
      <c r="GN85" s="326"/>
      <c r="GO85" s="326"/>
      <c r="GP85" s="326"/>
      <c r="GQ85" s="326"/>
      <c r="GR85" s="326"/>
      <c r="GS85" s="326"/>
      <c r="GT85" s="326"/>
      <c r="GU85" s="326"/>
      <c r="GV85" s="326"/>
      <c r="GW85" s="326"/>
      <c r="GX85" s="326"/>
      <c r="GY85" s="326"/>
      <c r="GZ85" s="326"/>
      <c r="HA85" s="326"/>
      <c r="HB85" s="326"/>
      <c r="HC85" s="326"/>
      <c r="HD85" s="326"/>
      <c r="HE85" s="326"/>
      <c r="HF85" s="326"/>
      <c r="HG85" s="326"/>
      <c r="HH85" s="326"/>
      <c r="HI85" s="326"/>
      <c r="HJ85" s="326"/>
      <c r="HK85" s="326"/>
      <c r="HL85" s="326"/>
      <c r="HM85" s="326"/>
      <c r="HN85" s="326"/>
      <c r="HO85" s="326"/>
      <c r="HP85" s="326"/>
      <c r="HQ85" s="326"/>
      <c r="HR85" s="326"/>
      <c r="HS85" s="326"/>
      <c r="HT85" s="326"/>
      <c r="HU85" s="326"/>
      <c r="HV85" s="326"/>
      <c r="HW85" s="326"/>
      <c r="HX85" s="326"/>
      <c r="HY85" s="326"/>
      <c r="HZ85" s="326"/>
      <c r="IA85" s="326"/>
      <c r="IB85" s="326"/>
      <c r="IC85" s="326"/>
      <c r="ID85" s="326"/>
      <c r="IE85" s="326"/>
      <c r="IF85" s="326"/>
      <c r="IG85" s="326"/>
      <c r="IH85" s="326"/>
      <c r="II85" s="326"/>
      <c r="IJ85" s="326"/>
      <c r="IK85" s="326"/>
      <c r="IL85" s="326"/>
      <c r="IM85" s="326"/>
      <c r="IN85" s="326"/>
      <c r="IO85" s="326"/>
      <c r="IP85" s="326"/>
      <c r="IQ85" s="326"/>
      <c r="IR85" s="326"/>
      <c r="IS85" s="326"/>
      <c r="IT85" s="326"/>
      <c r="IU85" s="326"/>
      <c r="IV85" s="326"/>
    </row>
    <row r="86" spans="1:17" ht="24.75" customHeight="1" thickTop="1">
      <c r="A86" s="574">
        <v>77</v>
      </c>
      <c r="B86" s="466"/>
      <c r="C86" s="1348"/>
      <c r="D86" s="1535" t="s">
        <v>612</v>
      </c>
      <c r="E86" s="1358">
        <f>E82</f>
        <v>380582</v>
      </c>
      <c r="F86" s="1358">
        <f>F82</f>
        <v>0</v>
      </c>
      <c r="G86" s="1358">
        <f>G82</f>
        <v>0</v>
      </c>
      <c r="H86" s="1349"/>
      <c r="I86" s="1350"/>
      <c r="J86" s="1350"/>
      <c r="K86" s="1350"/>
      <c r="L86" s="1350"/>
      <c r="M86" s="1350"/>
      <c r="N86" s="1350"/>
      <c r="O86" s="1350"/>
      <c r="P86" s="1350"/>
      <c r="Q86" s="1376"/>
    </row>
    <row r="87" spans="1:17" ht="19.5" customHeight="1">
      <c r="A87" s="574">
        <v>78</v>
      </c>
      <c r="B87" s="466"/>
      <c r="C87" s="366"/>
      <c r="D87" s="828" t="s">
        <v>283</v>
      </c>
      <c r="E87" s="1018"/>
      <c r="F87" s="1018"/>
      <c r="G87" s="1506"/>
      <c r="H87" s="1352"/>
      <c r="I87" s="771">
        <f>I82</f>
        <v>0</v>
      </c>
      <c r="J87" s="771">
        <f aca="true" t="shared" si="12" ref="J87:P88">J82</f>
        <v>0</v>
      </c>
      <c r="K87" s="771">
        <f t="shared" si="12"/>
        <v>181300</v>
      </c>
      <c r="L87" s="771">
        <f t="shared" si="12"/>
        <v>78400</v>
      </c>
      <c r="M87" s="771">
        <f t="shared" si="12"/>
        <v>0</v>
      </c>
      <c r="N87" s="771">
        <f t="shared" si="12"/>
        <v>0</v>
      </c>
      <c r="O87" s="771">
        <f t="shared" si="12"/>
        <v>0</v>
      </c>
      <c r="P87" s="771">
        <f t="shared" si="12"/>
        <v>259700</v>
      </c>
      <c r="Q87" s="1375"/>
    </row>
    <row r="88" spans="1:17" ht="19.5" customHeight="1">
      <c r="A88" s="574">
        <v>79</v>
      </c>
      <c r="B88" s="466"/>
      <c r="C88" s="366"/>
      <c r="D88" s="483" t="s">
        <v>938</v>
      </c>
      <c r="E88" s="1018"/>
      <c r="F88" s="1018"/>
      <c r="G88" s="1506"/>
      <c r="H88" s="1352"/>
      <c r="I88" s="1308">
        <f>I83</f>
        <v>3385</v>
      </c>
      <c r="J88" s="1308">
        <f aca="true" t="shared" si="13" ref="J88:O88">J83</f>
        <v>524</v>
      </c>
      <c r="K88" s="1308">
        <f t="shared" si="13"/>
        <v>268270</v>
      </c>
      <c r="L88" s="1308">
        <f t="shared" si="13"/>
        <v>73500</v>
      </c>
      <c r="M88" s="1308">
        <f t="shared" si="13"/>
        <v>0</v>
      </c>
      <c r="N88" s="1308">
        <f t="shared" si="13"/>
        <v>0</v>
      </c>
      <c r="O88" s="1308">
        <f t="shared" si="13"/>
        <v>0</v>
      </c>
      <c r="P88" s="1308">
        <f t="shared" si="12"/>
        <v>345679</v>
      </c>
      <c r="Q88" s="1375"/>
    </row>
    <row r="89" spans="1:17" ht="19.5" customHeight="1">
      <c r="A89" s="574">
        <v>80</v>
      </c>
      <c r="B89" s="466"/>
      <c r="C89" s="366"/>
      <c r="D89" s="1146" t="s">
        <v>674</v>
      </c>
      <c r="E89" s="1018"/>
      <c r="F89" s="1018"/>
      <c r="G89" s="1506"/>
      <c r="H89" s="1352"/>
      <c r="I89" s="1305">
        <f>I84</f>
        <v>0</v>
      </c>
      <c r="J89" s="1305">
        <f aca="true" t="shared" si="14" ref="J89:O89">J84</f>
        <v>0</v>
      </c>
      <c r="K89" s="1305">
        <f t="shared" si="14"/>
        <v>0</v>
      </c>
      <c r="L89" s="1305">
        <f t="shared" si="14"/>
        <v>0</v>
      </c>
      <c r="M89" s="1305">
        <f t="shared" si="14"/>
        <v>0</v>
      </c>
      <c r="N89" s="1305">
        <f t="shared" si="14"/>
        <v>0</v>
      </c>
      <c r="O89" s="1305">
        <f t="shared" si="14"/>
        <v>0</v>
      </c>
      <c r="P89" s="1307">
        <f>SUM(I89:O89)</f>
        <v>0</v>
      </c>
      <c r="Q89" s="1375"/>
    </row>
    <row r="90" spans="1:17" ht="19.5" customHeight="1" thickBot="1">
      <c r="A90" s="574">
        <v>81</v>
      </c>
      <c r="B90" s="466"/>
      <c r="C90" s="1343"/>
      <c r="D90" s="1157" t="s">
        <v>1091</v>
      </c>
      <c r="E90" s="1373"/>
      <c r="F90" s="1373"/>
      <c r="G90" s="1510"/>
      <c r="H90" s="1345"/>
      <c r="I90" s="1346">
        <f>SUM(I88:I89)</f>
        <v>3385</v>
      </c>
      <c r="J90" s="1346">
        <f aca="true" t="shared" si="15" ref="J90:P90">SUM(J88:J89)</f>
        <v>524</v>
      </c>
      <c r="K90" s="1346">
        <f t="shared" si="15"/>
        <v>268270</v>
      </c>
      <c r="L90" s="1346">
        <f t="shared" si="15"/>
        <v>73500</v>
      </c>
      <c r="M90" s="1346">
        <f t="shared" si="15"/>
        <v>0</v>
      </c>
      <c r="N90" s="1346">
        <f t="shared" si="15"/>
        <v>0</v>
      </c>
      <c r="O90" s="1346">
        <f t="shared" si="15"/>
        <v>0</v>
      </c>
      <c r="P90" s="1346">
        <f t="shared" si="15"/>
        <v>345679</v>
      </c>
      <c r="Q90" s="1374"/>
    </row>
    <row r="91" spans="1:256" s="560" customFormat="1" ht="24.75" customHeight="1" thickTop="1">
      <c r="A91" s="574">
        <v>82</v>
      </c>
      <c r="B91" s="568"/>
      <c r="C91" s="809">
        <v>5</v>
      </c>
      <c r="D91" s="816" t="s">
        <v>650</v>
      </c>
      <c r="E91" s="1026"/>
      <c r="F91" s="1026"/>
      <c r="G91" s="984"/>
      <c r="H91" s="1065" t="s">
        <v>23</v>
      </c>
      <c r="I91" s="1026"/>
      <c r="J91" s="1026"/>
      <c r="K91" s="1026"/>
      <c r="L91" s="1026"/>
      <c r="M91" s="1026"/>
      <c r="N91" s="1026"/>
      <c r="O91" s="1026"/>
      <c r="P91" s="984"/>
      <c r="Q91" s="1025"/>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6"/>
      <c r="CA91" s="326"/>
      <c r="CB91" s="326"/>
      <c r="CC91" s="326"/>
      <c r="CD91" s="326"/>
      <c r="CE91" s="326"/>
      <c r="CF91" s="326"/>
      <c r="CG91" s="326"/>
      <c r="CH91" s="326"/>
      <c r="CI91" s="326"/>
      <c r="CJ91" s="326"/>
      <c r="CK91" s="326"/>
      <c r="CL91" s="326"/>
      <c r="CM91" s="326"/>
      <c r="CN91" s="326"/>
      <c r="CO91" s="326"/>
      <c r="CP91" s="326"/>
      <c r="CQ91" s="326"/>
      <c r="CR91" s="326"/>
      <c r="CS91" s="326"/>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6"/>
      <c r="EB91" s="326"/>
      <c r="EC91" s="326"/>
      <c r="ED91" s="326"/>
      <c r="EE91" s="326"/>
      <c r="EF91" s="326"/>
      <c r="EG91" s="326"/>
      <c r="EH91" s="326"/>
      <c r="EI91" s="326"/>
      <c r="EJ91" s="326"/>
      <c r="EK91" s="326"/>
      <c r="EL91" s="326"/>
      <c r="EM91" s="326"/>
      <c r="EN91" s="326"/>
      <c r="EO91" s="326"/>
      <c r="EP91" s="326"/>
      <c r="EQ91" s="326"/>
      <c r="ER91" s="326"/>
      <c r="ES91" s="326"/>
      <c r="ET91" s="326"/>
      <c r="EU91" s="326"/>
      <c r="EV91" s="326"/>
      <c r="EW91" s="326"/>
      <c r="EX91" s="326"/>
      <c r="EY91" s="326"/>
      <c r="EZ91" s="326"/>
      <c r="FA91" s="326"/>
      <c r="FB91" s="326"/>
      <c r="FC91" s="326"/>
      <c r="FD91" s="326"/>
      <c r="FE91" s="326"/>
      <c r="FF91" s="326"/>
      <c r="FG91" s="326"/>
      <c r="FH91" s="326"/>
      <c r="FI91" s="326"/>
      <c r="FJ91" s="326"/>
      <c r="FK91" s="326"/>
      <c r="FL91" s="326"/>
      <c r="FM91" s="326"/>
      <c r="FN91" s="326"/>
      <c r="FO91" s="326"/>
      <c r="FP91" s="326"/>
      <c r="FQ91" s="326"/>
      <c r="FR91" s="326"/>
      <c r="FS91" s="326"/>
      <c r="FT91" s="326"/>
      <c r="FU91" s="326"/>
      <c r="FV91" s="326"/>
      <c r="FW91" s="326"/>
      <c r="FX91" s="326"/>
      <c r="FY91" s="326"/>
      <c r="FZ91" s="326"/>
      <c r="GA91" s="326"/>
      <c r="GB91" s="326"/>
      <c r="GC91" s="326"/>
      <c r="GD91" s="326"/>
      <c r="GE91" s="326"/>
      <c r="GF91" s="326"/>
      <c r="GG91" s="326"/>
      <c r="GH91" s="326"/>
      <c r="GI91" s="326"/>
      <c r="GJ91" s="326"/>
      <c r="GK91" s="326"/>
      <c r="GL91" s="326"/>
      <c r="GM91" s="326"/>
      <c r="GN91" s="326"/>
      <c r="GO91" s="326"/>
      <c r="GP91" s="326"/>
      <c r="GQ91" s="326"/>
      <c r="GR91" s="326"/>
      <c r="GS91" s="326"/>
      <c r="GT91" s="326"/>
      <c r="GU91" s="326"/>
      <c r="GV91" s="326"/>
      <c r="GW91" s="326"/>
      <c r="GX91" s="326"/>
      <c r="GY91" s="326"/>
      <c r="GZ91" s="326"/>
      <c r="HA91" s="326"/>
      <c r="HB91" s="326"/>
      <c r="HC91" s="326"/>
      <c r="HD91" s="326"/>
      <c r="HE91" s="326"/>
      <c r="HF91" s="326"/>
      <c r="HG91" s="326"/>
      <c r="HH91" s="326"/>
      <c r="HI91" s="326"/>
      <c r="HJ91" s="326"/>
      <c r="HK91" s="326"/>
      <c r="HL91" s="326"/>
      <c r="HM91" s="326"/>
      <c r="HN91" s="326"/>
      <c r="HO91" s="326"/>
      <c r="HP91" s="326"/>
      <c r="HQ91" s="326"/>
      <c r="HR91" s="326"/>
      <c r="HS91" s="326"/>
      <c r="HT91" s="326"/>
      <c r="HU91" s="326"/>
      <c r="HV91" s="326"/>
      <c r="HW91" s="326"/>
      <c r="HX91" s="326"/>
      <c r="HY91" s="326"/>
      <c r="HZ91" s="326"/>
      <c r="IA91" s="326"/>
      <c r="IB91" s="326"/>
      <c r="IC91" s="326"/>
      <c r="ID91" s="326"/>
      <c r="IE91" s="326"/>
      <c r="IF91" s="326"/>
      <c r="IG91" s="326"/>
      <c r="IH91" s="326"/>
      <c r="II91" s="326"/>
      <c r="IJ91" s="326"/>
      <c r="IK91" s="326"/>
      <c r="IL91" s="326"/>
      <c r="IM91" s="326"/>
      <c r="IN91" s="326"/>
      <c r="IO91" s="326"/>
      <c r="IP91" s="326"/>
      <c r="IQ91" s="326"/>
      <c r="IR91" s="326"/>
      <c r="IS91" s="326"/>
      <c r="IT91" s="326"/>
      <c r="IU91" s="326"/>
      <c r="IV91" s="326"/>
    </row>
    <row r="92" spans="1:256" s="560" customFormat="1" ht="35.25" customHeight="1">
      <c r="A92" s="574">
        <v>83</v>
      </c>
      <c r="B92" s="568"/>
      <c r="C92" s="366"/>
      <c r="D92" s="328" t="s">
        <v>653</v>
      </c>
      <c r="E92" s="1018"/>
      <c r="F92" s="1018"/>
      <c r="G92" s="573"/>
      <c r="H92" s="1020"/>
      <c r="I92" s="1018"/>
      <c r="J92" s="1018"/>
      <c r="K92" s="1018"/>
      <c r="L92" s="1018"/>
      <c r="M92" s="1018"/>
      <c r="N92" s="1018"/>
      <c r="O92" s="1018"/>
      <c r="P92" s="573"/>
      <c r="Q92" s="1019"/>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326"/>
      <c r="CW92" s="326"/>
      <c r="CX92" s="326"/>
      <c r="CY92" s="326"/>
      <c r="CZ92" s="326"/>
      <c r="DA92" s="326"/>
      <c r="DB92" s="326"/>
      <c r="DC92" s="326"/>
      <c r="DD92" s="326"/>
      <c r="DE92" s="326"/>
      <c r="DF92" s="326"/>
      <c r="DG92" s="326"/>
      <c r="DH92" s="326"/>
      <c r="DI92" s="326"/>
      <c r="DJ92" s="326"/>
      <c r="DK92" s="326"/>
      <c r="DL92" s="326"/>
      <c r="DM92" s="326"/>
      <c r="DN92" s="326"/>
      <c r="DO92" s="326"/>
      <c r="DP92" s="326"/>
      <c r="DQ92" s="326"/>
      <c r="DR92" s="326"/>
      <c r="DS92" s="326"/>
      <c r="DT92" s="326"/>
      <c r="DU92" s="326"/>
      <c r="DV92" s="326"/>
      <c r="DW92" s="326"/>
      <c r="DX92" s="326"/>
      <c r="DY92" s="326"/>
      <c r="DZ92" s="326"/>
      <c r="EA92" s="326"/>
      <c r="EB92" s="326"/>
      <c r="EC92" s="326"/>
      <c r="ED92" s="326"/>
      <c r="EE92" s="326"/>
      <c r="EF92" s="326"/>
      <c r="EG92" s="326"/>
      <c r="EH92" s="326"/>
      <c r="EI92" s="326"/>
      <c r="EJ92" s="326"/>
      <c r="EK92" s="326"/>
      <c r="EL92" s="326"/>
      <c r="EM92" s="326"/>
      <c r="EN92" s="326"/>
      <c r="EO92" s="326"/>
      <c r="EP92" s="326"/>
      <c r="EQ92" s="326"/>
      <c r="ER92" s="326"/>
      <c r="ES92" s="326"/>
      <c r="ET92" s="326"/>
      <c r="EU92" s="326"/>
      <c r="EV92" s="326"/>
      <c r="EW92" s="326"/>
      <c r="EX92" s="326"/>
      <c r="EY92" s="326"/>
      <c r="EZ92" s="326"/>
      <c r="FA92" s="326"/>
      <c r="FB92" s="326"/>
      <c r="FC92" s="326"/>
      <c r="FD92" s="326"/>
      <c r="FE92" s="326"/>
      <c r="FF92" s="326"/>
      <c r="FG92" s="326"/>
      <c r="FH92" s="326"/>
      <c r="FI92" s="326"/>
      <c r="FJ92" s="326"/>
      <c r="FK92" s="326"/>
      <c r="FL92" s="326"/>
      <c r="FM92" s="326"/>
      <c r="FN92" s="326"/>
      <c r="FO92" s="326"/>
      <c r="FP92" s="326"/>
      <c r="FQ92" s="326"/>
      <c r="FR92" s="326"/>
      <c r="FS92" s="326"/>
      <c r="FT92" s="326"/>
      <c r="FU92" s="326"/>
      <c r="FV92" s="326"/>
      <c r="FW92" s="326"/>
      <c r="FX92" s="326"/>
      <c r="FY92" s="326"/>
      <c r="FZ92" s="326"/>
      <c r="GA92" s="326"/>
      <c r="GB92" s="326"/>
      <c r="GC92" s="326"/>
      <c r="GD92" s="326"/>
      <c r="GE92" s="326"/>
      <c r="GF92" s="326"/>
      <c r="GG92" s="326"/>
      <c r="GH92" s="326"/>
      <c r="GI92" s="326"/>
      <c r="GJ92" s="326"/>
      <c r="GK92" s="326"/>
      <c r="GL92" s="326"/>
      <c r="GM92" s="326"/>
      <c r="GN92" s="326"/>
      <c r="GO92" s="326"/>
      <c r="GP92" s="326"/>
      <c r="GQ92" s="326"/>
      <c r="GR92" s="326"/>
      <c r="GS92" s="326"/>
      <c r="GT92" s="326"/>
      <c r="GU92" s="326"/>
      <c r="GV92" s="326"/>
      <c r="GW92" s="326"/>
      <c r="GX92" s="326"/>
      <c r="GY92" s="326"/>
      <c r="GZ92" s="326"/>
      <c r="HA92" s="326"/>
      <c r="HB92" s="326"/>
      <c r="HC92" s="326"/>
      <c r="HD92" s="326"/>
      <c r="HE92" s="326"/>
      <c r="HF92" s="326"/>
      <c r="HG92" s="326"/>
      <c r="HH92" s="326"/>
      <c r="HI92" s="326"/>
      <c r="HJ92" s="326"/>
      <c r="HK92" s="326"/>
      <c r="HL92" s="326"/>
      <c r="HM92" s="326"/>
      <c r="HN92" s="326"/>
      <c r="HO92" s="326"/>
      <c r="HP92" s="326"/>
      <c r="HQ92" s="326"/>
      <c r="HR92" s="326"/>
      <c r="HS92" s="326"/>
      <c r="HT92" s="326"/>
      <c r="HU92" s="326"/>
      <c r="HV92" s="326"/>
      <c r="HW92" s="326"/>
      <c r="HX92" s="326"/>
      <c r="HY92" s="326"/>
      <c r="HZ92" s="326"/>
      <c r="IA92" s="326"/>
      <c r="IB92" s="326"/>
      <c r="IC92" s="326"/>
      <c r="ID92" s="326"/>
      <c r="IE92" s="326"/>
      <c r="IF92" s="326"/>
      <c r="IG92" s="326"/>
      <c r="IH92" s="326"/>
      <c r="II92" s="326"/>
      <c r="IJ92" s="326"/>
      <c r="IK92" s="326"/>
      <c r="IL92" s="326"/>
      <c r="IM92" s="326"/>
      <c r="IN92" s="326"/>
      <c r="IO92" s="326"/>
      <c r="IP92" s="326"/>
      <c r="IQ92" s="326"/>
      <c r="IR92" s="326"/>
      <c r="IS92" s="326"/>
      <c r="IT92" s="326"/>
      <c r="IU92" s="326"/>
      <c r="IV92" s="326"/>
    </row>
    <row r="93" spans="1:256" s="560" customFormat="1" ht="19.5" customHeight="1">
      <c r="A93" s="574">
        <v>84</v>
      </c>
      <c r="B93" s="568"/>
      <c r="C93" s="820"/>
      <c r="D93" s="761" t="s">
        <v>283</v>
      </c>
      <c r="E93" s="829">
        <f>F93+G93+P96</f>
        <v>495013</v>
      </c>
      <c r="F93" s="1021"/>
      <c r="G93" s="1511"/>
      <c r="H93" s="1022"/>
      <c r="I93" s="1021"/>
      <c r="J93" s="1021"/>
      <c r="K93" s="1021"/>
      <c r="L93" s="1021"/>
      <c r="M93" s="764">
        <v>363855</v>
      </c>
      <c r="N93" s="1021"/>
      <c r="O93" s="1021"/>
      <c r="P93" s="758">
        <f>SUM(I93:O93)</f>
        <v>363855</v>
      </c>
      <c r="Q93" s="1023"/>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c r="BM93" s="326"/>
      <c r="BN93" s="326"/>
      <c r="BO93" s="326"/>
      <c r="BP93" s="326"/>
      <c r="BQ93" s="326"/>
      <c r="BR93" s="326"/>
      <c r="BS93" s="326"/>
      <c r="BT93" s="326"/>
      <c r="BU93" s="326"/>
      <c r="BV93" s="326"/>
      <c r="BW93" s="326"/>
      <c r="BX93" s="326"/>
      <c r="BY93" s="326"/>
      <c r="BZ93" s="326"/>
      <c r="CA93" s="326"/>
      <c r="CB93" s="326"/>
      <c r="CC93" s="326"/>
      <c r="CD93" s="326"/>
      <c r="CE93" s="326"/>
      <c r="CF93" s="326"/>
      <c r="CG93" s="326"/>
      <c r="CH93" s="326"/>
      <c r="CI93" s="326"/>
      <c r="CJ93" s="326"/>
      <c r="CK93" s="326"/>
      <c r="CL93" s="326"/>
      <c r="CM93" s="326"/>
      <c r="CN93" s="326"/>
      <c r="CO93" s="326"/>
      <c r="CP93" s="326"/>
      <c r="CQ93" s="326"/>
      <c r="CR93" s="326"/>
      <c r="CS93" s="326"/>
      <c r="CT93" s="326"/>
      <c r="CU93" s="326"/>
      <c r="CV93" s="326"/>
      <c r="CW93" s="326"/>
      <c r="CX93" s="326"/>
      <c r="CY93" s="326"/>
      <c r="CZ93" s="326"/>
      <c r="DA93" s="326"/>
      <c r="DB93" s="326"/>
      <c r="DC93" s="326"/>
      <c r="DD93" s="326"/>
      <c r="DE93" s="326"/>
      <c r="DF93" s="326"/>
      <c r="DG93" s="326"/>
      <c r="DH93" s="326"/>
      <c r="DI93" s="326"/>
      <c r="DJ93" s="326"/>
      <c r="DK93" s="326"/>
      <c r="DL93" s="326"/>
      <c r="DM93" s="326"/>
      <c r="DN93" s="326"/>
      <c r="DO93" s="326"/>
      <c r="DP93" s="326"/>
      <c r="DQ93" s="326"/>
      <c r="DR93" s="326"/>
      <c r="DS93" s="326"/>
      <c r="DT93" s="326"/>
      <c r="DU93" s="326"/>
      <c r="DV93" s="326"/>
      <c r="DW93" s="326"/>
      <c r="DX93" s="326"/>
      <c r="DY93" s="326"/>
      <c r="DZ93" s="326"/>
      <c r="EA93" s="326"/>
      <c r="EB93" s="326"/>
      <c r="EC93" s="326"/>
      <c r="ED93" s="326"/>
      <c r="EE93" s="326"/>
      <c r="EF93" s="326"/>
      <c r="EG93" s="326"/>
      <c r="EH93" s="326"/>
      <c r="EI93" s="326"/>
      <c r="EJ93" s="326"/>
      <c r="EK93" s="326"/>
      <c r="EL93" s="326"/>
      <c r="EM93" s="326"/>
      <c r="EN93" s="326"/>
      <c r="EO93" s="326"/>
      <c r="EP93" s="326"/>
      <c r="EQ93" s="326"/>
      <c r="ER93" s="326"/>
      <c r="ES93" s="326"/>
      <c r="ET93" s="326"/>
      <c r="EU93" s="326"/>
      <c r="EV93" s="326"/>
      <c r="EW93" s="326"/>
      <c r="EX93" s="326"/>
      <c r="EY93" s="326"/>
      <c r="EZ93" s="326"/>
      <c r="FA93" s="326"/>
      <c r="FB93" s="326"/>
      <c r="FC93" s="326"/>
      <c r="FD93" s="326"/>
      <c r="FE93" s="326"/>
      <c r="FF93" s="326"/>
      <c r="FG93" s="326"/>
      <c r="FH93" s="326"/>
      <c r="FI93" s="326"/>
      <c r="FJ93" s="326"/>
      <c r="FK93" s="326"/>
      <c r="FL93" s="326"/>
      <c r="FM93" s="326"/>
      <c r="FN93" s="326"/>
      <c r="FO93" s="326"/>
      <c r="FP93" s="326"/>
      <c r="FQ93" s="326"/>
      <c r="FR93" s="326"/>
      <c r="FS93" s="326"/>
      <c r="FT93" s="326"/>
      <c r="FU93" s="326"/>
      <c r="FV93" s="326"/>
      <c r="FW93" s="326"/>
      <c r="FX93" s="326"/>
      <c r="FY93" s="326"/>
      <c r="FZ93" s="326"/>
      <c r="GA93" s="326"/>
      <c r="GB93" s="326"/>
      <c r="GC93" s="326"/>
      <c r="GD93" s="326"/>
      <c r="GE93" s="326"/>
      <c r="GF93" s="326"/>
      <c r="GG93" s="326"/>
      <c r="GH93" s="326"/>
      <c r="GI93" s="326"/>
      <c r="GJ93" s="326"/>
      <c r="GK93" s="326"/>
      <c r="GL93" s="326"/>
      <c r="GM93" s="326"/>
      <c r="GN93" s="326"/>
      <c r="GO93" s="326"/>
      <c r="GP93" s="326"/>
      <c r="GQ93" s="326"/>
      <c r="GR93" s="326"/>
      <c r="GS93" s="326"/>
      <c r="GT93" s="326"/>
      <c r="GU93" s="326"/>
      <c r="GV93" s="326"/>
      <c r="GW93" s="326"/>
      <c r="GX93" s="326"/>
      <c r="GY93" s="326"/>
      <c r="GZ93" s="326"/>
      <c r="HA93" s="326"/>
      <c r="HB93" s="326"/>
      <c r="HC93" s="326"/>
      <c r="HD93" s="326"/>
      <c r="HE93" s="326"/>
      <c r="HF93" s="326"/>
      <c r="HG93" s="326"/>
      <c r="HH93" s="326"/>
      <c r="HI93" s="326"/>
      <c r="HJ93" s="326"/>
      <c r="HK93" s="326"/>
      <c r="HL93" s="326"/>
      <c r="HM93" s="326"/>
      <c r="HN93" s="326"/>
      <c r="HO93" s="326"/>
      <c r="HP93" s="326"/>
      <c r="HQ93" s="326"/>
      <c r="HR93" s="326"/>
      <c r="HS93" s="326"/>
      <c r="HT93" s="326"/>
      <c r="HU93" s="326"/>
      <c r="HV93" s="326"/>
      <c r="HW93" s="326"/>
      <c r="HX93" s="326"/>
      <c r="HY93" s="326"/>
      <c r="HZ93" s="326"/>
      <c r="IA93" s="326"/>
      <c r="IB93" s="326"/>
      <c r="IC93" s="326"/>
      <c r="ID93" s="326"/>
      <c r="IE93" s="326"/>
      <c r="IF93" s="326"/>
      <c r="IG93" s="326"/>
      <c r="IH93" s="326"/>
      <c r="II93" s="326"/>
      <c r="IJ93" s="326"/>
      <c r="IK93" s="326"/>
      <c r="IL93" s="326"/>
      <c r="IM93" s="326"/>
      <c r="IN93" s="326"/>
      <c r="IO93" s="326"/>
      <c r="IP93" s="326"/>
      <c r="IQ93" s="326"/>
      <c r="IR93" s="326"/>
      <c r="IS93" s="326"/>
      <c r="IT93" s="326"/>
      <c r="IU93" s="326"/>
      <c r="IV93" s="326"/>
    </row>
    <row r="94" spans="1:256" s="560" customFormat="1" ht="19.5" customHeight="1">
      <c r="A94" s="574">
        <v>85</v>
      </c>
      <c r="B94" s="568"/>
      <c r="C94" s="820"/>
      <c r="D94" s="483" t="s">
        <v>938</v>
      </c>
      <c r="E94" s="829"/>
      <c r="F94" s="1021"/>
      <c r="G94" s="1511"/>
      <c r="H94" s="1022"/>
      <c r="I94" s="1021"/>
      <c r="J94" s="1021"/>
      <c r="K94" s="1021">
        <v>12573</v>
      </c>
      <c r="L94" s="1021"/>
      <c r="M94" s="1309">
        <v>446282</v>
      </c>
      <c r="N94" s="1021"/>
      <c r="O94" s="1021"/>
      <c r="P94" s="569">
        <f>SUM(I94:O94)</f>
        <v>458855</v>
      </c>
      <c r="Q94" s="1023"/>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326"/>
      <c r="CW94" s="326"/>
      <c r="CX94" s="326"/>
      <c r="CY94" s="326"/>
      <c r="CZ94" s="326"/>
      <c r="DA94" s="326"/>
      <c r="DB94" s="326"/>
      <c r="DC94" s="326"/>
      <c r="DD94" s="326"/>
      <c r="DE94" s="326"/>
      <c r="DF94" s="326"/>
      <c r="DG94" s="326"/>
      <c r="DH94" s="326"/>
      <c r="DI94" s="326"/>
      <c r="DJ94" s="326"/>
      <c r="DK94" s="326"/>
      <c r="DL94" s="326"/>
      <c r="DM94" s="326"/>
      <c r="DN94" s="326"/>
      <c r="DO94" s="326"/>
      <c r="DP94" s="326"/>
      <c r="DQ94" s="326"/>
      <c r="DR94" s="326"/>
      <c r="DS94" s="326"/>
      <c r="DT94" s="326"/>
      <c r="DU94" s="326"/>
      <c r="DV94" s="326"/>
      <c r="DW94" s="326"/>
      <c r="DX94" s="326"/>
      <c r="DY94" s="326"/>
      <c r="DZ94" s="326"/>
      <c r="EA94" s="326"/>
      <c r="EB94" s="326"/>
      <c r="EC94" s="326"/>
      <c r="ED94" s="326"/>
      <c r="EE94" s="326"/>
      <c r="EF94" s="326"/>
      <c r="EG94" s="326"/>
      <c r="EH94" s="326"/>
      <c r="EI94" s="326"/>
      <c r="EJ94" s="326"/>
      <c r="EK94" s="326"/>
      <c r="EL94" s="326"/>
      <c r="EM94" s="326"/>
      <c r="EN94" s="326"/>
      <c r="EO94" s="326"/>
      <c r="EP94" s="326"/>
      <c r="EQ94" s="326"/>
      <c r="ER94" s="326"/>
      <c r="ES94" s="326"/>
      <c r="ET94" s="326"/>
      <c r="EU94" s="326"/>
      <c r="EV94" s="326"/>
      <c r="EW94" s="326"/>
      <c r="EX94" s="326"/>
      <c r="EY94" s="326"/>
      <c r="EZ94" s="326"/>
      <c r="FA94" s="326"/>
      <c r="FB94" s="326"/>
      <c r="FC94" s="326"/>
      <c r="FD94" s="326"/>
      <c r="FE94" s="326"/>
      <c r="FF94" s="326"/>
      <c r="FG94" s="326"/>
      <c r="FH94" s="326"/>
      <c r="FI94" s="326"/>
      <c r="FJ94" s="326"/>
      <c r="FK94" s="326"/>
      <c r="FL94" s="326"/>
      <c r="FM94" s="326"/>
      <c r="FN94" s="326"/>
      <c r="FO94" s="326"/>
      <c r="FP94" s="326"/>
      <c r="FQ94" s="326"/>
      <c r="FR94" s="326"/>
      <c r="FS94" s="326"/>
      <c r="FT94" s="326"/>
      <c r="FU94" s="326"/>
      <c r="FV94" s="326"/>
      <c r="FW94" s="326"/>
      <c r="FX94" s="326"/>
      <c r="FY94" s="326"/>
      <c r="FZ94" s="326"/>
      <c r="GA94" s="326"/>
      <c r="GB94" s="326"/>
      <c r="GC94" s="326"/>
      <c r="GD94" s="326"/>
      <c r="GE94" s="326"/>
      <c r="GF94" s="326"/>
      <c r="GG94" s="326"/>
      <c r="GH94" s="326"/>
      <c r="GI94" s="326"/>
      <c r="GJ94" s="326"/>
      <c r="GK94" s="326"/>
      <c r="GL94" s="326"/>
      <c r="GM94" s="326"/>
      <c r="GN94" s="326"/>
      <c r="GO94" s="326"/>
      <c r="GP94" s="326"/>
      <c r="GQ94" s="326"/>
      <c r="GR94" s="326"/>
      <c r="GS94" s="326"/>
      <c r="GT94" s="326"/>
      <c r="GU94" s="326"/>
      <c r="GV94" s="326"/>
      <c r="GW94" s="326"/>
      <c r="GX94" s="326"/>
      <c r="GY94" s="326"/>
      <c r="GZ94" s="326"/>
      <c r="HA94" s="326"/>
      <c r="HB94" s="326"/>
      <c r="HC94" s="326"/>
      <c r="HD94" s="326"/>
      <c r="HE94" s="326"/>
      <c r="HF94" s="326"/>
      <c r="HG94" s="326"/>
      <c r="HH94" s="326"/>
      <c r="HI94" s="326"/>
      <c r="HJ94" s="326"/>
      <c r="HK94" s="326"/>
      <c r="HL94" s="326"/>
      <c r="HM94" s="326"/>
      <c r="HN94" s="326"/>
      <c r="HO94" s="326"/>
      <c r="HP94" s="326"/>
      <c r="HQ94" s="326"/>
      <c r="HR94" s="326"/>
      <c r="HS94" s="326"/>
      <c r="HT94" s="326"/>
      <c r="HU94" s="326"/>
      <c r="HV94" s="326"/>
      <c r="HW94" s="326"/>
      <c r="HX94" s="326"/>
      <c r="HY94" s="326"/>
      <c r="HZ94" s="326"/>
      <c r="IA94" s="326"/>
      <c r="IB94" s="326"/>
      <c r="IC94" s="326"/>
      <c r="ID94" s="326"/>
      <c r="IE94" s="326"/>
      <c r="IF94" s="326"/>
      <c r="IG94" s="326"/>
      <c r="IH94" s="326"/>
      <c r="II94" s="326"/>
      <c r="IJ94" s="326"/>
      <c r="IK94" s="326"/>
      <c r="IL94" s="326"/>
      <c r="IM94" s="326"/>
      <c r="IN94" s="326"/>
      <c r="IO94" s="326"/>
      <c r="IP94" s="326"/>
      <c r="IQ94" s="326"/>
      <c r="IR94" s="326"/>
      <c r="IS94" s="326"/>
      <c r="IT94" s="326"/>
      <c r="IU94" s="326"/>
      <c r="IV94" s="326"/>
    </row>
    <row r="95" spans="1:256" s="560" customFormat="1" ht="19.5" customHeight="1">
      <c r="A95" s="574">
        <v>86</v>
      </c>
      <c r="B95" s="568"/>
      <c r="C95" s="820"/>
      <c r="D95" s="1146" t="s">
        <v>689</v>
      </c>
      <c r="E95" s="829"/>
      <c r="F95" s="1021"/>
      <c r="G95" s="1511"/>
      <c r="H95" s="1022"/>
      <c r="I95" s="1021"/>
      <c r="J95" s="1021"/>
      <c r="K95" s="1729"/>
      <c r="L95" s="1021"/>
      <c r="M95" s="1306">
        <v>36158</v>
      </c>
      <c r="N95" s="1021"/>
      <c r="O95" s="1021"/>
      <c r="P95" s="1307">
        <f>SUM(I95:O95)</f>
        <v>36158</v>
      </c>
      <c r="Q95" s="1023"/>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c r="BM95" s="326"/>
      <c r="BN95" s="326"/>
      <c r="BO95" s="326"/>
      <c r="BP95" s="326"/>
      <c r="BQ95" s="326"/>
      <c r="BR95" s="326"/>
      <c r="BS95" s="326"/>
      <c r="BT95" s="326"/>
      <c r="BU95" s="326"/>
      <c r="BV95" s="326"/>
      <c r="BW95" s="326"/>
      <c r="BX95" s="326"/>
      <c r="BY95" s="326"/>
      <c r="BZ95" s="326"/>
      <c r="CA95" s="326"/>
      <c r="CB95" s="326"/>
      <c r="CC95" s="326"/>
      <c r="CD95" s="326"/>
      <c r="CE95" s="326"/>
      <c r="CF95" s="326"/>
      <c r="CG95" s="326"/>
      <c r="CH95" s="326"/>
      <c r="CI95" s="326"/>
      <c r="CJ95" s="326"/>
      <c r="CK95" s="326"/>
      <c r="CL95" s="326"/>
      <c r="CM95" s="326"/>
      <c r="CN95" s="326"/>
      <c r="CO95" s="326"/>
      <c r="CP95" s="326"/>
      <c r="CQ95" s="326"/>
      <c r="CR95" s="326"/>
      <c r="CS95" s="326"/>
      <c r="CT95" s="326"/>
      <c r="CU95" s="326"/>
      <c r="CV95" s="326"/>
      <c r="CW95" s="326"/>
      <c r="CX95" s="326"/>
      <c r="CY95" s="326"/>
      <c r="CZ95" s="326"/>
      <c r="DA95" s="326"/>
      <c r="DB95" s="326"/>
      <c r="DC95" s="326"/>
      <c r="DD95" s="326"/>
      <c r="DE95" s="326"/>
      <c r="DF95" s="326"/>
      <c r="DG95" s="326"/>
      <c r="DH95" s="326"/>
      <c r="DI95" s="326"/>
      <c r="DJ95" s="326"/>
      <c r="DK95" s="326"/>
      <c r="DL95" s="326"/>
      <c r="DM95" s="326"/>
      <c r="DN95" s="326"/>
      <c r="DO95" s="326"/>
      <c r="DP95" s="326"/>
      <c r="DQ95" s="326"/>
      <c r="DR95" s="326"/>
      <c r="DS95" s="326"/>
      <c r="DT95" s="326"/>
      <c r="DU95" s="326"/>
      <c r="DV95" s="326"/>
      <c r="DW95" s="326"/>
      <c r="DX95" s="326"/>
      <c r="DY95" s="326"/>
      <c r="DZ95" s="326"/>
      <c r="EA95" s="326"/>
      <c r="EB95" s="326"/>
      <c r="EC95" s="326"/>
      <c r="ED95" s="326"/>
      <c r="EE95" s="326"/>
      <c r="EF95" s="326"/>
      <c r="EG95" s="326"/>
      <c r="EH95" s="326"/>
      <c r="EI95" s="326"/>
      <c r="EJ95" s="326"/>
      <c r="EK95" s="326"/>
      <c r="EL95" s="326"/>
      <c r="EM95" s="326"/>
      <c r="EN95" s="326"/>
      <c r="EO95" s="326"/>
      <c r="EP95" s="326"/>
      <c r="EQ95" s="326"/>
      <c r="ER95" s="326"/>
      <c r="ES95" s="326"/>
      <c r="ET95" s="326"/>
      <c r="EU95" s="326"/>
      <c r="EV95" s="326"/>
      <c r="EW95" s="326"/>
      <c r="EX95" s="326"/>
      <c r="EY95" s="326"/>
      <c r="EZ95" s="326"/>
      <c r="FA95" s="326"/>
      <c r="FB95" s="326"/>
      <c r="FC95" s="326"/>
      <c r="FD95" s="326"/>
      <c r="FE95" s="326"/>
      <c r="FF95" s="326"/>
      <c r="FG95" s="326"/>
      <c r="FH95" s="326"/>
      <c r="FI95" s="326"/>
      <c r="FJ95" s="326"/>
      <c r="FK95" s="326"/>
      <c r="FL95" s="326"/>
      <c r="FM95" s="326"/>
      <c r="FN95" s="326"/>
      <c r="FO95" s="326"/>
      <c r="FP95" s="326"/>
      <c r="FQ95" s="326"/>
      <c r="FR95" s="326"/>
      <c r="FS95" s="326"/>
      <c r="FT95" s="326"/>
      <c r="FU95" s="326"/>
      <c r="FV95" s="326"/>
      <c r="FW95" s="326"/>
      <c r="FX95" s="326"/>
      <c r="FY95" s="326"/>
      <c r="FZ95" s="326"/>
      <c r="GA95" s="326"/>
      <c r="GB95" s="326"/>
      <c r="GC95" s="326"/>
      <c r="GD95" s="326"/>
      <c r="GE95" s="326"/>
      <c r="GF95" s="326"/>
      <c r="GG95" s="326"/>
      <c r="GH95" s="326"/>
      <c r="GI95" s="326"/>
      <c r="GJ95" s="326"/>
      <c r="GK95" s="326"/>
      <c r="GL95" s="326"/>
      <c r="GM95" s="326"/>
      <c r="GN95" s="326"/>
      <c r="GO95" s="326"/>
      <c r="GP95" s="326"/>
      <c r="GQ95" s="326"/>
      <c r="GR95" s="326"/>
      <c r="GS95" s="326"/>
      <c r="GT95" s="326"/>
      <c r="GU95" s="326"/>
      <c r="GV95" s="326"/>
      <c r="GW95" s="326"/>
      <c r="GX95" s="326"/>
      <c r="GY95" s="326"/>
      <c r="GZ95" s="326"/>
      <c r="HA95" s="326"/>
      <c r="HB95" s="326"/>
      <c r="HC95" s="326"/>
      <c r="HD95" s="326"/>
      <c r="HE95" s="326"/>
      <c r="HF95" s="326"/>
      <c r="HG95" s="326"/>
      <c r="HH95" s="326"/>
      <c r="HI95" s="326"/>
      <c r="HJ95" s="326"/>
      <c r="HK95" s="326"/>
      <c r="HL95" s="326"/>
      <c r="HM95" s="326"/>
      <c r="HN95" s="326"/>
      <c r="HO95" s="326"/>
      <c r="HP95" s="326"/>
      <c r="HQ95" s="326"/>
      <c r="HR95" s="326"/>
      <c r="HS95" s="326"/>
      <c r="HT95" s="326"/>
      <c r="HU95" s="326"/>
      <c r="HV95" s="326"/>
      <c r="HW95" s="326"/>
      <c r="HX95" s="326"/>
      <c r="HY95" s="326"/>
      <c r="HZ95" s="326"/>
      <c r="IA95" s="326"/>
      <c r="IB95" s="326"/>
      <c r="IC95" s="326"/>
      <c r="ID95" s="326"/>
      <c r="IE95" s="326"/>
      <c r="IF95" s="326"/>
      <c r="IG95" s="326"/>
      <c r="IH95" s="326"/>
      <c r="II95" s="326"/>
      <c r="IJ95" s="326"/>
      <c r="IK95" s="326"/>
      <c r="IL95" s="326"/>
      <c r="IM95" s="326"/>
      <c r="IN95" s="326"/>
      <c r="IO95" s="326"/>
      <c r="IP95" s="326"/>
      <c r="IQ95" s="326"/>
      <c r="IR95" s="326"/>
      <c r="IS95" s="326"/>
      <c r="IT95" s="326"/>
      <c r="IU95" s="326"/>
      <c r="IV95" s="326"/>
    </row>
    <row r="96" spans="1:256" s="560" customFormat="1" ht="19.5" customHeight="1">
      <c r="A96" s="574">
        <v>87</v>
      </c>
      <c r="B96" s="568"/>
      <c r="C96" s="820"/>
      <c r="D96" s="483" t="s">
        <v>1091</v>
      </c>
      <c r="E96" s="829"/>
      <c r="F96" s="1021"/>
      <c r="G96" s="1511"/>
      <c r="H96" s="1022"/>
      <c r="I96" s="1021"/>
      <c r="J96" s="1021"/>
      <c r="K96" s="1021">
        <f>SUM(K94:K95)</f>
        <v>12573</v>
      </c>
      <c r="L96" s="1021"/>
      <c r="M96" s="1309">
        <f>SUM(M94:M95)</f>
        <v>482440</v>
      </c>
      <c r="N96" s="1021"/>
      <c r="O96" s="1021"/>
      <c r="P96" s="569">
        <f>SUM(I96:O96)</f>
        <v>495013</v>
      </c>
      <c r="Q96" s="1023"/>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26"/>
      <c r="BU96" s="326"/>
      <c r="BV96" s="326"/>
      <c r="BW96" s="326"/>
      <c r="BX96" s="326"/>
      <c r="BY96" s="326"/>
      <c r="BZ96" s="326"/>
      <c r="CA96" s="326"/>
      <c r="CB96" s="326"/>
      <c r="CC96" s="326"/>
      <c r="CD96" s="326"/>
      <c r="CE96" s="326"/>
      <c r="CF96" s="326"/>
      <c r="CG96" s="326"/>
      <c r="CH96" s="326"/>
      <c r="CI96" s="326"/>
      <c r="CJ96" s="326"/>
      <c r="CK96" s="326"/>
      <c r="CL96" s="326"/>
      <c r="CM96" s="326"/>
      <c r="CN96" s="326"/>
      <c r="CO96" s="326"/>
      <c r="CP96" s="326"/>
      <c r="CQ96" s="326"/>
      <c r="CR96" s="326"/>
      <c r="CS96" s="326"/>
      <c r="CT96" s="326"/>
      <c r="CU96" s="326"/>
      <c r="CV96" s="326"/>
      <c r="CW96" s="326"/>
      <c r="CX96" s="326"/>
      <c r="CY96" s="326"/>
      <c r="CZ96" s="326"/>
      <c r="DA96" s="326"/>
      <c r="DB96" s="326"/>
      <c r="DC96" s="326"/>
      <c r="DD96" s="326"/>
      <c r="DE96" s="326"/>
      <c r="DF96" s="326"/>
      <c r="DG96" s="326"/>
      <c r="DH96" s="326"/>
      <c r="DI96" s="326"/>
      <c r="DJ96" s="326"/>
      <c r="DK96" s="326"/>
      <c r="DL96" s="326"/>
      <c r="DM96" s="326"/>
      <c r="DN96" s="326"/>
      <c r="DO96" s="326"/>
      <c r="DP96" s="326"/>
      <c r="DQ96" s="326"/>
      <c r="DR96" s="326"/>
      <c r="DS96" s="326"/>
      <c r="DT96" s="326"/>
      <c r="DU96" s="326"/>
      <c r="DV96" s="326"/>
      <c r="DW96" s="326"/>
      <c r="DX96" s="326"/>
      <c r="DY96" s="326"/>
      <c r="DZ96" s="326"/>
      <c r="EA96" s="326"/>
      <c r="EB96" s="326"/>
      <c r="EC96" s="326"/>
      <c r="ED96" s="326"/>
      <c r="EE96" s="326"/>
      <c r="EF96" s="326"/>
      <c r="EG96" s="326"/>
      <c r="EH96" s="326"/>
      <c r="EI96" s="326"/>
      <c r="EJ96" s="326"/>
      <c r="EK96" s="326"/>
      <c r="EL96" s="326"/>
      <c r="EM96" s="326"/>
      <c r="EN96" s="326"/>
      <c r="EO96" s="326"/>
      <c r="EP96" s="326"/>
      <c r="EQ96" s="326"/>
      <c r="ER96" s="326"/>
      <c r="ES96" s="326"/>
      <c r="ET96" s="326"/>
      <c r="EU96" s="326"/>
      <c r="EV96" s="326"/>
      <c r="EW96" s="326"/>
      <c r="EX96" s="326"/>
      <c r="EY96" s="326"/>
      <c r="EZ96" s="326"/>
      <c r="FA96" s="326"/>
      <c r="FB96" s="326"/>
      <c r="FC96" s="326"/>
      <c r="FD96" s="326"/>
      <c r="FE96" s="326"/>
      <c r="FF96" s="326"/>
      <c r="FG96" s="326"/>
      <c r="FH96" s="326"/>
      <c r="FI96" s="326"/>
      <c r="FJ96" s="326"/>
      <c r="FK96" s="326"/>
      <c r="FL96" s="326"/>
      <c r="FM96" s="326"/>
      <c r="FN96" s="326"/>
      <c r="FO96" s="326"/>
      <c r="FP96" s="326"/>
      <c r="FQ96" s="326"/>
      <c r="FR96" s="326"/>
      <c r="FS96" s="326"/>
      <c r="FT96" s="326"/>
      <c r="FU96" s="326"/>
      <c r="FV96" s="326"/>
      <c r="FW96" s="326"/>
      <c r="FX96" s="326"/>
      <c r="FY96" s="326"/>
      <c r="FZ96" s="326"/>
      <c r="GA96" s="326"/>
      <c r="GB96" s="326"/>
      <c r="GC96" s="326"/>
      <c r="GD96" s="326"/>
      <c r="GE96" s="326"/>
      <c r="GF96" s="326"/>
      <c r="GG96" s="326"/>
      <c r="GH96" s="326"/>
      <c r="GI96" s="326"/>
      <c r="GJ96" s="326"/>
      <c r="GK96" s="326"/>
      <c r="GL96" s="326"/>
      <c r="GM96" s="326"/>
      <c r="GN96" s="326"/>
      <c r="GO96" s="326"/>
      <c r="GP96" s="326"/>
      <c r="GQ96" s="326"/>
      <c r="GR96" s="326"/>
      <c r="GS96" s="326"/>
      <c r="GT96" s="326"/>
      <c r="GU96" s="326"/>
      <c r="GV96" s="326"/>
      <c r="GW96" s="326"/>
      <c r="GX96" s="326"/>
      <c r="GY96" s="326"/>
      <c r="GZ96" s="326"/>
      <c r="HA96" s="326"/>
      <c r="HB96" s="326"/>
      <c r="HC96" s="326"/>
      <c r="HD96" s="326"/>
      <c r="HE96" s="326"/>
      <c r="HF96" s="326"/>
      <c r="HG96" s="326"/>
      <c r="HH96" s="326"/>
      <c r="HI96" s="326"/>
      <c r="HJ96" s="326"/>
      <c r="HK96" s="326"/>
      <c r="HL96" s="326"/>
      <c r="HM96" s="326"/>
      <c r="HN96" s="326"/>
      <c r="HO96" s="326"/>
      <c r="HP96" s="326"/>
      <c r="HQ96" s="326"/>
      <c r="HR96" s="326"/>
      <c r="HS96" s="326"/>
      <c r="HT96" s="326"/>
      <c r="HU96" s="326"/>
      <c r="HV96" s="326"/>
      <c r="HW96" s="326"/>
      <c r="HX96" s="326"/>
      <c r="HY96" s="326"/>
      <c r="HZ96" s="326"/>
      <c r="IA96" s="326"/>
      <c r="IB96" s="326"/>
      <c r="IC96" s="326"/>
      <c r="ID96" s="326"/>
      <c r="IE96" s="326"/>
      <c r="IF96" s="326"/>
      <c r="IG96" s="326"/>
      <c r="IH96" s="326"/>
      <c r="II96" s="326"/>
      <c r="IJ96" s="326"/>
      <c r="IK96" s="326"/>
      <c r="IL96" s="326"/>
      <c r="IM96" s="326"/>
      <c r="IN96" s="326"/>
      <c r="IO96" s="326"/>
      <c r="IP96" s="326"/>
      <c r="IQ96" s="326"/>
      <c r="IR96" s="326"/>
      <c r="IS96" s="326"/>
      <c r="IT96" s="326"/>
      <c r="IU96" s="326"/>
      <c r="IV96" s="326"/>
    </row>
    <row r="97" spans="1:256" s="560" customFormat="1" ht="33.75" customHeight="1">
      <c r="A97" s="574">
        <v>88</v>
      </c>
      <c r="B97" s="568"/>
      <c r="C97" s="366"/>
      <c r="D97" s="328" t="s">
        <v>652</v>
      </c>
      <c r="E97" s="335"/>
      <c r="F97" s="1018"/>
      <c r="G97" s="573"/>
      <c r="H97" s="1020"/>
      <c r="I97" s="1018"/>
      <c r="J97" s="1018"/>
      <c r="K97" s="1018"/>
      <c r="L97" s="1018"/>
      <c r="M97" s="1018"/>
      <c r="N97" s="1018"/>
      <c r="O97" s="1018"/>
      <c r="P97" s="573"/>
      <c r="Q97" s="1019"/>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26"/>
      <c r="BU97" s="326"/>
      <c r="BV97" s="326"/>
      <c r="BW97" s="326"/>
      <c r="BX97" s="326"/>
      <c r="BY97" s="326"/>
      <c r="BZ97" s="326"/>
      <c r="CA97" s="326"/>
      <c r="CB97" s="326"/>
      <c r="CC97" s="326"/>
      <c r="CD97" s="326"/>
      <c r="CE97" s="326"/>
      <c r="CF97" s="326"/>
      <c r="CG97" s="326"/>
      <c r="CH97" s="326"/>
      <c r="CI97" s="326"/>
      <c r="CJ97" s="326"/>
      <c r="CK97" s="326"/>
      <c r="CL97" s="326"/>
      <c r="CM97" s="326"/>
      <c r="CN97" s="326"/>
      <c r="CO97" s="326"/>
      <c r="CP97" s="326"/>
      <c r="CQ97" s="326"/>
      <c r="CR97" s="326"/>
      <c r="CS97" s="326"/>
      <c r="CT97" s="326"/>
      <c r="CU97" s="326"/>
      <c r="CV97" s="326"/>
      <c r="CW97" s="326"/>
      <c r="CX97" s="326"/>
      <c r="CY97" s="326"/>
      <c r="CZ97" s="326"/>
      <c r="DA97" s="326"/>
      <c r="DB97" s="326"/>
      <c r="DC97" s="326"/>
      <c r="DD97" s="326"/>
      <c r="DE97" s="326"/>
      <c r="DF97" s="326"/>
      <c r="DG97" s="326"/>
      <c r="DH97" s="326"/>
      <c r="DI97" s="326"/>
      <c r="DJ97" s="326"/>
      <c r="DK97" s="326"/>
      <c r="DL97" s="326"/>
      <c r="DM97" s="326"/>
      <c r="DN97" s="326"/>
      <c r="DO97" s="326"/>
      <c r="DP97" s="326"/>
      <c r="DQ97" s="326"/>
      <c r="DR97" s="326"/>
      <c r="DS97" s="326"/>
      <c r="DT97" s="326"/>
      <c r="DU97" s="326"/>
      <c r="DV97" s="326"/>
      <c r="DW97" s="326"/>
      <c r="DX97" s="326"/>
      <c r="DY97" s="326"/>
      <c r="DZ97" s="326"/>
      <c r="EA97" s="326"/>
      <c r="EB97" s="326"/>
      <c r="EC97" s="326"/>
      <c r="ED97" s="326"/>
      <c r="EE97" s="326"/>
      <c r="EF97" s="326"/>
      <c r="EG97" s="326"/>
      <c r="EH97" s="326"/>
      <c r="EI97" s="326"/>
      <c r="EJ97" s="326"/>
      <c r="EK97" s="326"/>
      <c r="EL97" s="326"/>
      <c r="EM97" s="326"/>
      <c r="EN97" s="326"/>
      <c r="EO97" s="326"/>
      <c r="EP97" s="326"/>
      <c r="EQ97" s="326"/>
      <c r="ER97" s="326"/>
      <c r="ES97" s="326"/>
      <c r="ET97" s="326"/>
      <c r="EU97" s="326"/>
      <c r="EV97" s="326"/>
      <c r="EW97" s="326"/>
      <c r="EX97" s="326"/>
      <c r="EY97" s="326"/>
      <c r="EZ97" s="326"/>
      <c r="FA97" s="326"/>
      <c r="FB97" s="326"/>
      <c r="FC97" s="326"/>
      <c r="FD97" s="326"/>
      <c r="FE97" s="326"/>
      <c r="FF97" s="326"/>
      <c r="FG97" s="326"/>
      <c r="FH97" s="326"/>
      <c r="FI97" s="326"/>
      <c r="FJ97" s="326"/>
      <c r="FK97" s="326"/>
      <c r="FL97" s="326"/>
      <c r="FM97" s="326"/>
      <c r="FN97" s="326"/>
      <c r="FO97" s="326"/>
      <c r="FP97" s="326"/>
      <c r="FQ97" s="326"/>
      <c r="FR97" s="326"/>
      <c r="FS97" s="326"/>
      <c r="FT97" s="326"/>
      <c r="FU97" s="326"/>
      <c r="FV97" s="326"/>
      <c r="FW97" s="326"/>
      <c r="FX97" s="326"/>
      <c r="FY97" s="326"/>
      <c r="FZ97" s="326"/>
      <c r="GA97" s="326"/>
      <c r="GB97" s="326"/>
      <c r="GC97" s="326"/>
      <c r="GD97" s="326"/>
      <c r="GE97" s="326"/>
      <c r="GF97" s="326"/>
      <c r="GG97" s="326"/>
      <c r="GH97" s="326"/>
      <c r="GI97" s="326"/>
      <c r="GJ97" s="326"/>
      <c r="GK97" s="326"/>
      <c r="GL97" s="326"/>
      <c r="GM97" s="326"/>
      <c r="GN97" s="326"/>
      <c r="GO97" s="326"/>
      <c r="GP97" s="326"/>
      <c r="GQ97" s="326"/>
      <c r="GR97" s="326"/>
      <c r="GS97" s="326"/>
      <c r="GT97" s="326"/>
      <c r="GU97" s="326"/>
      <c r="GV97" s="326"/>
      <c r="GW97" s="326"/>
      <c r="GX97" s="326"/>
      <c r="GY97" s="326"/>
      <c r="GZ97" s="326"/>
      <c r="HA97" s="326"/>
      <c r="HB97" s="326"/>
      <c r="HC97" s="326"/>
      <c r="HD97" s="326"/>
      <c r="HE97" s="326"/>
      <c r="HF97" s="326"/>
      <c r="HG97" s="326"/>
      <c r="HH97" s="326"/>
      <c r="HI97" s="326"/>
      <c r="HJ97" s="326"/>
      <c r="HK97" s="326"/>
      <c r="HL97" s="326"/>
      <c r="HM97" s="326"/>
      <c r="HN97" s="326"/>
      <c r="HO97" s="326"/>
      <c r="HP97" s="326"/>
      <c r="HQ97" s="326"/>
      <c r="HR97" s="326"/>
      <c r="HS97" s="326"/>
      <c r="HT97" s="326"/>
      <c r="HU97" s="326"/>
      <c r="HV97" s="326"/>
      <c r="HW97" s="326"/>
      <c r="HX97" s="326"/>
      <c r="HY97" s="326"/>
      <c r="HZ97" s="326"/>
      <c r="IA97" s="326"/>
      <c r="IB97" s="326"/>
      <c r="IC97" s="326"/>
      <c r="ID97" s="326"/>
      <c r="IE97" s="326"/>
      <c r="IF97" s="326"/>
      <c r="IG97" s="326"/>
      <c r="IH97" s="326"/>
      <c r="II97" s="326"/>
      <c r="IJ97" s="326"/>
      <c r="IK97" s="326"/>
      <c r="IL97" s="326"/>
      <c r="IM97" s="326"/>
      <c r="IN97" s="326"/>
      <c r="IO97" s="326"/>
      <c r="IP97" s="326"/>
      <c r="IQ97" s="326"/>
      <c r="IR97" s="326"/>
      <c r="IS97" s="326"/>
      <c r="IT97" s="326"/>
      <c r="IU97" s="326"/>
      <c r="IV97" s="326"/>
    </row>
    <row r="98" spans="1:256" s="560" customFormat="1" ht="19.5" customHeight="1">
      <c r="A98" s="574">
        <v>89</v>
      </c>
      <c r="B98" s="568"/>
      <c r="C98" s="1014"/>
      <c r="D98" s="821" t="s">
        <v>283</v>
      </c>
      <c r="E98" s="829">
        <f>F98+G98+P101</f>
        <v>661170</v>
      </c>
      <c r="F98" s="1015"/>
      <c r="G98" s="1512"/>
      <c r="H98" s="1016"/>
      <c r="I98" s="1015"/>
      <c r="J98" s="1015"/>
      <c r="K98" s="1015"/>
      <c r="L98" s="1015"/>
      <c r="M98" s="825">
        <v>661170</v>
      </c>
      <c r="N98" s="1015"/>
      <c r="O98" s="1015"/>
      <c r="P98" s="827">
        <f>SUM(I98:O98)</f>
        <v>661170</v>
      </c>
      <c r="Q98" s="1027"/>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26"/>
      <c r="BU98" s="326"/>
      <c r="BV98" s="326"/>
      <c r="BW98" s="326"/>
      <c r="BX98" s="326"/>
      <c r="BY98" s="326"/>
      <c r="BZ98" s="326"/>
      <c r="CA98" s="326"/>
      <c r="CB98" s="326"/>
      <c r="CC98" s="326"/>
      <c r="CD98" s="326"/>
      <c r="CE98" s="326"/>
      <c r="CF98" s="326"/>
      <c r="CG98" s="326"/>
      <c r="CH98" s="326"/>
      <c r="CI98" s="326"/>
      <c r="CJ98" s="326"/>
      <c r="CK98" s="326"/>
      <c r="CL98" s="326"/>
      <c r="CM98" s="326"/>
      <c r="CN98" s="326"/>
      <c r="CO98" s="326"/>
      <c r="CP98" s="326"/>
      <c r="CQ98" s="326"/>
      <c r="CR98" s="326"/>
      <c r="CS98" s="326"/>
      <c r="CT98" s="326"/>
      <c r="CU98" s="326"/>
      <c r="CV98" s="326"/>
      <c r="CW98" s="326"/>
      <c r="CX98" s="326"/>
      <c r="CY98" s="326"/>
      <c r="CZ98" s="326"/>
      <c r="DA98" s="326"/>
      <c r="DB98" s="326"/>
      <c r="DC98" s="326"/>
      <c r="DD98" s="326"/>
      <c r="DE98" s="326"/>
      <c r="DF98" s="326"/>
      <c r="DG98" s="326"/>
      <c r="DH98" s="326"/>
      <c r="DI98" s="326"/>
      <c r="DJ98" s="326"/>
      <c r="DK98" s="326"/>
      <c r="DL98" s="326"/>
      <c r="DM98" s="326"/>
      <c r="DN98" s="326"/>
      <c r="DO98" s="326"/>
      <c r="DP98" s="326"/>
      <c r="DQ98" s="326"/>
      <c r="DR98" s="326"/>
      <c r="DS98" s="326"/>
      <c r="DT98" s="326"/>
      <c r="DU98" s="326"/>
      <c r="DV98" s="326"/>
      <c r="DW98" s="326"/>
      <c r="DX98" s="326"/>
      <c r="DY98" s="326"/>
      <c r="DZ98" s="326"/>
      <c r="EA98" s="326"/>
      <c r="EB98" s="326"/>
      <c r="EC98" s="326"/>
      <c r="ED98" s="326"/>
      <c r="EE98" s="326"/>
      <c r="EF98" s="326"/>
      <c r="EG98" s="326"/>
      <c r="EH98" s="326"/>
      <c r="EI98" s="326"/>
      <c r="EJ98" s="326"/>
      <c r="EK98" s="326"/>
      <c r="EL98" s="326"/>
      <c r="EM98" s="326"/>
      <c r="EN98" s="326"/>
      <c r="EO98" s="326"/>
      <c r="EP98" s="326"/>
      <c r="EQ98" s="326"/>
      <c r="ER98" s="326"/>
      <c r="ES98" s="326"/>
      <c r="ET98" s="326"/>
      <c r="EU98" s="326"/>
      <c r="EV98" s="326"/>
      <c r="EW98" s="326"/>
      <c r="EX98" s="326"/>
      <c r="EY98" s="326"/>
      <c r="EZ98" s="326"/>
      <c r="FA98" s="326"/>
      <c r="FB98" s="326"/>
      <c r="FC98" s="326"/>
      <c r="FD98" s="326"/>
      <c r="FE98" s="326"/>
      <c r="FF98" s="326"/>
      <c r="FG98" s="326"/>
      <c r="FH98" s="326"/>
      <c r="FI98" s="326"/>
      <c r="FJ98" s="326"/>
      <c r="FK98" s="326"/>
      <c r="FL98" s="326"/>
      <c r="FM98" s="326"/>
      <c r="FN98" s="326"/>
      <c r="FO98" s="326"/>
      <c r="FP98" s="326"/>
      <c r="FQ98" s="326"/>
      <c r="FR98" s="326"/>
      <c r="FS98" s="326"/>
      <c r="FT98" s="326"/>
      <c r="FU98" s="326"/>
      <c r="FV98" s="326"/>
      <c r="FW98" s="326"/>
      <c r="FX98" s="326"/>
      <c r="FY98" s="326"/>
      <c r="FZ98" s="326"/>
      <c r="GA98" s="326"/>
      <c r="GB98" s="326"/>
      <c r="GC98" s="326"/>
      <c r="GD98" s="326"/>
      <c r="GE98" s="326"/>
      <c r="GF98" s="326"/>
      <c r="GG98" s="326"/>
      <c r="GH98" s="326"/>
      <c r="GI98" s="326"/>
      <c r="GJ98" s="326"/>
      <c r="GK98" s="326"/>
      <c r="GL98" s="326"/>
      <c r="GM98" s="326"/>
      <c r="GN98" s="326"/>
      <c r="GO98" s="326"/>
      <c r="GP98" s="326"/>
      <c r="GQ98" s="326"/>
      <c r="GR98" s="326"/>
      <c r="GS98" s="326"/>
      <c r="GT98" s="326"/>
      <c r="GU98" s="326"/>
      <c r="GV98" s="326"/>
      <c r="GW98" s="326"/>
      <c r="GX98" s="326"/>
      <c r="GY98" s="326"/>
      <c r="GZ98" s="326"/>
      <c r="HA98" s="326"/>
      <c r="HB98" s="326"/>
      <c r="HC98" s="326"/>
      <c r="HD98" s="326"/>
      <c r="HE98" s="326"/>
      <c r="HF98" s="326"/>
      <c r="HG98" s="326"/>
      <c r="HH98" s="326"/>
      <c r="HI98" s="326"/>
      <c r="HJ98" s="326"/>
      <c r="HK98" s="326"/>
      <c r="HL98" s="326"/>
      <c r="HM98" s="326"/>
      <c r="HN98" s="326"/>
      <c r="HO98" s="326"/>
      <c r="HP98" s="326"/>
      <c r="HQ98" s="326"/>
      <c r="HR98" s="326"/>
      <c r="HS98" s="326"/>
      <c r="HT98" s="326"/>
      <c r="HU98" s="326"/>
      <c r="HV98" s="326"/>
      <c r="HW98" s="326"/>
      <c r="HX98" s="326"/>
      <c r="HY98" s="326"/>
      <c r="HZ98" s="326"/>
      <c r="IA98" s="326"/>
      <c r="IB98" s="326"/>
      <c r="IC98" s="326"/>
      <c r="ID98" s="326"/>
      <c r="IE98" s="326"/>
      <c r="IF98" s="326"/>
      <c r="IG98" s="326"/>
      <c r="IH98" s="326"/>
      <c r="II98" s="326"/>
      <c r="IJ98" s="326"/>
      <c r="IK98" s="326"/>
      <c r="IL98" s="326"/>
      <c r="IM98" s="326"/>
      <c r="IN98" s="326"/>
      <c r="IO98" s="326"/>
      <c r="IP98" s="326"/>
      <c r="IQ98" s="326"/>
      <c r="IR98" s="326"/>
      <c r="IS98" s="326"/>
      <c r="IT98" s="326"/>
      <c r="IU98" s="326"/>
      <c r="IV98" s="326"/>
    </row>
    <row r="99" spans="1:256" s="560" customFormat="1" ht="19.5" customHeight="1">
      <c r="A99" s="574">
        <v>90</v>
      </c>
      <c r="B99" s="568"/>
      <c r="C99" s="366"/>
      <c r="D99" s="483" t="s">
        <v>938</v>
      </c>
      <c r="E99" s="829"/>
      <c r="F99" s="1018"/>
      <c r="G99" s="573"/>
      <c r="H99" s="1020"/>
      <c r="I99" s="1018"/>
      <c r="J99" s="1018"/>
      <c r="K99" s="1018"/>
      <c r="L99" s="1018"/>
      <c r="M99" s="1761">
        <v>661170</v>
      </c>
      <c r="N99" s="1018"/>
      <c r="O99" s="1018"/>
      <c r="P99" s="1392">
        <f>SUM(I99:O99)</f>
        <v>661170</v>
      </c>
      <c r="Q99" s="1027"/>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26"/>
      <c r="BU99" s="326"/>
      <c r="BV99" s="326"/>
      <c r="BW99" s="326"/>
      <c r="BX99" s="326"/>
      <c r="BY99" s="326"/>
      <c r="BZ99" s="326"/>
      <c r="CA99" s="326"/>
      <c r="CB99" s="326"/>
      <c r="CC99" s="326"/>
      <c r="CD99" s="326"/>
      <c r="CE99" s="326"/>
      <c r="CF99" s="326"/>
      <c r="CG99" s="326"/>
      <c r="CH99" s="326"/>
      <c r="CI99" s="326"/>
      <c r="CJ99" s="326"/>
      <c r="CK99" s="326"/>
      <c r="CL99" s="326"/>
      <c r="CM99" s="326"/>
      <c r="CN99" s="326"/>
      <c r="CO99" s="326"/>
      <c r="CP99" s="326"/>
      <c r="CQ99" s="326"/>
      <c r="CR99" s="326"/>
      <c r="CS99" s="326"/>
      <c r="CT99" s="326"/>
      <c r="CU99" s="326"/>
      <c r="CV99" s="326"/>
      <c r="CW99" s="326"/>
      <c r="CX99" s="326"/>
      <c r="CY99" s="326"/>
      <c r="CZ99" s="326"/>
      <c r="DA99" s="326"/>
      <c r="DB99" s="326"/>
      <c r="DC99" s="326"/>
      <c r="DD99" s="326"/>
      <c r="DE99" s="326"/>
      <c r="DF99" s="326"/>
      <c r="DG99" s="326"/>
      <c r="DH99" s="326"/>
      <c r="DI99" s="326"/>
      <c r="DJ99" s="326"/>
      <c r="DK99" s="326"/>
      <c r="DL99" s="326"/>
      <c r="DM99" s="326"/>
      <c r="DN99" s="326"/>
      <c r="DO99" s="326"/>
      <c r="DP99" s="326"/>
      <c r="DQ99" s="326"/>
      <c r="DR99" s="326"/>
      <c r="DS99" s="326"/>
      <c r="DT99" s="326"/>
      <c r="DU99" s="326"/>
      <c r="DV99" s="326"/>
      <c r="DW99" s="326"/>
      <c r="DX99" s="326"/>
      <c r="DY99" s="326"/>
      <c r="DZ99" s="326"/>
      <c r="EA99" s="326"/>
      <c r="EB99" s="326"/>
      <c r="EC99" s="326"/>
      <c r="ED99" s="326"/>
      <c r="EE99" s="326"/>
      <c r="EF99" s="326"/>
      <c r="EG99" s="326"/>
      <c r="EH99" s="326"/>
      <c r="EI99" s="326"/>
      <c r="EJ99" s="326"/>
      <c r="EK99" s="326"/>
      <c r="EL99" s="326"/>
      <c r="EM99" s="326"/>
      <c r="EN99" s="326"/>
      <c r="EO99" s="326"/>
      <c r="EP99" s="326"/>
      <c r="EQ99" s="326"/>
      <c r="ER99" s="326"/>
      <c r="ES99" s="326"/>
      <c r="ET99" s="326"/>
      <c r="EU99" s="326"/>
      <c r="EV99" s="326"/>
      <c r="EW99" s="326"/>
      <c r="EX99" s="326"/>
      <c r="EY99" s="326"/>
      <c r="EZ99" s="326"/>
      <c r="FA99" s="326"/>
      <c r="FB99" s="326"/>
      <c r="FC99" s="326"/>
      <c r="FD99" s="326"/>
      <c r="FE99" s="326"/>
      <c r="FF99" s="326"/>
      <c r="FG99" s="326"/>
      <c r="FH99" s="326"/>
      <c r="FI99" s="326"/>
      <c r="FJ99" s="326"/>
      <c r="FK99" s="326"/>
      <c r="FL99" s="326"/>
      <c r="FM99" s="326"/>
      <c r="FN99" s="326"/>
      <c r="FO99" s="326"/>
      <c r="FP99" s="326"/>
      <c r="FQ99" s="326"/>
      <c r="FR99" s="326"/>
      <c r="FS99" s="326"/>
      <c r="FT99" s="326"/>
      <c r="FU99" s="326"/>
      <c r="FV99" s="326"/>
      <c r="FW99" s="326"/>
      <c r="FX99" s="326"/>
      <c r="FY99" s="326"/>
      <c r="FZ99" s="326"/>
      <c r="GA99" s="326"/>
      <c r="GB99" s="326"/>
      <c r="GC99" s="326"/>
      <c r="GD99" s="326"/>
      <c r="GE99" s="326"/>
      <c r="GF99" s="326"/>
      <c r="GG99" s="326"/>
      <c r="GH99" s="326"/>
      <c r="GI99" s="326"/>
      <c r="GJ99" s="326"/>
      <c r="GK99" s="326"/>
      <c r="GL99" s="326"/>
      <c r="GM99" s="326"/>
      <c r="GN99" s="326"/>
      <c r="GO99" s="326"/>
      <c r="GP99" s="326"/>
      <c r="GQ99" s="326"/>
      <c r="GR99" s="326"/>
      <c r="GS99" s="326"/>
      <c r="GT99" s="326"/>
      <c r="GU99" s="326"/>
      <c r="GV99" s="326"/>
      <c r="GW99" s="326"/>
      <c r="GX99" s="326"/>
      <c r="GY99" s="326"/>
      <c r="GZ99" s="326"/>
      <c r="HA99" s="326"/>
      <c r="HB99" s="326"/>
      <c r="HC99" s="326"/>
      <c r="HD99" s="326"/>
      <c r="HE99" s="326"/>
      <c r="HF99" s="326"/>
      <c r="HG99" s="326"/>
      <c r="HH99" s="326"/>
      <c r="HI99" s="326"/>
      <c r="HJ99" s="326"/>
      <c r="HK99" s="326"/>
      <c r="HL99" s="326"/>
      <c r="HM99" s="326"/>
      <c r="HN99" s="326"/>
      <c r="HO99" s="326"/>
      <c r="HP99" s="326"/>
      <c r="HQ99" s="326"/>
      <c r="HR99" s="326"/>
      <c r="HS99" s="326"/>
      <c r="HT99" s="326"/>
      <c r="HU99" s="326"/>
      <c r="HV99" s="326"/>
      <c r="HW99" s="326"/>
      <c r="HX99" s="326"/>
      <c r="HY99" s="326"/>
      <c r="HZ99" s="326"/>
      <c r="IA99" s="326"/>
      <c r="IB99" s="326"/>
      <c r="IC99" s="326"/>
      <c r="ID99" s="326"/>
      <c r="IE99" s="326"/>
      <c r="IF99" s="326"/>
      <c r="IG99" s="326"/>
      <c r="IH99" s="326"/>
      <c r="II99" s="326"/>
      <c r="IJ99" s="326"/>
      <c r="IK99" s="326"/>
      <c r="IL99" s="326"/>
      <c r="IM99" s="326"/>
      <c r="IN99" s="326"/>
      <c r="IO99" s="326"/>
      <c r="IP99" s="326"/>
      <c r="IQ99" s="326"/>
      <c r="IR99" s="326"/>
      <c r="IS99" s="326"/>
      <c r="IT99" s="326"/>
      <c r="IU99" s="326"/>
      <c r="IV99" s="326"/>
    </row>
    <row r="100" spans="1:256" s="560" customFormat="1" ht="19.5" customHeight="1">
      <c r="A100" s="574">
        <v>91</v>
      </c>
      <c r="B100" s="568"/>
      <c r="C100" s="366"/>
      <c r="D100" s="1146" t="s">
        <v>674</v>
      </c>
      <c r="E100" s="335"/>
      <c r="F100" s="1018"/>
      <c r="G100" s="573"/>
      <c r="H100" s="1020"/>
      <c r="I100" s="1018"/>
      <c r="J100" s="1018"/>
      <c r="K100" s="1018"/>
      <c r="L100" s="1018"/>
      <c r="M100" s="784"/>
      <c r="N100" s="1018"/>
      <c r="O100" s="1018"/>
      <c r="P100" s="1307">
        <f>SUM(I100:O100)</f>
        <v>0</v>
      </c>
      <c r="Q100" s="1019"/>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326"/>
      <c r="BS100" s="326"/>
      <c r="BT100" s="326"/>
      <c r="BU100" s="326"/>
      <c r="BV100" s="326"/>
      <c r="BW100" s="326"/>
      <c r="BX100" s="326"/>
      <c r="BY100" s="326"/>
      <c r="BZ100" s="326"/>
      <c r="CA100" s="326"/>
      <c r="CB100" s="326"/>
      <c r="CC100" s="326"/>
      <c r="CD100" s="326"/>
      <c r="CE100" s="326"/>
      <c r="CF100" s="326"/>
      <c r="CG100" s="326"/>
      <c r="CH100" s="326"/>
      <c r="CI100" s="326"/>
      <c r="CJ100" s="326"/>
      <c r="CK100" s="326"/>
      <c r="CL100" s="326"/>
      <c r="CM100" s="326"/>
      <c r="CN100" s="326"/>
      <c r="CO100" s="326"/>
      <c r="CP100" s="326"/>
      <c r="CQ100" s="326"/>
      <c r="CR100" s="326"/>
      <c r="CS100" s="326"/>
      <c r="CT100" s="326"/>
      <c r="CU100" s="326"/>
      <c r="CV100" s="326"/>
      <c r="CW100" s="326"/>
      <c r="CX100" s="326"/>
      <c r="CY100" s="326"/>
      <c r="CZ100" s="326"/>
      <c r="DA100" s="326"/>
      <c r="DB100" s="326"/>
      <c r="DC100" s="326"/>
      <c r="DD100" s="326"/>
      <c r="DE100" s="326"/>
      <c r="DF100" s="326"/>
      <c r="DG100" s="326"/>
      <c r="DH100" s="326"/>
      <c r="DI100" s="326"/>
      <c r="DJ100" s="326"/>
      <c r="DK100" s="326"/>
      <c r="DL100" s="326"/>
      <c r="DM100" s="326"/>
      <c r="DN100" s="326"/>
      <c r="DO100" s="326"/>
      <c r="DP100" s="326"/>
      <c r="DQ100" s="326"/>
      <c r="DR100" s="326"/>
      <c r="DS100" s="326"/>
      <c r="DT100" s="326"/>
      <c r="DU100" s="326"/>
      <c r="DV100" s="326"/>
      <c r="DW100" s="326"/>
      <c r="DX100" s="326"/>
      <c r="DY100" s="326"/>
      <c r="DZ100" s="326"/>
      <c r="EA100" s="326"/>
      <c r="EB100" s="326"/>
      <c r="EC100" s="326"/>
      <c r="ED100" s="326"/>
      <c r="EE100" s="326"/>
      <c r="EF100" s="326"/>
      <c r="EG100" s="326"/>
      <c r="EH100" s="326"/>
      <c r="EI100" s="326"/>
      <c r="EJ100" s="326"/>
      <c r="EK100" s="326"/>
      <c r="EL100" s="326"/>
      <c r="EM100" s="326"/>
      <c r="EN100" s="326"/>
      <c r="EO100" s="326"/>
      <c r="EP100" s="326"/>
      <c r="EQ100" s="326"/>
      <c r="ER100" s="326"/>
      <c r="ES100" s="326"/>
      <c r="ET100" s="326"/>
      <c r="EU100" s="326"/>
      <c r="EV100" s="326"/>
      <c r="EW100" s="326"/>
      <c r="EX100" s="326"/>
      <c r="EY100" s="326"/>
      <c r="EZ100" s="326"/>
      <c r="FA100" s="326"/>
      <c r="FB100" s="326"/>
      <c r="FC100" s="326"/>
      <c r="FD100" s="326"/>
      <c r="FE100" s="326"/>
      <c r="FF100" s="326"/>
      <c r="FG100" s="326"/>
      <c r="FH100" s="326"/>
      <c r="FI100" s="326"/>
      <c r="FJ100" s="326"/>
      <c r="FK100" s="326"/>
      <c r="FL100" s="326"/>
      <c r="FM100" s="326"/>
      <c r="FN100" s="326"/>
      <c r="FO100" s="326"/>
      <c r="FP100" s="326"/>
      <c r="FQ100" s="326"/>
      <c r="FR100" s="326"/>
      <c r="FS100" s="326"/>
      <c r="FT100" s="326"/>
      <c r="FU100" s="326"/>
      <c r="FV100" s="326"/>
      <c r="FW100" s="326"/>
      <c r="FX100" s="326"/>
      <c r="FY100" s="326"/>
      <c r="FZ100" s="326"/>
      <c r="GA100" s="326"/>
      <c r="GB100" s="326"/>
      <c r="GC100" s="326"/>
      <c r="GD100" s="326"/>
      <c r="GE100" s="326"/>
      <c r="GF100" s="326"/>
      <c r="GG100" s="326"/>
      <c r="GH100" s="326"/>
      <c r="GI100" s="326"/>
      <c r="GJ100" s="326"/>
      <c r="GK100" s="326"/>
      <c r="GL100" s="326"/>
      <c r="GM100" s="326"/>
      <c r="GN100" s="326"/>
      <c r="GO100" s="326"/>
      <c r="GP100" s="326"/>
      <c r="GQ100" s="326"/>
      <c r="GR100" s="326"/>
      <c r="GS100" s="326"/>
      <c r="GT100" s="326"/>
      <c r="GU100" s="326"/>
      <c r="GV100" s="326"/>
      <c r="GW100" s="326"/>
      <c r="GX100" s="326"/>
      <c r="GY100" s="326"/>
      <c r="GZ100" s="326"/>
      <c r="HA100" s="326"/>
      <c r="HB100" s="326"/>
      <c r="HC100" s="326"/>
      <c r="HD100" s="326"/>
      <c r="HE100" s="326"/>
      <c r="HF100" s="326"/>
      <c r="HG100" s="326"/>
      <c r="HH100" s="326"/>
      <c r="HI100" s="326"/>
      <c r="HJ100" s="326"/>
      <c r="HK100" s="326"/>
      <c r="HL100" s="326"/>
      <c r="HM100" s="326"/>
      <c r="HN100" s="326"/>
      <c r="HO100" s="326"/>
      <c r="HP100" s="326"/>
      <c r="HQ100" s="326"/>
      <c r="HR100" s="326"/>
      <c r="HS100" s="326"/>
      <c r="HT100" s="326"/>
      <c r="HU100" s="326"/>
      <c r="HV100" s="326"/>
      <c r="HW100" s="326"/>
      <c r="HX100" s="326"/>
      <c r="HY100" s="326"/>
      <c r="HZ100" s="326"/>
      <c r="IA100" s="326"/>
      <c r="IB100" s="326"/>
      <c r="IC100" s="326"/>
      <c r="ID100" s="326"/>
      <c r="IE100" s="326"/>
      <c r="IF100" s="326"/>
      <c r="IG100" s="326"/>
      <c r="IH100" s="326"/>
      <c r="II100" s="326"/>
      <c r="IJ100" s="326"/>
      <c r="IK100" s="326"/>
      <c r="IL100" s="326"/>
      <c r="IM100" s="326"/>
      <c r="IN100" s="326"/>
      <c r="IO100" s="326"/>
      <c r="IP100" s="326"/>
      <c r="IQ100" s="326"/>
      <c r="IR100" s="326"/>
      <c r="IS100" s="326"/>
      <c r="IT100" s="326"/>
      <c r="IU100" s="326"/>
      <c r="IV100" s="326"/>
    </row>
    <row r="101" spans="1:256" s="560" customFormat="1" ht="19.5" customHeight="1">
      <c r="A101" s="574">
        <v>92</v>
      </c>
      <c r="B101" s="568"/>
      <c r="C101" s="366"/>
      <c r="D101" s="483" t="s">
        <v>1091</v>
      </c>
      <c r="E101" s="335"/>
      <c r="F101" s="1018"/>
      <c r="G101" s="573"/>
      <c r="H101" s="1020"/>
      <c r="I101" s="1018"/>
      <c r="J101" s="1018"/>
      <c r="K101" s="1018"/>
      <c r="L101" s="1018"/>
      <c r="M101" s="1309">
        <f>SUM(M99:M100)</f>
        <v>661170</v>
      </c>
      <c r="N101" s="1018"/>
      <c r="O101" s="1018"/>
      <c r="P101" s="569">
        <f>SUM(I101:O101)</f>
        <v>661170</v>
      </c>
      <c r="Q101" s="1019"/>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6"/>
      <c r="AZ101" s="326"/>
      <c r="BA101" s="326"/>
      <c r="BB101" s="326"/>
      <c r="BC101" s="326"/>
      <c r="BD101" s="326"/>
      <c r="BE101" s="326"/>
      <c r="BF101" s="326"/>
      <c r="BG101" s="326"/>
      <c r="BH101" s="326"/>
      <c r="BI101" s="326"/>
      <c r="BJ101" s="326"/>
      <c r="BK101" s="326"/>
      <c r="BL101" s="326"/>
      <c r="BM101" s="326"/>
      <c r="BN101" s="326"/>
      <c r="BO101" s="326"/>
      <c r="BP101" s="326"/>
      <c r="BQ101" s="326"/>
      <c r="BR101" s="326"/>
      <c r="BS101" s="326"/>
      <c r="BT101" s="326"/>
      <c r="BU101" s="326"/>
      <c r="BV101" s="326"/>
      <c r="BW101" s="326"/>
      <c r="BX101" s="326"/>
      <c r="BY101" s="326"/>
      <c r="BZ101" s="326"/>
      <c r="CA101" s="326"/>
      <c r="CB101" s="326"/>
      <c r="CC101" s="326"/>
      <c r="CD101" s="326"/>
      <c r="CE101" s="326"/>
      <c r="CF101" s="326"/>
      <c r="CG101" s="326"/>
      <c r="CH101" s="326"/>
      <c r="CI101" s="326"/>
      <c r="CJ101" s="326"/>
      <c r="CK101" s="326"/>
      <c r="CL101" s="326"/>
      <c r="CM101" s="326"/>
      <c r="CN101" s="326"/>
      <c r="CO101" s="326"/>
      <c r="CP101" s="326"/>
      <c r="CQ101" s="326"/>
      <c r="CR101" s="326"/>
      <c r="CS101" s="326"/>
      <c r="CT101" s="326"/>
      <c r="CU101" s="326"/>
      <c r="CV101" s="326"/>
      <c r="CW101" s="326"/>
      <c r="CX101" s="326"/>
      <c r="CY101" s="326"/>
      <c r="CZ101" s="326"/>
      <c r="DA101" s="326"/>
      <c r="DB101" s="326"/>
      <c r="DC101" s="326"/>
      <c r="DD101" s="326"/>
      <c r="DE101" s="326"/>
      <c r="DF101" s="326"/>
      <c r="DG101" s="326"/>
      <c r="DH101" s="326"/>
      <c r="DI101" s="326"/>
      <c r="DJ101" s="326"/>
      <c r="DK101" s="326"/>
      <c r="DL101" s="326"/>
      <c r="DM101" s="326"/>
      <c r="DN101" s="326"/>
      <c r="DO101" s="326"/>
      <c r="DP101" s="326"/>
      <c r="DQ101" s="326"/>
      <c r="DR101" s="326"/>
      <c r="DS101" s="326"/>
      <c r="DT101" s="326"/>
      <c r="DU101" s="326"/>
      <c r="DV101" s="326"/>
      <c r="DW101" s="326"/>
      <c r="DX101" s="326"/>
      <c r="DY101" s="326"/>
      <c r="DZ101" s="326"/>
      <c r="EA101" s="326"/>
      <c r="EB101" s="326"/>
      <c r="EC101" s="326"/>
      <c r="ED101" s="326"/>
      <c r="EE101" s="326"/>
      <c r="EF101" s="326"/>
      <c r="EG101" s="326"/>
      <c r="EH101" s="326"/>
      <c r="EI101" s="326"/>
      <c r="EJ101" s="326"/>
      <c r="EK101" s="326"/>
      <c r="EL101" s="326"/>
      <c r="EM101" s="326"/>
      <c r="EN101" s="326"/>
      <c r="EO101" s="326"/>
      <c r="EP101" s="326"/>
      <c r="EQ101" s="326"/>
      <c r="ER101" s="326"/>
      <c r="ES101" s="326"/>
      <c r="ET101" s="326"/>
      <c r="EU101" s="326"/>
      <c r="EV101" s="326"/>
      <c r="EW101" s="326"/>
      <c r="EX101" s="326"/>
      <c r="EY101" s="326"/>
      <c r="EZ101" s="326"/>
      <c r="FA101" s="326"/>
      <c r="FB101" s="326"/>
      <c r="FC101" s="326"/>
      <c r="FD101" s="326"/>
      <c r="FE101" s="326"/>
      <c r="FF101" s="326"/>
      <c r="FG101" s="326"/>
      <c r="FH101" s="326"/>
      <c r="FI101" s="326"/>
      <c r="FJ101" s="326"/>
      <c r="FK101" s="326"/>
      <c r="FL101" s="326"/>
      <c r="FM101" s="326"/>
      <c r="FN101" s="326"/>
      <c r="FO101" s="326"/>
      <c r="FP101" s="326"/>
      <c r="FQ101" s="326"/>
      <c r="FR101" s="326"/>
      <c r="FS101" s="326"/>
      <c r="FT101" s="326"/>
      <c r="FU101" s="326"/>
      <c r="FV101" s="326"/>
      <c r="FW101" s="326"/>
      <c r="FX101" s="326"/>
      <c r="FY101" s="326"/>
      <c r="FZ101" s="326"/>
      <c r="GA101" s="326"/>
      <c r="GB101" s="326"/>
      <c r="GC101" s="326"/>
      <c r="GD101" s="326"/>
      <c r="GE101" s="326"/>
      <c r="GF101" s="326"/>
      <c r="GG101" s="326"/>
      <c r="GH101" s="326"/>
      <c r="GI101" s="326"/>
      <c r="GJ101" s="326"/>
      <c r="GK101" s="326"/>
      <c r="GL101" s="326"/>
      <c r="GM101" s="326"/>
      <c r="GN101" s="326"/>
      <c r="GO101" s="326"/>
      <c r="GP101" s="326"/>
      <c r="GQ101" s="326"/>
      <c r="GR101" s="326"/>
      <c r="GS101" s="326"/>
      <c r="GT101" s="326"/>
      <c r="GU101" s="326"/>
      <c r="GV101" s="326"/>
      <c r="GW101" s="326"/>
      <c r="GX101" s="326"/>
      <c r="GY101" s="326"/>
      <c r="GZ101" s="326"/>
      <c r="HA101" s="326"/>
      <c r="HB101" s="326"/>
      <c r="HC101" s="326"/>
      <c r="HD101" s="326"/>
      <c r="HE101" s="326"/>
      <c r="HF101" s="326"/>
      <c r="HG101" s="326"/>
      <c r="HH101" s="326"/>
      <c r="HI101" s="326"/>
      <c r="HJ101" s="326"/>
      <c r="HK101" s="326"/>
      <c r="HL101" s="326"/>
      <c r="HM101" s="326"/>
      <c r="HN101" s="326"/>
      <c r="HO101" s="326"/>
      <c r="HP101" s="326"/>
      <c r="HQ101" s="326"/>
      <c r="HR101" s="326"/>
      <c r="HS101" s="326"/>
      <c r="HT101" s="326"/>
      <c r="HU101" s="326"/>
      <c r="HV101" s="326"/>
      <c r="HW101" s="326"/>
      <c r="HX101" s="326"/>
      <c r="HY101" s="326"/>
      <c r="HZ101" s="326"/>
      <c r="IA101" s="326"/>
      <c r="IB101" s="326"/>
      <c r="IC101" s="326"/>
      <c r="ID101" s="326"/>
      <c r="IE101" s="326"/>
      <c r="IF101" s="326"/>
      <c r="IG101" s="326"/>
      <c r="IH101" s="326"/>
      <c r="II101" s="326"/>
      <c r="IJ101" s="326"/>
      <c r="IK101" s="326"/>
      <c r="IL101" s="326"/>
      <c r="IM101" s="326"/>
      <c r="IN101" s="326"/>
      <c r="IO101" s="326"/>
      <c r="IP101" s="326"/>
      <c r="IQ101" s="326"/>
      <c r="IR101" s="326"/>
      <c r="IS101" s="326"/>
      <c r="IT101" s="326"/>
      <c r="IU101" s="326"/>
      <c r="IV101" s="326"/>
    </row>
    <row r="102" spans="1:256" s="560" customFormat="1" ht="19.5" customHeight="1">
      <c r="A102" s="574">
        <v>93</v>
      </c>
      <c r="B102" s="568"/>
      <c r="C102" s="366"/>
      <c r="D102" s="328" t="s">
        <v>715</v>
      </c>
      <c r="E102" s="829">
        <f>F102+G102+P105</f>
        <v>117776</v>
      </c>
      <c r="F102" s="1018"/>
      <c r="G102" s="573"/>
      <c r="H102" s="1020"/>
      <c r="I102" s="1018"/>
      <c r="J102" s="1018"/>
      <c r="K102" s="1018"/>
      <c r="L102" s="1018"/>
      <c r="M102" s="561"/>
      <c r="N102" s="1018"/>
      <c r="O102" s="1018"/>
      <c r="P102" s="569"/>
      <c r="Q102" s="1019"/>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6"/>
      <c r="AZ102" s="326"/>
      <c r="BA102" s="326"/>
      <c r="BB102" s="326"/>
      <c r="BC102" s="326"/>
      <c r="BD102" s="326"/>
      <c r="BE102" s="326"/>
      <c r="BF102" s="326"/>
      <c r="BG102" s="326"/>
      <c r="BH102" s="326"/>
      <c r="BI102" s="326"/>
      <c r="BJ102" s="326"/>
      <c r="BK102" s="326"/>
      <c r="BL102" s="326"/>
      <c r="BM102" s="326"/>
      <c r="BN102" s="326"/>
      <c r="BO102" s="326"/>
      <c r="BP102" s="326"/>
      <c r="BQ102" s="326"/>
      <c r="BR102" s="326"/>
      <c r="BS102" s="326"/>
      <c r="BT102" s="326"/>
      <c r="BU102" s="326"/>
      <c r="BV102" s="326"/>
      <c r="BW102" s="326"/>
      <c r="BX102" s="326"/>
      <c r="BY102" s="326"/>
      <c r="BZ102" s="326"/>
      <c r="CA102" s="326"/>
      <c r="CB102" s="326"/>
      <c r="CC102" s="326"/>
      <c r="CD102" s="326"/>
      <c r="CE102" s="326"/>
      <c r="CF102" s="326"/>
      <c r="CG102" s="326"/>
      <c r="CH102" s="326"/>
      <c r="CI102" s="326"/>
      <c r="CJ102" s="326"/>
      <c r="CK102" s="326"/>
      <c r="CL102" s="326"/>
      <c r="CM102" s="326"/>
      <c r="CN102" s="326"/>
      <c r="CO102" s="326"/>
      <c r="CP102" s="326"/>
      <c r="CQ102" s="326"/>
      <c r="CR102" s="326"/>
      <c r="CS102" s="326"/>
      <c r="CT102" s="326"/>
      <c r="CU102" s="326"/>
      <c r="CV102" s="326"/>
      <c r="CW102" s="326"/>
      <c r="CX102" s="326"/>
      <c r="CY102" s="326"/>
      <c r="CZ102" s="326"/>
      <c r="DA102" s="326"/>
      <c r="DB102" s="326"/>
      <c r="DC102" s="326"/>
      <c r="DD102" s="326"/>
      <c r="DE102" s="326"/>
      <c r="DF102" s="326"/>
      <c r="DG102" s="326"/>
      <c r="DH102" s="326"/>
      <c r="DI102" s="326"/>
      <c r="DJ102" s="326"/>
      <c r="DK102" s="326"/>
      <c r="DL102" s="326"/>
      <c r="DM102" s="326"/>
      <c r="DN102" s="326"/>
      <c r="DO102" s="326"/>
      <c r="DP102" s="326"/>
      <c r="DQ102" s="326"/>
      <c r="DR102" s="326"/>
      <c r="DS102" s="326"/>
      <c r="DT102" s="326"/>
      <c r="DU102" s="326"/>
      <c r="DV102" s="326"/>
      <c r="DW102" s="326"/>
      <c r="DX102" s="326"/>
      <c r="DY102" s="326"/>
      <c r="DZ102" s="326"/>
      <c r="EA102" s="326"/>
      <c r="EB102" s="326"/>
      <c r="EC102" s="326"/>
      <c r="ED102" s="326"/>
      <c r="EE102" s="326"/>
      <c r="EF102" s="326"/>
      <c r="EG102" s="326"/>
      <c r="EH102" s="326"/>
      <c r="EI102" s="326"/>
      <c r="EJ102" s="326"/>
      <c r="EK102" s="326"/>
      <c r="EL102" s="326"/>
      <c r="EM102" s="326"/>
      <c r="EN102" s="326"/>
      <c r="EO102" s="326"/>
      <c r="EP102" s="326"/>
      <c r="EQ102" s="326"/>
      <c r="ER102" s="326"/>
      <c r="ES102" s="326"/>
      <c r="ET102" s="326"/>
      <c r="EU102" s="326"/>
      <c r="EV102" s="326"/>
      <c r="EW102" s="326"/>
      <c r="EX102" s="326"/>
      <c r="EY102" s="326"/>
      <c r="EZ102" s="326"/>
      <c r="FA102" s="326"/>
      <c r="FB102" s="326"/>
      <c r="FC102" s="326"/>
      <c r="FD102" s="326"/>
      <c r="FE102" s="326"/>
      <c r="FF102" s="326"/>
      <c r="FG102" s="326"/>
      <c r="FH102" s="326"/>
      <c r="FI102" s="326"/>
      <c r="FJ102" s="326"/>
      <c r="FK102" s="326"/>
      <c r="FL102" s="326"/>
      <c r="FM102" s="326"/>
      <c r="FN102" s="326"/>
      <c r="FO102" s="326"/>
      <c r="FP102" s="326"/>
      <c r="FQ102" s="326"/>
      <c r="FR102" s="326"/>
      <c r="FS102" s="326"/>
      <c r="FT102" s="326"/>
      <c r="FU102" s="326"/>
      <c r="FV102" s="326"/>
      <c r="FW102" s="326"/>
      <c r="FX102" s="326"/>
      <c r="FY102" s="326"/>
      <c r="FZ102" s="326"/>
      <c r="GA102" s="326"/>
      <c r="GB102" s="326"/>
      <c r="GC102" s="326"/>
      <c r="GD102" s="326"/>
      <c r="GE102" s="326"/>
      <c r="GF102" s="326"/>
      <c r="GG102" s="326"/>
      <c r="GH102" s="326"/>
      <c r="GI102" s="326"/>
      <c r="GJ102" s="326"/>
      <c r="GK102" s="326"/>
      <c r="GL102" s="326"/>
      <c r="GM102" s="326"/>
      <c r="GN102" s="326"/>
      <c r="GO102" s="326"/>
      <c r="GP102" s="326"/>
      <c r="GQ102" s="326"/>
      <c r="GR102" s="326"/>
      <c r="GS102" s="326"/>
      <c r="GT102" s="326"/>
      <c r="GU102" s="326"/>
      <c r="GV102" s="326"/>
      <c r="GW102" s="326"/>
      <c r="GX102" s="326"/>
      <c r="GY102" s="326"/>
      <c r="GZ102" s="326"/>
      <c r="HA102" s="326"/>
      <c r="HB102" s="326"/>
      <c r="HC102" s="326"/>
      <c r="HD102" s="326"/>
      <c r="HE102" s="326"/>
      <c r="HF102" s="326"/>
      <c r="HG102" s="326"/>
      <c r="HH102" s="326"/>
      <c r="HI102" s="326"/>
      <c r="HJ102" s="326"/>
      <c r="HK102" s="326"/>
      <c r="HL102" s="326"/>
      <c r="HM102" s="326"/>
      <c r="HN102" s="326"/>
      <c r="HO102" s="326"/>
      <c r="HP102" s="326"/>
      <c r="HQ102" s="326"/>
      <c r="HR102" s="326"/>
      <c r="HS102" s="326"/>
      <c r="HT102" s="326"/>
      <c r="HU102" s="326"/>
      <c r="HV102" s="326"/>
      <c r="HW102" s="326"/>
      <c r="HX102" s="326"/>
      <c r="HY102" s="326"/>
      <c r="HZ102" s="326"/>
      <c r="IA102" s="326"/>
      <c r="IB102" s="326"/>
      <c r="IC102" s="326"/>
      <c r="ID102" s="326"/>
      <c r="IE102" s="326"/>
      <c r="IF102" s="326"/>
      <c r="IG102" s="326"/>
      <c r="IH102" s="326"/>
      <c r="II102" s="326"/>
      <c r="IJ102" s="326"/>
      <c r="IK102" s="326"/>
      <c r="IL102" s="326"/>
      <c r="IM102" s="326"/>
      <c r="IN102" s="326"/>
      <c r="IO102" s="326"/>
      <c r="IP102" s="326"/>
      <c r="IQ102" s="326"/>
      <c r="IR102" s="326"/>
      <c r="IS102" s="326"/>
      <c r="IT102" s="326"/>
      <c r="IU102" s="326"/>
      <c r="IV102" s="326"/>
    </row>
    <row r="103" spans="1:256" s="560" customFormat="1" ht="19.5" customHeight="1">
      <c r="A103" s="574">
        <v>94</v>
      </c>
      <c r="B103" s="568"/>
      <c r="C103" s="366"/>
      <c r="D103" s="483" t="s">
        <v>938</v>
      </c>
      <c r="E103" s="829"/>
      <c r="F103" s="1018"/>
      <c r="G103" s="573"/>
      <c r="H103" s="1020"/>
      <c r="I103" s="1018"/>
      <c r="J103" s="1018"/>
      <c r="K103" s="1018"/>
      <c r="L103" s="1018"/>
      <c r="M103" s="1309">
        <v>149576</v>
      </c>
      <c r="N103" s="1018"/>
      <c r="O103" s="1018"/>
      <c r="P103" s="569">
        <f>SUM(I103:O103)</f>
        <v>149576</v>
      </c>
      <c r="Q103" s="1019"/>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6"/>
      <c r="AZ103" s="326"/>
      <c r="BA103" s="326"/>
      <c r="BB103" s="326"/>
      <c r="BC103" s="326"/>
      <c r="BD103" s="326"/>
      <c r="BE103" s="326"/>
      <c r="BF103" s="326"/>
      <c r="BG103" s="326"/>
      <c r="BH103" s="326"/>
      <c r="BI103" s="326"/>
      <c r="BJ103" s="326"/>
      <c r="BK103" s="326"/>
      <c r="BL103" s="326"/>
      <c r="BM103" s="326"/>
      <c r="BN103" s="326"/>
      <c r="BO103" s="326"/>
      <c r="BP103" s="326"/>
      <c r="BQ103" s="326"/>
      <c r="BR103" s="326"/>
      <c r="BS103" s="326"/>
      <c r="BT103" s="326"/>
      <c r="BU103" s="326"/>
      <c r="BV103" s="326"/>
      <c r="BW103" s="326"/>
      <c r="BX103" s="326"/>
      <c r="BY103" s="326"/>
      <c r="BZ103" s="326"/>
      <c r="CA103" s="326"/>
      <c r="CB103" s="326"/>
      <c r="CC103" s="326"/>
      <c r="CD103" s="326"/>
      <c r="CE103" s="326"/>
      <c r="CF103" s="326"/>
      <c r="CG103" s="326"/>
      <c r="CH103" s="326"/>
      <c r="CI103" s="326"/>
      <c r="CJ103" s="326"/>
      <c r="CK103" s="326"/>
      <c r="CL103" s="326"/>
      <c r="CM103" s="326"/>
      <c r="CN103" s="326"/>
      <c r="CO103" s="326"/>
      <c r="CP103" s="326"/>
      <c r="CQ103" s="326"/>
      <c r="CR103" s="326"/>
      <c r="CS103" s="326"/>
      <c r="CT103" s="326"/>
      <c r="CU103" s="326"/>
      <c r="CV103" s="326"/>
      <c r="CW103" s="326"/>
      <c r="CX103" s="326"/>
      <c r="CY103" s="326"/>
      <c r="CZ103" s="326"/>
      <c r="DA103" s="326"/>
      <c r="DB103" s="326"/>
      <c r="DC103" s="326"/>
      <c r="DD103" s="326"/>
      <c r="DE103" s="326"/>
      <c r="DF103" s="326"/>
      <c r="DG103" s="326"/>
      <c r="DH103" s="326"/>
      <c r="DI103" s="326"/>
      <c r="DJ103" s="326"/>
      <c r="DK103" s="326"/>
      <c r="DL103" s="326"/>
      <c r="DM103" s="326"/>
      <c r="DN103" s="326"/>
      <c r="DO103" s="326"/>
      <c r="DP103" s="326"/>
      <c r="DQ103" s="326"/>
      <c r="DR103" s="326"/>
      <c r="DS103" s="326"/>
      <c r="DT103" s="326"/>
      <c r="DU103" s="326"/>
      <c r="DV103" s="326"/>
      <c r="DW103" s="326"/>
      <c r="DX103" s="326"/>
      <c r="DY103" s="326"/>
      <c r="DZ103" s="326"/>
      <c r="EA103" s="326"/>
      <c r="EB103" s="326"/>
      <c r="EC103" s="326"/>
      <c r="ED103" s="326"/>
      <c r="EE103" s="326"/>
      <c r="EF103" s="326"/>
      <c r="EG103" s="326"/>
      <c r="EH103" s="326"/>
      <c r="EI103" s="326"/>
      <c r="EJ103" s="326"/>
      <c r="EK103" s="326"/>
      <c r="EL103" s="326"/>
      <c r="EM103" s="326"/>
      <c r="EN103" s="326"/>
      <c r="EO103" s="326"/>
      <c r="EP103" s="326"/>
      <c r="EQ103" s="326"/>
      <c r="ER103" s="326"/>
      <c r="ES103" s="326"/>
      <c r="ET103" s="326"/>
      <c r="EU103" s="326"/>
      <c r="EV103" s="326"/>
      <c r="EW103" s="326"/>
      <c r="EX103" s="326"/>
      <c r="EY103" s="326"/>
      <c r="EZ103" s="326"/>
      <c r="FA103" s="326"/>
      <c r="FB103" s="326"/>
      <c r="FC103" s="326"/>
      <c r="FD103" s="326"/>
      <c r="FE103" s="326"/>
      <c r="FF103" s="326"/>
      <c r="FG103" s="326"/>
      <c r="FH103" s="326"/>
      <c r="FI103" s="326"/>
      <c r="FJ103" s="326"/>
      <c r="FK103" s="326"/>
      <c r="FL103" s="326"/>
      <c r="FM103" s="326"/>
      <c r="FN103" s="326"/>
      <c r="FO103" s="326"/>
      <c r="FP103" s="326"/>
      <c r="FQ103" s="326"/>
      <c r="FR103" s="326"/>
      <c r="FS103" s="326"/>
      <c r="FT103" s="326"/>
      <c r="FU103" s="326"/>
      <c r="FV103" s="326"/>
      <c r="FW103" s="326"/>
      <c r="FX103" s="326"/>
      <c r="FY103" s="326"/>
      <c r="FZ103" s="326"/>
      <c r="GA103" s="326"/>
      <c r="GB103" s="326"/>
      <c r="GC103" s="326"/>
      <c r="GD103" s="326"/>
      <c r="GE103" s="326"/>
      <c r="GF103" s="326"/>
      <c r="GG103" s="326"/>
      <c r="GH103" s="326"/>
      <c r="GI103" s="326"/>
      <c r="GJ103" s="326"/>
      <c r="GK103" s="326"/>
      <c r="GL103" s="326"/>
      <c r="GM103" s="326"/>
      <c r="GN103" s="326"/>
      <c r="GO103" s="326"/>
      <c r="GP103" s="326"/>
      <c r="GQ103" s="326"/>
      <c r="GR103" s="326"/>
      <c r="GS103" s="326"/>
      <c r="GT103" s="326"/>
      <c r="GU103" s="326"/>
      <c r="GV103" s="326"/>
      <c r="GW103" s="326"/>
      <c r="GX103" s="326"/>
      <c r="GY103" s="326"/>
      <c r="GZ103" s="326"/>
      <c r="HA103" s="326"/>
      <c r="HB103" s="326"/>
      <c r="HC103" s="326"/>
      <c r="HD103" s="326"/>
      <c r="HE103" s="326"/>
      <c r="HF103" s="326"/>
      <c r="HG103" s="326"/>
      <c r="HH103" s="326"/>
      <c r="HI103" s="326"/>
      <c r="HJ103" s="326"/>
      <c r="HK103" s="326"/>
      <c r="HL103" s="326"/>
      <c r="HM103" s="326"/>
      <c r="HN103" s="326"/>
      <c r="HO103" s="326"/>
      <c r="HP103" s="326"/>
      <c r="HQ103" s="326"/>
      <c r="HR103" s="326"/>
      <c r="HS103" s="326"/>
      <c r="HT103" s="326"/>
      <c r="HU103" s="326"/>
      <c r="HV103" s="326"/>
      <c r="HW103" s="326"/>
      <c r="HX103" s="326"/>
      <c r="HY103" s="326"/>
      <c r="HZ103" s="326"/>
      <c r="IA103" s="326"/>
      <c r="IB103" s="326"/>
      <c r="IC103" s="326"/>
      <c r="ID103" s="326"/>
      <c r="IE103" s="326"/>
      <c r="IF103" s="326"/>
      <c r="IG103" s="326"/>
      <c r="IH103" s="326"/>
      <c r="II103" s="326"/>
      <c r="IJ103" s="326"/>
      <c r="IK103" s="326"/>
      <c r="IL103" s="326"/>
      <c r="IM103" s="326"/>
      <c r="IN103" s="326"/>
      <c r="IO103" s="326"/>
      <c r="IP103" s="326"/>
      <c r="IQ103" s="326"/>
      <c r="IR103" s="326"/>
      <c r="IS103" s="326"/>
      <c r="IT103" s="326"/>
      <c r="IU103" s="326"/>
      <c r="IV103" s="326"/>
    </row>
    <row r="104" spans="1:256" s="560" customFormat="1" ht="19.5" customHeight="1">
      <c r="A104" s="574">
        <v>95</v>
      </c>
      <c r="B104" s="568"/>
      <c r="C104" s="366"/>
      <c r="D104" s="1146" t="s">
        <v>689</v>
      </c>
      <c r="E104" s="335"/>
      <c r="F104" s="1018"/>
      <c r="G104" s="573"/>
      <c r="H104" s="1020"/>
      <c r="I104" s="1018"/>
      <c r="J104" s="1018"/>
      <c r="K104" s="1018"/>
      <c r="L104" s="1018"/>
      <c r="M104" s="1306">
        <v>-31800</v>
      </c>
      <c r="N104" s="1018"/>
      <c r="O104" s="1018"/>
      <c r="P104" s="1307">
        <f>SUM(I104:O104)</f>
        <v>-31800</v>
      </c>
      <c r="Q104" s="1019"/>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6"/>
      <c r="AZ104" s="326"/>
      <c r="BA104" s="326"/>
      <c r="BB104" s="326"/>
      <c r="BC104" s="326"/>
      <c r="BD104" s="326"/>
      <c r="BE104" s="326"/>
      <c r="BF104" s="326"/>
      <c r="BG104" s="326"/>
      <c r="BH104" s="326"/>
      <c r="BI104" s="326"/>
      <c r="BJ104" s="326"/>
      <c r="BK104" s="326"/>
      <c r="BL104" s="326"/>
      <c r="BM104" s="326"/>
      <c r="BN104" s="326"/>
      <c r="BO104" s="326"/>
      <c r="BP104" s="326"/>
      <c r="BQ104" s="326"/>
      <c r="BR104" s="326"/>
      <c r="BS104" s="326"/>
      <c r="BT104" s="326"/>
      <c r="BU104" s="326"/>
      <c r="BV104" s="326"/>
      <c r="BW104" s="326"/>
      <c r="BX104" s="326"/>
      <c r="BY104" s="326"/>
      <c r="BZ104" s="326"/>
      <c r="CA104" s="326"/>
      <c r="CB104" s="326"/>
      <c r="CC104" s="326"/>
      <c r="CD104" s="326"/>
      <c r="CE104" s="326"/>
      <c r="CF104" s="326"/>
      <c r="CG104" s="326"/>
      <c r="CH104" s="326"/>
      <c r="CI104" s="326"/>
      <c r="CJ104" s="326"/>
      <c r="CK104" s="326"/>
      <c r="CL104" s="326"/>
      <c r="CM104" s="326"/>
      <c r="CN104" s="326"/>
      <c r="CO104" s="326"/>
      <c r="CP104" s="326"/>
      <c r="CQ104" s="326"/>
      <c r="CR104" s="326"/>
      <c r="CS104" s="326"/>
      <c r="CT104" s="326"/>
      <c r="CU104" s="326"/>
      <c r="CV104" s="326"/>
      <c r="CW104" s="326"/>
      <c r="CX104" s="326"/>
      <c r="CY104" s="326"/>
      <c r="CZ104" s="326"/>
      <c r="DA104" s="326"/>
      <c r="DB104" s="326"/>
      <c r="DC104" s="326"/>
      <c r="DD104" s="326"/>
      <c r="DE104" s="326"/>
      <c r="DF104" s="326"/>
      <c r="DG104" s="326"/>
      <c r="DH104" s="326"/>
      <c r="DI104" s="326"/>
      <c r="DJ104" s="326"/>
      <c r="DK104" s="326"/>
      <c r="DL104" s="326"/>
      <c r="DM104" s="326"/>
      <c r="DN104" s="326"/>
      <c r="DO104" s="326"/>
      <c r="DP104" s="326"/>
      <c r="DQ104" s="326"/>
      <c r="DR104" s="326"/>
      <c r="DS104" s="326"/>
      <c r="DT104" s="326"/>
      <c r="DU104" s="326"/>
      <c r="DV104" s="326"/>
      <c r="DW104" s="326"/>
      <c r="DX104" s="326"/>
      <c r="DY104" s="326"/>
      <c r="DZ104" s="326"/>
      <c r="EA104" s="326"/>
      <c r="EB104" s="326"/>
      <c r="EC104" s="326"/>
      <c r="ED104" s="326"/>
      <c r="EE104" s="326"/>
      <c r="EF104" s="326"/>
      <c r="EG104" s="326"/>
      <c r="EH104" s="326"/>
      <c r="EI104" s="326"/>
      <c r="EJ104" s="326"/>
      <c r="EK104" s="326"/>
      <c r="EL104" s="326"/>
      <c r="EM104" s="326"/>
      <c r="EN104" s="326"/>
      <c r="EO104" s="326"/>
      <c r="EP104" s="326"/>
      <c r="EQ104" s="326"/>
      <c r="ER104" s="326"/>
      <c r="ES104" s="326"/>
      <c r="ET104" s="326"/>
      <c r="EU104" s="326"/>
      <c r="EV104" s="326"/>
      <c r="EW104" s="326"/>
      <c r="EX104" s="326"/>
      <c r="EY104" s="326"/>
      <c r="EZ104" s="326"/>
      <c r="FA104" s="326"/>
      <c r="FB104" s="326"/>
      <c r="FC104" s="326"/>
      <c r="FD104" s="326"/>
      <c r="FE104" s="326"/>
      <c r="FF104" s="326"/>
      <c r="FG104" s="326"/>
      <c r="FH104" s="326"/>
      <c r="FI104" s="326"/>
      <c r="FJ104" s="326"/>
      <c r="FK104" s="326"/>
      <c r="FL104" s="326"/>
      <c r="FM104" s="326"/>
      <c r="FN104" s="326"/>
      <c r="FO104" s="326"/>
      <c r="FP104" s="326"/>
      <c r="FQ104" s="326"/>
      <c r="FR104" s="326"/>
      <c r="FS104" s="326"/>
      <c r="FT104" s="326"/>
      <c r="FU104" s="326"/>
      <c r="FV104" s="326"/>
      <c r="FW104" s="326"/>
      <c r="FX104" s="326"/>
      <c r="FY104" s="326"/>
      <c r="FZ104" s="326"/>
      <c r="GA104" s="326"/>
      <c r="GB104" s="326"/>
      <c r="GC104" s="326"/>
      <c r="GD104" s="326"/>
      <c r="GE104" s="326"/>
      <c r="GF104" s="326"/>
      <c r="GG104" s="326"/>
      <c r="GH104" s="326"/>
      <c r="GI104" s="326"/>
      <c r="GJ104" s="326"/>
      <c r="GK104" s="326"/>
      <c r="GL104" s="326"/>
      <c r="GM104" s="326"/>
      <c r="GN104" s="326"/>
      <c r="GO104" s="326"/>
      <c r="GP104" s="326"/>
      <c r="GQ104" s="326"/>
      <c r="GR104" s="326"/>
      <c r="GS104" s="326"/>
      <c r="GT104" s="326"/>
      <c r="GU104" s="326"/>
      <c r="GV104" s="326"/>
      <c r="GW104" s="326"/>
      <c r="GX104" s="326"/>
      <c r="GY104" s="326"/>
      <c r="GZ104" s="326"/>
      <c r="HA104" s="326"/>
      <c r="HB104" s="326"/>
      <c r="HC104" s="326"/>
      <c r="HD104" s="326"/>
      <c r="HE104" s="326"/>
      <c r="HF104" s="326"/>
      <c r="HG104" s="326"/>
      <c r="HH104" s="326"/>
      <c r="HI104" s="326"/>
      <c r="HJ104" s="326"/>
      <c r="HK104" s="326"/>
      <c r="HL104" s="326"/>
      <c r="HM104" s="326"/>
      <c r="HN104" s="326"/>
      <c r="HO104" s="326"/>
      <c r="HP104" s="326"/>
      <c r="HQ104" s="326"/>
      <c r="HR104" s="326"/>
      <c r="HS104" s="326"/>
      <c r="HT104" s="326"/>
      <c r="HU104" s="326"/>
      <c r="HV104" s="326"/>
      <c r="HW104" s="326"/>
      <c r="HX104" s="326"/>
      <c r="HY104" s="326"/>
      <c r="HZ104" s="326"/>
      <c r="IA104" s="326"/>
      <c r="IB104" s="326"/>
      <c r="IC104" s="326"/>
      <c r="ID104" s="326"/>
      <c r="IE104" s="326"/>
      <c r="IF104" s="326"/>
      <c r="IG104" s="326"/>
      <c r="IH104" s="326"/>
      <c r="II104" s="326"/>
      <c r="IJ104" s="326"/>
      <c r="IK104" s="326"/>
      <c r="IL104" s="326"/>
      <c r="IM104" s="326"/>
      <c r="IN104" s="326"/>
      <c r="IO104" s="326"/>
      <c r="IP104" s="326"/>
      <c r="IQ104" s="326"/>
      <c r="IR104" s="326"/>
      <c r="IS104" s="326"/>
      <c r="IT104" s="326"/>
      <c r="IU104" s="326"/>
      <c r="IV104" s="326"/>
    </row>
    <row r="105" spans="1:256" s="560" customFormat="1" ht="19.5" customHeight="1">
      <c r="A105" s="574">
        <v>96</v>
      </c>
      <c r="B105" s="568"/>
      <c r="C105" s="366"/>
      <c r="D105" s="483" t="s">
        <v>1091</v>
      </c>
      <c r="E105" s="335"/>
      <c r="F105" s="1018"/>
      <c r="G105" s="573"/>
      <c r="H105" s="1020"/>
      <c r="I105" s="1018"/>
      <c r="J105" s="1018"/>
      <c r="K105" s="1018"/>
      <c r="L105" s="1018"/>
      <c r="M105" s="1309">
        <f>SUM(M103:M104)</f>
        <v>117776</v>
      </c>
      <c r="N105" s="1018"/>
      <c r="O105" s="1018"/>
      <c r="P105" s="569">
        <f>SUM(I105:O105)</f>
        <v>117776</v>
      </c>
      <c r="Q105" s="1019"/>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326"/>
      <c r="BG105" s="326"/>
      <c r="BH105" s="326"/>
      <c r="BI105" s="326"/>
      <c r="BJ105" s="326"/>
      <c r="BK105" s="326"/>
      <c r="BL105" s="326"/>
      <c r="BM105" s="326"/>
      <c r="BN105" s="326"/>
      <c r="BO105" s="326"/>
      <c r="BP105" s="326"/>
      <c r="BQ105" s="326"/>
      <c r="BR105" s="326"/>
      <c r="BS105" s="326"/>
      <c r="BT105" s="326"/>
      <c r="BU105" s="326"/>
      <c r="BV105" s="326"/>
      <c r="BW105" s="326"/>
      <c r="BX105" s="326"/>
      <c r="BY105" s="326"/>
      <c r="BZ105" s="326"/>
      <c r="CA105" s="326"/>
      <c r="CB105" s="326"/>
      <c r="CC105" s="326"/>
      <c r="CD105" s="326"/>
      <c r="CE105" s="326"/>
      <c r="CF105" s="326"/>
      <c r="CG105" s="326"/>
      <c r="CH105" s="326"/>
      <c r="CI105" s="326"/>
      <c r="CJ105" s="326"/>
      <c r="CK105" s="326"/>
      <c r="CL105" s="326"/>
      <c r="CM105" s="326"/>
      <c r="CN105" s="326"/>
      <c r="CO105" s="326"/>
      <c r="CP105" s="326"/>
      <c r="CQ105" s="326"/>
      <c r="CR105" s="326"/>
      <c r="CS105" s="326"/>
      <c r="CT105" s="326"/>
      <c r="CU105" s="326"/>
      <c r="CV105" s="326"/>
      <c r="CW105" s="326"/>
      <c r="CX105" s="326"/>
      <c r="CY105" s="326"/>
      <c r="CZ105" s="326"/>
      <c r="DA105" s="326"/>
      <c r="DB105" s="326"/>
      <c r="DC105" s="326"/>
      <c r="DD105" s="326"/>
      <c r="DE105" s="326"/>
      <c r="DF105" s="326"/>
      <c r="DG105" s="326"/>
      <c r="DH105" s="326"/>
      <c r="DI105" s="326"/>
      <c r="DJ105" s="326"/>
      <c r="DK105" s="326"/>
      <c r="DL105" s="326"/>
      <c r="DM105" s="326"/>
      <c r="DN105" s="326"/>
      <c r="DO105" s="326"/>
      <c r="DP105" s="326"/>
      <c r="DQ105" s="326"/>
      <c r="DR105" s="326"/>
      <c r="DS105" s="326"/>
      <c r="DT105" s="326"/>
      <c r="DU105" s="326"/>
      <c r="DV105" s="326"/>
      <c r="DW105" s="326"/>
      <c r="DX105" s="326"/>
      <c r="DY105" s="326"/>
      <c r="DZ105" s="326"/>
      <c r="EA105" s="326"/>
      <c r="EB105" s="326"/>
      <c r="EC105" s="326"/>
      <c r="ED105" s="326"/>
      <c r="EE105" s="326"/>
      <c r="EF105" s="326"/>
      <c r="EG105" s="326"/>
      <c r="EH105" s="326"/>
      <c r="EI105" s="326"/>
      <c r="EJ105" s="326"/>
      <c r="EK105" s="326"/>
      <c r="EL105" s="326"/>
      <c r="EM105" s="326"/>
      <c r="EN105" s="326"/>
      <c r="EO105" s="326"/>
      <c r="EP105" s="326"/>
      <c r="EQ105" s="326"/>
      <c r="ER105" s="326"/>
      <c r="ES105" s="326"/>
      <c r="ET105" s="326"/>
      <c r="EU105" s="326"/>
      <c r="EV105" s="326"/>
      <c r="EW105" s="326"/>
      <c r="EX105" s="326"/>
      <c r="EY105" s="326"/>
      <c r="EZ105" s="326"/>
      <c r="FA105" s="326"/>
      <c r="FB105" s="326"/>
      <c r="FC105" s="326"/>
      <c r="FD105" s="326"/>
      <c r="FE105" s="326"/>
      <c r="FF105" s="326"/>
      <c r="FG105" s="326"/>
      <c r="FH105" s="326"/>
      <c r="FI105" s="326"/>
      <c r="FJ105" s="326"/>
      <c r="FK105" s="326"/>
      <c r="FL105" s="326"/>
      <c r="FM105" s="326"/>
      <c r="FN105" s="326"/>
      <c r="FO105" s="326"/>
      <c r="FP105" s="326"/>
      <c r="FQ105" s="326"/>
      <c r="FR105" s="326"/>
      <c r="FS105" s="326"/>
      <c r="FT105" s="326"/>
      <c r="FU105" s="326"/>
      <c r="FV105" s="326"/>
      <c r="FW105" s="326"/>
      <c r="FX105" s="326"/>
      <c r="FY105" s="326"/>
      <c r="FZ105" s="326"/>
      <c r="GA105" s="326"/>
      <c r="GB105" s="326"/>
      <c r="GC105" s="326"/>
      <c r="GD105" s="326"/>
      <c r="GE105" s="326"/>
      <c r="GF105" s="326"/>
      <c r="GG105" s="326"/>
      <c r="GH105" s="326"/>
      <c r="GI105" s="326"/>
      <c r="GJ105" s="326"/>
      <c r="GK105" s="326"/>
      <c r="GL105" s="326"/>
      <c r="GM105" s="326"/>
      <c r="GN105" s="326"/>
      <c r="GO105" s="326"/>
      <c r="GP105" s="326"/>
      <c r="GQ105" s="326"/>
      <c r="GR105" s="326"/>
      <c r="GS105" s="326"/>
      <c r="GT105" s="326"/>
      <c r="GU105" s="326"/>
      <c r="GV105" s="326"/>
      <c r="GW105" s="326"/>
      <c r="GX105" s="326"/>
      <c r="GY105" s="326"/>
      <c r="GZ105" s="326"/>
      <c r="HA105" s="326"/>
      <c r="HB105" s="326"/>
      <c r="HC105" s="326"/>
      <c r="HD105" s="326"/>
      <c r="HE105" s="326"/>
      <c r="HF105" s="326"/>
      <c r="HG105" s="326"/>
      <c r="HH105" s="326"/>
      <c r="HI105" s="326"/>
      <c r="HJ105" s="326"/>
      <c r="HK105" s="326"/>
      <c r="HL105" s="326"/>
      <c r="HM105" s="326"/>
      <c r="HN105" s="326"/>
      <c r="HO105" s="326"/>
      <c r="HP105" s="326"/>
      <c r="HQ105" s="326"/>
      <c r="HR105" s="326"/>
      <c r="HS105" s="326"/>
      <c r="HT105" s="326"/>
      <c r="HU105" s="326"/>
      <c r="HV105" s="326"/>
      <c r="HW105" s="326"/>
      <c r="HX105" s="326"/>
      <c r="HY105" s="326"/>
      <c r="HZ105" s="326"/>
      <c r="IA105" s="326"/>
      <c r="IB105" s="326"/>
      <c r="IC105" s="326"/>
      <c r="ID105" s="326"/>
      <c r="IE105" s="326"/>
      <c r="IF105" s="326"/>
      <c r="IG105" s="326"/>
      <c r="IH105" s="326"/>
      <c r="II105" s="326"/>
      <c r="IJ105" s="326"/>
      <c r="IK105" s="326"/>
      <c r="IL105" s="326"/>
      <c r="IM105" s="326"/>
      <c r="IN105" s="326"/>
      <c r="IO105" s="326"/>
      <c r="IP105" s="326"/>
      <c r="IQ105" s="326"/>
      <c r="IR105" s="326"/>
      <c r="IS105" s="326"/>
      <c r="IT105" s="326"/>
      <c r="IU105" s="326"/>
      <c r="IV105" s="326"/>
    </row>
    <row r="106" spans="1:256" s="560" customFormat="1" ht="35.25" customHeight="1">
      <c r="A106" s="574">
        <v>97</v>
      </c>
      <c r="B106" s="568"/>
      <c r="C106" s="366"/>
      <c r="D106" s="328" t="s">
        <v>716</v>
      </c>
      <c r="E106" s="335">
        <f>F106+G106+P109</f>
        <v>65042</v>
      </c>
      <c r="F106" s="1018"/>
      <c r="G106" s="573"/>
      <c r="H106" s="1020"/>
      <c r="I106" s="1018"/>
      <c r="J106" s="1018"/>
      <c r="K106" s="1018"/>
      <c r="L106" s="1018"/>
      <c r="M106" s="784"/>
      <c r="N106" s="1018"/>
      <c r="O106" s="1018"/>
      <c r="P106" s="758"/>
      <c r="Q106" s="1019"/>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J106" s="326"/>
      <c r="BK106" s="326"/>
      <c r="BL106" s="326"/>
      <c r="BM106" s="326"/>
      <c r="BN106" s="326"/>
      <c r="BO106" s="326"/>
      <c r="BP106" s="326"/>
      <c r="BQ106" s="326"/>
      <c r="BR106" s="326"/>
      <c r="BS106" s="326"/>
      <c r="BT106" s="326"/>
      <c r="BU106" s="326"/>
      <c r="BV106" s="326"/>
      <c r="BW106" s="326"/>
      <c r="BX106" s="326"/>
      <c r="BY106" s="326"/>
      <c r="BZ106" s="326"/>
      <c r="CA106" s="326"/>
      <c r="CB106" s="326"/>
      <c r="CC106" s="326"/>
      <c r="CD106" s="326"/>
      <c r="CE106" s="326"/>
      <c r="CF106" s="326"/>
      <c r="CG106" s="326"/>
      <c r="CH106" s="326"/>
      <c r="CI106" s="326"/>
      <c r="CJ106" s="326"/>
      <c r="CK106" s="326"/>
      <c r="CL106" s="326"/>
      <c r="CM106" s="326"/>
      <c r="CN106" s="326"/>
      <c r="CO106" s="326"/>
      <c r="CP106" s="326"/>
      <c r="CQ106" s="326"/>
      <c r="CR106" s="326"/>
      <c r="CS106" s="326"/>
      <c r="CT106" s="326"/>
      <c r="CU106" s="326"/>
      <c r="CV106" s="326"/>
      <c r="CW106" s="326"/>
      <c r="CX106" s="326"/>
      <c r="CY106" s="326"/>
      <c r="CZ106" s="326"/>
      <c r="DA106" s="326"/>
      <c r="DB106" s="326"/>
      <c r="DC106" s="326"/>
      <c r="DD106" s="326"/>
      <c r="DE106" s="326"/>
      <c r="DF106" s="326"/>
      <c r="DG106" s="326"/>
      <c r="DH106" s="326"/>
      <c r="DI106" s="326"/>
      <c r="DJ106" s="326"/>
      <c r="DK106" s="326"/>
      <c r="DL106" s="326"/>
      <c r="DM106" s="326"/>
      <c r="DN106" s="326"/>
      <c r="DO106" s="326"/>
      <c r="DP106" s="326"/>
      <c r="DQ106" s="326"/>
      <c r="DR106" s="326"/>
      <c r="DS106" s="326"/>
      <c r="DT106" s="326"/>
      <c r="DU106" s="326"/>
      <c r="DV106" s="326"/>
      <c r="DW106" s="326"/>
      <c r="DX106" s="326"/>
      <c r="DY106" s="326"/>
      <c r="DZ106" s="326"/>
      <c r="EA106" s="326"/>
      <c r="EB106" s="326"/>
      <c r="EC106" s="326"/>
      <c r="ED106" s="326"/>
      <c r="EE106" s="326"/>
      <c r="EF106" s="326"/>
      <c r="EG106" s="326"/>
      <c r="EH106" s="326"/>
      <c r="EI106" s="326"/>
      <c r="EJ106" s="326"/>
      <c r="EK106" s="326"/>
      <c r="EL106" s="326"/>
      <c r="EM106" s="326"/>
      <c r="EN106" s="326"/>
      <c r="EO106" s="326"/>
      <c r="EP106" s="326"/>
      <c r="EQ106" s="326"/>
      <c r="ER106" s="326"/>
      <c r="ES106" s="326"/>
      <c r="ET106" s="326"/>
      <c r="EU106" s="326"/>
      <c r="EV106" s="326"/>
      <c r="EW106" s="326"/>
      <c r="EX106" s="326"/>
      <c r="EY106" s="326"/>
      <c r="EZ106" s="326"/>
      <c r="FA106" s="326"/>
      <c r="FB106" s="326"/>
      <c r="FC106" s="326"/>
      <c r="FD106" s="326"/>
      <c r="FE106" s="326"/>
      <c r="FF106" s="326"/>
      <c r="FG106" s="326"/>
      <c r="FH106" s="326"/>
      <c r="FI106" s="326"/>
      <c r="FJ106" s="326"/>
      <c r="FK106" s="326"/>
      <c r="FL106" s="326"/>
      <c r="FM106" s="326"/>
      <c r="FN106" s="326"/>
      <c r="FO106" s="326"/>
      <c r="FP106" s="326"/>
      <c r="FQ106" s="326"/>
      <c r="FR106" s="326"/>
      <c r="FS106" s="326"/>
      <c r="FT106" s="326"/>
      <c r="FU106" s="326"/>
      <c r="FV106" s="326"/>
      <c r="FW106" s="326"/>
      <c r="FX106" s="326"/>
      <c r="FY106" s="326"/>
      <c r="FZ106" s="326"/>
      <c r="GA106" s="326"/>
      <c r="GB106" s="326"/>
      <c r="GC106" s="326"/>
      <c r="GD106" s="326"/>
      <c r="GE106" s="326"/>
      <c r="GF106" s="326"/>
      <c r="GG106" s="326"/>
      <c r="GH106" s="326"/>
      <c r="GI106" s="326"/>
      <c r="GJ106" s="326"/>
      <c r="GK106" s="326"/>
      <c r="GL106" s="326"/>
      <c r="GM106" s="326"/>
      <c r="GN106" s="326"/>
      <c r="GO106" s="326"/>
      <c r="GP106" s="326"/>
      <c r="GQ106" s="326"/>
      <c r="GR106" s="326"/>
      <c r="GS106" s="326"/>
      <c r="GT106" s="326"/>
      <c r="GU106" s="326"/>
      <c r="GV106" s="326"/>
      <c r="GW106" s="326"/>
      <c r="GX106" s="326"/>
      <c r="GY106" s="326"/>
      <c r="GZ106" s="326"/>
      <c r="HA106" s="326"/>
      <c r="HB106" s="326"/>
      <c r="HC106" s="326"/>
      <c r="HD106" s="326"/>
      <c r="HE106" s="326"/>
      <c r="HF106" s="326"/>
      <c r="HG106" s="326"/>
      <c r="HH106" s="326"/>
      <c r="HI106" s="326"/>
      <c r="HJ106" s="326"/>
      <c r="HK106" s="326"/>
      <c r="HL106" s="326"/>
      <c r="HM106" s="326"/>
      <c r="HN106" s="326"/>
      <c r="HO106" s="326"/>
      <c r="HP106" s="326"/>
      <c r="HQ106" s="326"/>
      <c r="HR106" s="326"/>
      <c r="HS106" s="326"/>
      <c r="HT106" s="326"/>
      <c r="HU106" s="326"/>
      <c r="HV106" s="326"/>
      <c r="HW106" s="326"/>
      <c r="HX106" s="326"/>
      <c r="HY106" s="326"/>
      <c r="HZ106" s="326"/>
      <c r="IA106" s="326"/>
      <c r="IB106" s="326"/>
      <c r="IC106" s="326"/>
      <c r="ID106" s="326"/>
      <c r="IE106" s="326"/>
      <c r="IF106" s="326"/>
      <c r="IG106" s="326"/>
      <c r="IH106" s="326"/>
      <c r="II106" s="326"/>
      <c r="IJ106" s="326"/>
      <c r="IK106" s="326"/>
      <c r="IL106" s="326"/>
      <c r="IM106" s="326"/>
      <c r="IN106" s="326"/>
      <c r="IO106" s="326"/>
      <c r="IP106" s="326"/>
      <c r="IQ106" s="326"/>
      <c r="IR106" s="326"/>
      <c r="IS106" s="326"/>
      <c r="IT106" s="326"/>
      <c r="IU106" s="326"/>
      <c r="IV106" s="326"/>
    </row>
    <row r="107" spans="1:256" s="560" customFormat="1" ht="19.5" customHeight="1">
      <c r="A107" s="574">
        <v>98</v>
      </c>
      <c r="B107" s="568"/>
      <c r="C107" s="366"/>
      <c r="D107" s="483" t="s">
        <v>938</v>
      </c>
      <c r="E107" s="335"/>
      <c r="F107" s="1018"/>
      <c r="G107" s="573"/>
      <c r="H107" s="1020"/>
      <c r="I107" s="1018"/>
      <c r="J107" s="1018"/>
      <c r="K107" s="1018"/>
      <c r="L107" s="1018"/>
      <c r="M107" s="1309">
        <v>69400</v>
      </c>
      <c r="N107" s="1018"/>
      <c r="O107" s="1018"/>
      <c r="P107" s="569">
        <f>SUM(I107:O107)</f>
        <v>69400</v>
      </c>
      <c r="Q107" s="1019"/>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6"/>
      <c r="AZ107" s="326"/>
      <c r="BA107" s="326"/>
      <c r="BB107" s="326"/>
      <c r="BC107" s="326"/>
      <c r="BD107" s="326"/>
      <c r="BE107" s="326"/>
      <c r="BF107" s="326"/>
      <c r="BG107" s="326"/>
      <c r="BH107" s="326"/>
      <c r="BI107" s="326"/>
      <c r="BJ107" s="326"/>
      <c r="BK107" s="326"/>
      <c r="BL107" s="326"/>
      <c r="BM107" s="326"/>
      <c r="BN107" s="326"/>
      <c r="BO107" s="326"/>
      <c r="BP107" s="326"/>
      <c r="BQ107" s="326"/>
      <c r="BR107" s="326"/>
      <c r="BS107" s="326"/>
      <c r="BT107" s="326"/>
      <c r="BU107" s="326"/>
      <c r="BV107" s="326"/>
      <c r="BW107" s="326"/>
      <c r="BX107" s="326"/>
      <c r="BY107" s="326"/>
      <c r="BZ107" s="326"/>
      <c r="CA107" s="326"/>
      <c r="CB107" s="326"/>
      <c r="CC107" s="326"/>
      <c r="CD107" s="326"/>
      <c r="CE107" s="326"/>
      <c r="CF107" s="326"/>
      <c r="CG107" s="326"/>
      <c r="CH107" s="326"/>
      <c r="CI107" s="326"/>
      <c r="CJ107" s="326"/>
      <c r="CK107" s="326"/>
      <c r="CL107" s="326"/>
      <c r="CM107" s="326"/>
      <c r="CN107" s="326"/>
      <c r="CO107" s="326"/>
      <c r="CP107" s="326"/>
      <c r="CQ107" s="326"/>
      <c r="CR107" s="326"/>
      <c r="CS107" s="326"/>
      <c r="CT107" s="326"/>
      <c r="CU107" s="326"/>
      <c r="CV107" s="326"/>
      <c r="CW107" s="326"/>
      <c r="CX107" s="326"/>
      <c r="CY107" s="326"/>
      <c r="CZ107" s="326"/>
      <c r="DA107" s="326"/>
      <c r="DB107" s="326"/>
      <c r="DC107" s="326"/>
      <c r="DD107" s="326"/>
      <c r="DE107" s="326"/>
      <c r="DF107" s="326"/>
      <c r="DG107" s="326"/>
      <c r="DH107" s="326"/>
      <c r="DI107" s="326"/>
      <c r="DJ107" s="326"/>
      <c r="DK107" s="326"/>
      <c r="DL107" s="326"/>
      <c r="DM107" s="326"/>
      <c r="DN107" s="326"/>
      <c r="DO107" s="326"/>
      <c r="DP107" s="326"/>
      <c r="DQ107" s="326"/>
      <c r="DR107" s="326"/>
      <c r="DS107" s="326"/>
      <c r="DT107" s="326"/>
      <c r="DU107" s="326"/>
      <c r="DV107" s="326"/>
      <c r="DW107" s="326"/>
      <c r="DX107" s="326"/>
      <c r="DY107" s="326"/>
      <c r="DZ107" s="326"/>
      <c r="EA107" s="326"/>
      <c r="EB107" s="326"/>
      <c r="EC107" s="326"/>
      <c r="ED107" s="326"/>
      <c r="EE107" s="326"/>
      <c r="EF107" s="326"/>
      <c r="EG107" s="326"/>
      <c r="EH107" s="326"/>
      <c r="EI107" s="326"/>
      <c r="EJ107" s="326"/>
      <c r="EK107" s="326"/>
      <c r="EL107" s="326"/>
      <c r="EM107" s="326"/>
      <c r="EN107" s="326"/>
      <c r="EO107" s="326"/>
      <c r="EP107" s="326"/>
      <c r="EQ107" s="326"/>
      <c r="ER107" s="326"/>
      <c r="ES107" s="326"/>
      <c r="ET107" s="326"/>
      <c r="EU107" s="326"/>
      <c r="EV107" s="326"/>
      <c r="EW107" s="326"/>
      <c r="EX107" s="326"/>
      <c r="EY107" s="326"/>
      <c r="EZ107" s="326"/>
      <c r="FA107" s="326"/>
      <c r="FB107" s="326"/>
      <c r="FC107" s="326"/>
      <c r="FD107" s="326"/>
      <c r="FE107" s="326"/>
      <c r="FF107" s="326"/>
      <c r="FG107" s="326"/>
      <c r="FH107" s="326"/>
      <c r="FI107" s="326"/>
      <c r="FJ107" s="326"/>
      <c r="FK107" s="326"/>
      <c r="FL107" s="326"/>
      <c r="FM107" s="326"/>
      <c r="FN107" s="326"/>
      <c r="FO107" s="326"/>
      <c r="FP107" s="326"/>
      <c r="FQ107" s="326"/>
      <c r="FR107" s="326"/>
      <c r="FS107" s="326"/>
      <c r="FT107" s="326"/>
      <c r="FU107" s="326"/>
      <c r="FV107" s="326"/>
      <c r="FW107" s="326"/>
      <c r="FX107" s="326"/>
      <c r="FY107" s="326"/>
      <c r="FZ107" s="326"/>
      <c r="GA107" s="326"/>
      <c r="GB107" s="326"/>
      <c r="GC107" s="326"/>
      <c r="GD107" s="326"/>
      <c r="GE107" s="326"/>
      <c r="GF107" s="326"/>
      <c r="GG107" s="326"/>
      <c r="GH107" s="326"/>
      <c r="GI107" s="326"/>
      <c r="GJ107" s="326"/>
      <c r="GK107" s="326"/>
      <c r="GL107" s="326"/>
      <c r="GM107" s="326"/>
      <c r="GN107" s="326"/>
      <c r="GO107" s="326"/>
      <c r="GP107" s="326"/>
      <c r="GQ107" s="326"/>
      <c r="GR107" s="326"/>
      <c r="GS107" s="326"/>
      <c r="GT107" s="326"/>
      <c r="GU107" s="326"/>
      <c r="GV107" s="326"/>
      <c r="GW107" s="326"/>
      <c r="GX107" s="326"/>
      <c r="GY107" s="326"/>
      <c r="GZ107" s="326"/>
      <c r="HA107" s="326"/>
      <c r="HB107" s="326"/>
      <c r="HC107" s="326"/>
      <c r="HD107" s="326"/>
      <c r="HE107" s="326"/>
      <c r="HF107" s="326"/>
      <c r="HG107" s="326"/>
      <c r="HH107" s="326"/>
      <c r="HI107" s="326"/>
      <c r="HJ107" s="326"/>
      <c r="HK107" s="326"/>
      <c r="HL107" s="326"/>
      <c r="HM107" s="326"/>
      <c r="HN107" s="326"/>
      <c r="HO107" s="326"/>
      <c r="HP107" s="326"/>
      <c r="HQ107" s="326"/>
      <c r="HR107" s="326"/>
      <c r="HS107" s="326"/>
      <c r="HT107" s="326"/>
      <c r="HU107" s="326"/>
      <c r="HV107" s="326"/>
      <c r="HW107" s="326"/>
      <c r="HX107" s="326"/>
      <c r="HY107" s="326"/>
      <c r="HZ107" s="326"/>
      <c r="IA107" s="326"/>
      <c r="IB107" s="326"/>
      <c r="IC107" s="326"/>
      <c r="ID107" s="326"/>
      <c r="IE107" s="326"/>
      <c r="IF107" s="326"/>
      <c r="IG107" s="326"/>
      <c r="IH107" s="326"/>
      <c r="II107" s="326"/>
      <c r="IJ107" s="326"/>
      <c r="IK107" s="326"/>
      <c r="IL107" s="326"/>
      <c r="IM107" s="326"/>
      <c r="IN107" s="326"/>
      <c r="IO107" s="326"/>
      <c r="IP107" s="326"/>
      <c r="IQ107" s="326"/>
      <c r="IR107" s="326"/>
      <c r="IS107" s="326"/>
      <c r="IT107" s="326"/>
      <c r="IU107" s="326"/>
      <c r="IV107" s="326"/>
    </row>
    <row r="108" spans="1:256" s="560" customFormat="1" ht="19.5" customHeight="1">
      <c r="A108" s="574">
        <v>99</v>
      </c>
      <c r="B108" s="568"/>
      <c r="C108" s="366"/>
      <c r="D108" s="1146" t="s">
        <v>689</v>
      </c>
      <c r="E108" s="1018"/>
      <c r="F108" s="1018"/>
      <c r="G108" s="573"/>
      <c r="H108" s="1020"/>
      <c r="I108" s="1018"/>
      <c r="J108" s="1018"/>
      <c r="K108" s="1018"/>
      <c r="L108" s="1018"/>
      <c r="M108" s="1306">
        <v>-4358</v>
      </c>
      <c r="N108" s="1018"/>
      <c r="O108" s="1018"/>
      <c r="P108" s="1307">
        <f>SUM(I108:O108)</f>
        <v>-4358</v>
      </c>
      <c r="Q108" s="1019"/>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6"/>
      <c r="AZ108" s="326"/>
      <c r="BA108" s="326"/>
      <c r="BB108" s="326"/>
      <c r="BC108" s="326"/>
      <c r="BD108" s="326"/>
      <c r="BE108" s="326"/>
      <c r="BF108" s="326"/>
      <c r="BG108" s="326"/>
      <c r="BH108" s="326"/>
      <c r="BI108" s="326"/>
      <c r="BJ108" s="326"/>
      <c r="BK108" s="326"/>
      <c r="BL108" s="326"/>
      <c r="BM108" s="326"/>
      <c r="BN108" s="326"/>
      <c r="BO108" s="326"/>
      <c r="BP108" s="326"/>
      <c r="BQ108" s="326"/>
      <c r="BR108" s="326"/>
      <c r="BS108" s="326"/>
      <c r="BT108" s="326"/>
      <c r="BU108" s="326"/>
      <c r="BV108" s="326"/>
      <c r="BW108" s="326"/>
      <c r="BX108" s="326"/>
      <c r="BY108" s="326"/>
      <c r="BZ108" s="326"/>
      <c r="CA108" s="326"/>
      <c r="CB108" s="326"/>
      <c r="CC108" s="326"/>
      <c r="CD108" s="326"/>
      <c r="CE108" s="326"/>
      <c r="CF108" s="326"/>
      <c r="CG108" s="326"/>
      <c r="CH108" s="326"/>
      <c r="CI108" s="326"/>
      <c r="CJ108" s="326"/>
      <c r="CK108" s="326"/>
      <c r="CL108" s="326"/>
      <c r="CM108" s="326"/>
      <c r="CN108" s="326"/>
      <c r="CO108" s="326"/>
      <c r="CP108" s="326"/>
      <c r="CQ108" s="326"/>
      <c r="CR108" s="326"/>
      <c r="CS108" s="326"/>
      <c r="CT108" s="326"/>
      <c r="CU108" s="326"/>
      <c r="CV108" s="326"/>
      <c r="CW108" s="326"/>
      <c r="CX108" s="326"/>
      <c r="CY108" s="326"/>
      <c r="CZ108" s="326"/>
      <c r="DA108" s="326"/>
      <c r="DB108" s="326"/>
      <c r="DC108" s="326"/>
      <c r="DD108" s="326"/>
      <c r="DE108" s="326"/>
      <c r="DF108" s="326"/>
      <c r="DG108" s="326"/>
      <c r="DH108" s="326"/>
      <c r="DI108" s="326"/>
      <c r="DJ108" s="326"/>
      <c r="DK108" s="326"/>
      <c r="DL108" s="326"/>
      <c r="DM108" s="326"/>
      <c r="DN108" s="326"/>
      <c r="DO108" s="326"/>
      <c r="DP108" s="326"/>
      <c r="DQ108" s="326"/>
      <c r="DR108" s="326"/>
      <c r="DS108" s="326"/>
      <c r="DT108" s="326"/>
      <c r="DU108" s="326"/>
      <c r="DV108" s="326"/>
      <c r="DW108" s="326"/>
      <c r="DX108" s="326"/>
      <c r="DY108" s="326"/>
      <c r="DZ108" s="326"/>
      <c r="EA108" s="326"/>
      <c r="EB108" s="326"/>
      <c r="EC108" s="326"/>
      <c r="ED108" s="326"/>
      <c r="EE108" s="326"/>
      <c r="EF108" s="326"/>
      <c r="EG108" s="326"/>
      <c r="EH108" s="326"/>
      <c r="EI108" s="326"/>
      <c r="EJ108" s="326"/>
      <c r="EK108" s="326"/>
      <c r="EL108" s="326"/>
      <c r="EM108" s="326"/>
      <c r="EN108" s="326"/>
      <c r="EO108" s="326"/>
      <c r="EP108" s="326"/>
      <c r="EQ108" s="326"/>
      <c r="ER108" s="326"/>
      <c r="ES108" s="326"/>
      <c r="ET108" s="326"/>
      <c r="EU108" s="326"/>
      <c r="EV108" s="326"/>
      <c r="EW108" s="326"/>
      <c r="EX108" s="326"/>
      <c r="EY108" s="326"/>
      <c r="EZ108" s="326"/>
      <c r="FA108" s="326"/>
      <c r="FB108" s="326"/>
      <c r="FC108" s="326"/>
      <c r="FD108" s="326"/>
      <c r="FE108" s="326"/>
      <c r="FF108" s="326"/>
      <c r="FG108" s="326"/>
      <c r="FH108" s="326"/>
      <c r="FI108" s="326"/>
      <c r="FJ108" s="326"/>
      <c r="FK108" s="326"/>
      <c r="FL108" s="326"/>
      <c r="FM108" s="326"/>
      <c r="FN108" s="326"/>
      <c r="FO108" s="326"/>
      <c r="FP108" s="326"/>
      <c r="FQ108" s="326"/>
      <c r="FR108" s="326"/>
      <c r="FS108" s="326"/>
      <c r="FT108" s="326"/>
      <c r="FU108" s="326"/>
      <c r="FV108" s="326"/>
      <c r="FW108" s="326"/>
      <c r="FX108" s="326"/>
      <c r="FY108" s="326"/>
      <c r="FZ108" s="326"/>
      <c r="GA108" s="326"/>
      <c r="GB108" s="326"/>
      <c r="GC108" s="326"/>
      <c r="GD108" s="326"/>
      <c r="GE108" s="326"/>
      <c r="GF108" s="326"/>
      <c r="GG108" s="326"/>
      <c r="GH108" s="326"/>
      <c r="GI108" s="326"/>
      <c r="GJ108" s="326"/>
      <c r="GK108" s="326"/>
      <c r="GL108" s="326"/>
      <c r="GM108" s="326"/>
      <c r="GN108" s="326"/>
      <c r="GO108" s="326"/>
      <c r="GP108" s="326"/>
      <c r="GQ108" s="326"/>
      <c r="GR108" s="326"/>
      <c r="GS108" s="326"/>
      <c r="GT108" s="326"/>
      <c r="GU108" s="326"/>
      <c r="GV108" s="326"/>
      <c r="GW108" s="326"/>
      <c r="GX108" s="326"/>
      <c r="GY108" s="326"/>
      <c r="GZ108" s="326"/>
      <c r="HA108" s="326"/>
      <c r="HB108" s="326"/>
      <c r="HC108" s="326"/>
      <c r="HD108" s="326"/>
      <c r="HE108" s="326"/>
      <c r="HF108" s="326"/>
      <c r="HG108" s="326"/>
      <c r="HH108" s="326"/>
      <c r="HI108" s="326"/>
      <c r="HJ108" s="326"/>
      <c r="HK108" s="326"/>
      <c r="HL108" s="326"/>
      <c r="HM108" s="326"/>
      <c r="HN108" s="326"/>
      <c r="HO108" s="326"/>
      <c r="HP108" s="326"/>
      <c r="HQ108" s="326"/>
      <c r="HR108" s="326"/>
      <c r="HS108" s="326"/>
      <c r="HT108" s="326"/>
      <c r="HU108" s="326"/>
      <c r="HV108" s="326"/>
      <c r="HW108" s="326"/>
      <c r="HX108" s="326"/>
      <c r="HY108" s="326"/>
      <c r="HZ108" s="326"/>
      <c r="IA108" s="326"/>
      <c r="IB108" s="326"/>
      <c r="IC108" s="326"/>
      <c r="ID108" s="326"/>
      <c r="IE108" s="326"/>
      <c r="IF108" s="326"/>
      <c r="IG108" s="326"/>
      <c r="IH108" s="326"/>
      <c r="II108" s="326"/>
      <c r="IJ108" s="326"/>
      <c r="IK108" s="326"/>
      <c r="IL108" s="326"/>
      <c r="IM108" s="326"/>
      <c r="IN108" s="326"/>
      <c r="IO108" s="326"/>
      <c r="IP108" s="326"/>
      <c r="IQ108" s="326"/>
      <c r="IR108" s="326"/>
      <c r="IS108" s="326"/>
      <c r="IT108" s="326"/>
      <c r="IU108" s="326"/>
      <c r="IV108" s="326"/>
    </row>
    <row r="109" spans="1:256" s="560" customFormat="1" ht="19.5" customHeight="1" thickBot="1">
      <c r="A109" s="574">
        <v>100</v>
      </c>
      <c r="B109" s="568"/>
      <c r="C109" s="1014"/>
      <c r="D109" s="483" t="s">
        <v>1091</v>
      </c>
      <c r="E109" s="1015"/>
      <c r="F109" s="1015"/>
      <c r="G109" s="1512"/>
      <c r="H109" s="1016"/>
      <c r="I109" s="1015"/>
      <c r="J109" s="1015"/>
      <c r="K109" s="1015"/>
      <c r="L109" s="1015"/>
      <c r="M109" s="1762">
        <f>SUM(M107:M108)</f>
        <v>65042</v>
      </c>
      <c r="N109" s="1015"/>
      <c r="O109" s="1015"/>
      <c r="P109" s="569">
        <f>SUM(I109:O109)</f>
        <v>65042</v>
      </c>
      <c r="Q109" s="1027"/>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326"/>
      <c r="BG109" s="326"/>
      <c r="BH109" s="326"/>
      <c r="BI109" s="326"/>
      <c r="BJ109" s="326"/>
      <c r="BK109" s="326"/>
      <c r="BL109" s="326"/>
      <c r="BM109" s="326"/>
      <c r="BN109" s="326"/>
      <c r="BO109" s="326"/>
      <c r="BP109" s="326"/>
      <c r="BQ109" s="326"/>
      <c r="BR109" s="326"/>
      <c r="BS109" s="326"/>
      <c r="BT109" s="326"/>
      <c r="BU109" s="326"/>
      <c r="BV109" s="326"/>
      <c r="BW109" s="326"/>
      <c r="BX109" s="326"/>
      <c r="BY109" s="326"/>
      <c r="BZ109" s="326"/>
      <c r="CA109" s="326"/>
      <c r="CB109" s="326"/>
      <c r="CC109" s="326"/>
      <c r="CD109" s="326"/>
      <c r="CE109" s="326"/>
      <c r="CF109" s="326"/>
      <c r="CG109" s="326"/>
      <c r="CH109" s="326"/>
      <c r="CI109" s="326"/>
      <c r="CJ109" s="326"/>
      <c r="CK109" s="326"/>
      <c r="CL109" s="326"/>
      <c r="CM109" s="326"/>
      <c r="CN109" s="326"/>
      <c r="CO109" s="326"/>
      <c r="CP109" s="326"/>
      <c r="CQ109" s="326"/>
      <c r="CR109" s="326"/>
      <c r="CS109" s="326"/>
      <c r="CT109" s="326"/>
      <c r="CU109" s="326"/>
      <c r="CV109" s="326"/>
      <c r="CW109" s="326"/>
      <c r="CX109" s="326"/>
      <c r="CY109" s="326"/>
      <c r="CZ109" s="326"/>
      <c r="DA109" s="326"/>
      <c r="DB109" s="326"/>
      <c r="DC109" s="326"/>
      <c r="DD109" s="326"/>
      <c r="DE109" s="326"/>
      <c r="DF109" s="326"/>
      <c r="DG109" s="326"/>
      <c r="DH109" s="326"/>
      <c r="DI109" s="326"/>
      <c r="DJ109" s="326"/>
      <c r="DK109" s="326"/>
      <c r="DL109" s="326"/>
      <c r="DM109" s="326"/>
      <c r="DN109" s="326"/>
      <c r="DO109" s="326"/>
      <c r="DP109" s="326"/>
      <c r="DQ109" s="326"/>
      <c r="DR109" s="326"/>
      <c r="DS109" s="326"/>
      <c r="DT109" s="326"/>
      <c r="DU109" s="326"/>
      <c r="DV109" s="326"/>
      <c r="DW109" s="326"/>
      <c r="DX109" s="326"/>
      <c r="DY109" s="326"/>
      <c r="DZ109" s="326"/>
      <c r="EA109" s="326"/>
      <c r="EB109" s="326"/>
      <c r="EC109" s="326"/>
      <c r="ED109" s="326"/>
      <c r="EE109" s="326"/>
      <c r="EF109" s="326"/>
      <c r="EG109" s="326"/>
      <c r="EH109" s="326"/>
      <c r="EI109" s="326"/>
      <c r="EJ109" s="326"/>
      <c r="EK109" s="326"/>
      <c r="EL109" s="326"/>
      <c r="EM109" s="326"/>
      <c r="EN109" s="326"/>
      <c r="EO109" s="326"/>
      <c r="EP109" s="326"/>
      <c r="EQ109" s="326"/>
      <c r="ER109" s="326"/>
      <c r="ES109" s="326"/>
      <c r="ET109" s="326"/>
      <c r="EU109" s="326"/>
      <c r="EV109" s="326"/>
      <c r="EW109" s="326"/>
      <c r="EX109" s="326"/>
      <c r="EY109" s="326"/>
      <c r="EZ109" s="326"/>
      <c r="FA109" s="326"/>
      <c r="FB109" s="326"/>
      <c r="FC109" s="326"/>
      <c r="FD109" s="326"/>
      <c r="FE109" s="326"/>
      <c r="FF109" s="326"/>
      <c r="FG109" s="326"/>
      <c r="FH109" s="326"/>
      <c r="FI109" s="326"/>
      <c r="FJ109" s="326"/>
      <c r="FK109" s="326"/>
      <c r="FL109" s="326"/>
      <c r="FM109" s="326"/>
      <c r="FN109" s="326"/>
      <c r="FO109" s="326"/>
      <c r="FP109" s="326"/>
      <c r="FQ109" s="326"/>
      <c r="FR109" s="326"/>
      <c r="FS109" s="326"/>
      <c r="FT109" s="326"/>
      <c r="FU109" s="326"/>
      <c r="FV109" s="326"/>
      <c r="FW109" s="326"/>
      <c r="FX109" s="326"/>
      <c r="FY109" s="326"/>
      <c r="FZ109" s="326"/>
      <c r="GA109" s="326"/>
      <c r="GB109" s="326"/>
      <c r="GC109" s="326"/>
      <c r="GD109" s="326"/>
      <c r="GE109" s="326"/>
      <c r="GF109" s="326"/>
      <c r="GG109" s="326"/>
      <c r="GH109" s="326"/>
      <c r="GI109" s="326"/>
      <c r="GJ109" s="326"/>
      <c r="GK109" s="326"/>
      <c r="GL109" s="326"/>
      <c r="GM109" s="326"/>
      <c r="GN109" s="326"/>
      <c r="GO109" s="326"/>
      <c r="GP109" s="326"/>
      <c r="GQ109" s="326"/>
      <c r="GR109" s="326"/>
      <c r="GS109" s="326"/>
      <c r="GT109" s="326"/>
      <c r="GU109" s="326"/>
      <c r="GV109" s="326"/>
      <c r="GW109" s="326"/>
      <c r="GX109" s="326"/>
      <c r="GY109" s="326"/>
      <c r="GZ109" s="326"/>
      <c r="HA109" s="326"/>
      <c r="HB109" s="326"/>
      <c r="HC109" s="326"/>
      <c r="HD109" s="326"/>
      <c r="HE109" s="326"/>
      <c r="HF109" s="326"/>
      <c r="HG109" s="326"/>
      <c r="HH109" s="326"/>
      <c r="HI109" s="326"/>
      <c r="HJ109" s="326"/>
      <c r="HK109" s="326"/>
      <c r="HL109" s="326"/>
      <c r="HM109" s="326"/>
      <c r="HN109" s="326"/>
      <c r="HO109" s="326"/>
      <c r="HP109" s="326"/>
      <c r="HQ109" s="326"/>
      <c r="HR109" s="326"/>
      <c r="HS109" s="326"/>
      <c r="HT109" s="326"/>
      <c r="HU109" s="326"/>
      <c r="HV109" s="326"/>
      <c r="HW109" s="326"/>
      <c r="HX109" s="326"/>
      <c r="HY109" s="326"/>
      <c r="HZ109" s="326"/>
      <c r="IA109" s="326"/>
      <c r="IB109" s="326"/>
      <c r="IC109" s="326"/>
      <c r="ID109" s="326"/>
      <c r="IE109" s="326"/>
      <c r="IF109" s="326"/>
      <c r="IG109" s="326"/>
      <c r="IH109" s="326"/>
      <c r="II109" s="326"/>
      <c r="IJ109" s="326"/>
      <c r="IK109" s="326"/>
      <c r="IL109" s="326"/>
      <c r="IM109" s="326"/>
      <c r="IN109" s="326"/>
      <c r="IO109" s="326"/>
      <c r="IP109" s="326"/>
      <c r="IQ109" s="326"/>
      <c r="IR109" s="326"/>
      <c r="IS109" s="326"/>
      <c r="IT109" s="326"/>
      <c r="IU109" s="326"/>
      <c r="IV109" s="326"/>
    </row>
    <row r="110" spans="1:256" s="560" customFormat="1" ht="24.75" customHeight="1" thickTop="1">
      <c r="A110" s="574">
        <v>101</v>
      </c>
      <c r="B110" s="568"/>
      <c r="C110" s="1348"/>
      <c r="D110" s="1535" t="s">
        <v>651</v>
      </c>
      <c r="E110" s="1358">
        <f>E106+E98+E93+E102</f>
        <v>1339001</v>
      </c>
      <c r="F110" s="1358">
        <f>F106+F98+F93</f>
        <v>0</v>
      </c>
      <c r="G110" s="1513">
        <f>G106+G98+G93</f>
        <v>0</v>
      </c>
      <c r="H110" s="1371"/>
      <c r="I110" s="1358"/>
      <c r="J110" s="1358"/>
      <c r="K110" s="1358"/>
      <c r="L110" s="1358"/>
      <c r="M110" s="1358"/>
      <c r="N110" s="1358"/>
      <c r="O110" s="1358"/>
      <c r="P110" s="1370"/>
      <c r="Q110" s="1372"/>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326"/>
      <c r="BG110" s="326"/>
      <c r="BH110" s="326"/>
      <c r="BI110" s="326"/>
      <c r="BJ110" s="326"/>
      <c r="BK110" s="326"/>
      <c r="BL110" s="326"/>
      <c r="BM110" s="326"/>
      <c r="BN110" s="326"/>
      <c r="BO110" s="326"/>
      <c r="BP110" s="326"/>
      <c r="BQ110" s="326"/>
      <c r="BR110" s="326"/>
      <c r="BS110" s="326"/>
      <c r="BT110" s="326"/>
      <c r="BU110" s="326"/>
      <c r="BV110" s="326"/>
      <c r="BW110" s="326"/>
      <c r="BX110" s="326"/>
      <c r="BY110" s="326"/>
      <c r="BZ110" s="326"/>
      <c r="CA110" s="326"/>
      <c r="CB110" s="326"/>
      <c r="CC110" s="326"/>
      <c r="CD110" s="326"/>
      <c r="CE110" s="326"/>
      <c r="CF110" s="326"/>
      <c r="CG110" s="326"/>
      <c r="CH110" s="326"/>
      <c r="CI110" s="326"/>
      <c r="CJ110" s="326"/>
      <c r="CK110" s="326"/>
      <c r="CL110" s="326"/>
      <c r="CM110" s="326"/>
      <c r="CN110" s="326"/>
      <c r="CO110" s="326"/>
      <c r="CP110" s="326"/>
      <c r="CQ110" s="326"/>
      <c r="CR110" s="326"/>
      <c r="CS110" s="326"/>
      <c r="CT110" s="326"/>
      <c r="CU110" s="326"/>
      <c r="CV110" s="326"/>
      <c r="CW110" s="326"/>
      <c r="CX110" s="326"/>
      <c r="CY110" s="326"/>
      <c r="CZ110" s="326"/>
      <c r="DA110" s="326"/>
      <c r="DB110" s="326"/>
      <c r="DC110" s="326"/>
      <c r="DD110" s="326"/>
      <c r="DE110" s="326"/>
      <c r="DF110" s="326"/>
      <c r="DG110" s="326"/>
      <c r="DH110" s="326"/>
      <c r="DI110" s="326"/>
      <c r="DJ110" s="326"/>
      <c r="DK110" s="326"/>
      <c r="DL110" s="326"/>
      <c r="DM110" s="326"/>
      <c r="DN110" s="326"/>
      <c r="DO110" s="326"/>
      <c r="DP110" s="326"/>
      <c r="DQ110" s="326"/>
      <c r="DR110" s="326"/>
      <c r="DS110" s="326"/>
      <c r="DT110" s="326"/>
      <c r="DU110" s="326"/>
      <c r="DV110" s="326"/>
      <c r="DW110" s="326"/>
      <c r="DX110" s="326"/>
      <c r="DY110" s="326"/>
      <c r="DZ110" s="326"/>
      <c r="EA110" s="326"/>
      <c r="EB110" s="326"/>
      <c r="EC110" s="326"/>
      <c r="ED110" s="326"/>
      <c r="EE110" s="326"/>
      <c r="EF110" s="326"/>
      <c r="EG110" s="326"/>
      <c r="EH110" s="326"/>
      <c r="EI110" s="326"/>
      <c r="EJ110" s="326"/>
      <c r="EK110" s="326"/>
      <c r="EL110" s="326"/>
      <c r="EM110" s="326"/>
      <c r="EN110" s="326"/>
      <c r="EO110" s="326"/>
      <c r="EP110" s="326"/>
      <c r="EQ110" s="326"/>
      <c r="ER110" s="326"/>
      <c r="ES110" s="326"/>
      <c r="ET110" s="326"/>
      <c r="EU110" s="326"/>
      <c r="EV110" s="326"/>
      <c r="EW110" s="326"/>
      <c r="EX110" s="326"/>
      <c r="EY110" s="326"/>
      <c r="EZ110" s="326"/>
      <c r="FA110" s="326"/>
      <c r="FB110" s="326"/>
      <c r="FC110" s="326"/>
      <c r="FD110" s="326"/>
      <c r="FE110" s="326"/>
      <c r="FF110" s="326"/>
      <c r="FG110" s="326"/>
      <c r="FH110" s="326"/>
      <c r="FI110" s="326"/>
      <c r="FJ110" s="326"/>
      <c r="FK110" s="326"/>
      <c r="FL110" s="326"/>
      <c r="FM110" s="326"/>
      <c r="FN110" s="326"/>
      <c r="FO110" s="326"/>
      <c r="FP110" s="326"/>
      <c r="FQ110" s="326"/>
      <c r="FR110" s="326"/>
      <c r="FS110" s="326"/>
      <c r="FT110" s="326"/>
      <c r="FU110" s="326"/>
      <c r="FV110" s="326"/>
      <c r="FW110" s="326"/>
      <c r="FX110" s="326"/>
      <c r="FY110" s="326"/>
      <c r="FZ110" s="326"/>
      <c r="GA110" s="326"/>
      <c r="GB110" s="326"/>
      <c r="GC110" s="326"/>
      <c r="GD110" s="326"/>
      <c r="GE110" s="326"/>
      <c r="GF110" s="326"/>
      <c r="GG110" s="326"/>
      <c r="GH110" s="326"/>
      <c r="GI110" s="326"/>
      <c r="GJ110" s="326"/>
      <c r="GK110" s="326"/>
      <c r="GL110" s="326"/>
      <c r="GM110" s="326"/>
      <c r="GN110" s="326"/>
      <c r="GO110" s="326"/>
      <c r="GP110" s="326"/>
      <c r="GQ110" s="326"/>
      <c r="GR110" s="326"/>
      <c r="GS110" s="326"/>
      <c r="GT110" s="326"/>
      <c r="GU110" s="326"/>
      <c r="GV110" s="326"/>
      <c r="GW110" s="326"/>
      <c r="GX110" s="326"/>
      <c r="GY110" s="326"/>
      <c r="GZ110" s="326"/>
      <c r="HA110" s="326"/>
      <c r="HB110" s="326"/>
      <c r="HC110" s="326"/>
      <c r="HD110" s="326"/>
      <c r="HE110" s="326"/>
      <c r="HF110" s="326"/>
      <c r="HG110" s="326"/>
      <c r="HH110" s="326"/>
      <c r="HI110" s="326"/>
      <c r="HJ110" s="326"/>
      <c r="HK110" s="326"/>
      <c r="HL110" s="326"/>
      <c r="HM110" s="326"/>
      <c r="HN110" s="326"/>
      <c r="HO110" s="326"/>
      <c r="HP110" s="326"/>
      <c r="HQ110" s="326"/>
      <c r="HR110" s="326"/>
      <c r="HS110" s="326"/>
      <c r="HT110" s="326"/>
      <c r="HU110" s="326"/>
      <c r="HV110" s="326"/>
      <c r="HW110" s="326"/>
      <c r="HX110" s="326"/>
      <c r="HY110" s="326"/>
      <c r="HZ110" s="326"/>
      <c r="IA110" s="326"/>
      <c r="IB110" s="326"/>
      <c r="IC110" s="326"/>
      <c r="ID110" s="326"/>
      <c r="IE110" s="326"/>
      <c r="IF110" s="326"/>
      <c r="IG110" s="326"/>
      <c r="IH110" s="326"/>
      <c r="II110" s="326"/>
      <c r="IJ110" s="326"/>
      <c r="IK110" s="326"/>
      <c r="IL110" s="326"/>
      <c r="IM110" s="326"/>
      <c r="IN110" s="326"/>
      <c r="IO110" s="326"/>
      <c r="IP110" s="326"/>
      <c r="IQ110" s="326"/>
      <c r="IR110" s="326"/>
      <c r="IS110" s="326"/>
      <c r="IT110" s="326"/>
      <c r="IU110" s="326"/>
      <c r="IV110" s="326"/>
    </row>
    <row r="111" spans="1:256" s="560" customFormat="1" ht="19.5" customHeight="1">
      <c r="A111" s="574">
        <v>102</v>
      </c>
      <c r="B111" s="568"/>
      <c r="C111" s="366"/>
      <c r="D111" s="821" t="s">
        <v>283</v>
      </c>
      <c r="E111" s="1018"/>
      <c r="F111" s="1018"/>
      <c r="G111" s="573"/>
      <c r="H111" s="1020"/>
      <c r="I111" s="762">
        <f>I98+I93</f>
        <v>0</v>
      </c>
      <c r="J111" s="762">
        <f aca="true" t="shared" si="16" ref="J111:O111">J98+J93</f>
        <v>0</v>
      </c>
      <c r="K111" s="762">
        <f t="shared" si="16"/>
        <v>0</v>
      </c>
      <c r="L111" s="762">
        <f t="shared" si="16"/>
        <v>0</v>
      </c>
      <c r="M111" s="762">
        <f t="shared" si="16"/>
        <v>1025025</v>
      </c>
      <c r="N111" s="762">
        <f t="shared" si="16"/>
        <v>0</v>
      </c>
      <c r="O111" s="762">
        <f t="shared" si="16"/>
        <v>0</v>
      </c>
      <c r="P111" s="790">
        <f>P98+P93</f>
        <v>1025025</v>
      </c>
      <c r="Q111" s="1019"/>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326"/>
      <c r="AS111" s="326"/>
      <c r="AT111" s="326"/>
      <c r="AU111" s="326"/>
      <c r="AV111" s="326"/>
      <c r="AW111" s="326"/>
      <c r="AX111" s="326"/>
      <c r="AY111" s="326"/>
      <c r="AZ111" s="326"/>
      <c r="BA111" s="326"/>
      <c r="BB111" s="326"/>
      <c r="BC111" s="326"/>
      <c r="BD111" s="326"/>
      <c r="BE111" s="326"/>
      <c r="BF111" s="326"/>
      <c r="BG111" s="326"/>
      <c r="BH111" s="326"/>
      <c r="BI111" s="326"/>
      <c r="BJ111" s="326"/>
      <c r="BK111" s="326"/>
      <c r="BL111" s="326"/>
      <c r="BM111" s="326"/>
      <c r="BN111" s="326"/>
      <c r="BO111" s="326"/>
      <c r="BP111" s="326"/>
      <c r="BQ111" s="326"/>
      <c r="BR111" s="326"/>
      <c r="BS111" s="326"/>
      <c r="BT111" s="326"/>
      <c r="BU111" s="326"/>
      <c r="BV111" s="326"/>
      <c r="BW111" s="326"/>
      <c r="BX111" s="326"/>
      <c r="BY111" s="326"/>
      <c r="BZ111" s="326"/>
      <c r="CA111" s="326"/>
      <c r="CB111" s="326"/>
      <c r="CC111" s="326"/>
      <c r="CD111" s="326"/>
      <c r="CE111" s="326"/>
      <c r="CF111" s="326"/>
      <c r="CG111" s="326"/>
      <c r="CH111" s="326"/>
      <c r="CI111" s="326"/>
      <c r="CJ111" s="326"/>
      <c r="CK111" s="326"/>
      <c r="CL111" s="326"/>
      <c r="CM111" s="326"/>
      <c r="CN111" s="326"/>
      <c r="CO111" s="326"/>
      <c r="CP111" s="326"/>
      <c r="CQ111" s="326"/>
      <c r="CR111" s="326"/>
      <c r="CS111" s="326"/>
      <c r="CT111" s="326"/>
      <c r="CU111" s="326"/>
      <c r="CV111" s="326"/>
      <c r="CW111" s="326"/>
      <c r="CX111" s="326"/>
      <c r="CY111" s="326"/>
      <c r="CZ111" s="326"/>
      <c r="DA111" s="326"/>
      <c r="DB111" s="326"/>
      <c r="DC111" s="326"/>
      <c r="DD111" s="326"/>
      <c r="DE111" s="326"/>
      <c r="DF111" s="326"/>
      <c r="DG111" s="326"/>
      <c r="DH111" s="326"/>
      <c r="DI111" s="326"/>
      <c r="DJ111" s="326"/>
      <c r="DK111" s="326"/>
      <c r="DL111" s="326"/>
      <c r="DM111" s="326"/>
      <c r="DN111" s="326"/>
      <c r="DO111" s="326"/>
      <c r="DP111" s="326"/>
      <c r="DQ111" s="326"/>
      <c r="DR111" s="326"/>
      <c r="DS111" s="326"/>
      <c r="DT111" s="326"/>
      <c r="DU111" s="326"/>
      <c r="DV111" s="326"/>
      <c r="DW111" s="326"/>
      <c r="DX111" s="326"/>
      <c r="DY111" s="326"/>
      <c r="DZ111" s="326"/>
      <c r="EA111" s="326"/>
      <c r="EB111" s="326"/>
      <c r="EC111" s="326"/>
      <c r="ED111" s="326"/>
      <c r="EE111" s="326"/>
      <c r="EF111" s="326"/>
      <c r="EG111" s="326"/>
      <c r="EH111" s="326"/>
      <c r="EI111" s="326"/>
      <c r="EJ111" s="326"/>
      <c r="EK111" s="326"/>
      <c r="EL111" s="326"/>
      <c r="EM111" s="326"/>
      <c r="EN111" s="326"/>
      <c r="EO111" s="326"/>
      <c r="EP111" s="326"/>
      <c r="EQ111" s="326"/>
      <c r="ER111" s="326"/>
      <c r="ES111" s="326"/>
      <c r="ET111" s="326"/>
      <c r="EU111" s="326"/>
      <c r="EV111" s="326"/>
      <c r="EW111" s="326"/>
      <c r="EX111" s="326"/>
      <c r="EY111" s="326"/>
      <c r="EZ111" s="326"/>
      <c r="FA111" s="326"/>
      <c r="FB111" s="326"/>
      <c r="FC111" s="326"/>
      <c r="FD111" s="326"/>
      <c r="FE111" s="326"/>
      <c r="FF111" s="326"/>
      <c r="FG111" s="326"/>
      <c r="FH111" s="326"/>
      <c r="FI111" s="326"/>
      <c r="FJ111" s="326"/>
      <c r="FK111" s="326"/>
      <c r="FL111" s="326"/>
      <c r="FM111" s="326"/>
      <c r="FN111" s="326"/>
      <c r="FO111" s="326"/>
      <c r="FP111" s="326"/>
      <c r="FQ111" s="326"/>
      <c r="FR111" s="326"/>
      <c r="FS111" s="326"/>
      <c r="FT111" s="326"/>
      <c r="FU111" s="326"/>
      <c r="FV111" s="326"/>
      <c r="FW111" s="326"/>
      <c r="FX111" s="326"/>
      <c r="FY111" s="326"/>
      <c r="FZ111" s="326"/>
      <c r="GA111" s="326"/>
      <c r="GB111" s="326"/>
      <c r="GC111" s="326"/>
      <c r="GD111" s="326"/>
      <c r="GE111" s="326"/>
      <c r="GF111" s="326"/>
      <c r="GG111" s="326"/>
      <c r="GH111" s="326"/>
      <c r="GI111" s="326"/>
      <c r="GJ111" s="326"/>
      <c r="GK111" s="326"/>
      <c r="GL111" s="326"/>
      <c r="GM111" s="326"/>
      <c r="GN111" s="326"/>
      <c r="GO111" s="326"/>
      <c r="GP111" s="326"/>
      <c r="GQ111" s="326"/>
      <c r="GR111" s="326"/>
      <c r="GS111" s="326"/>
      <c r="GT111" s="326"/>
      <c r="GU111" s="326"/>
      <c r="GV111" s="326"/>
      <c r="GW111" s="326"/>
      <c r="GX111" s="326"/>
      <c r="GY111" s="326"/>
      <c r="GZ111" s="326"/>
      <c r="HA111" s="326"/>
      <c r="HB111" s="326"/>
      <c r="HC111" s="326"/>
      <c r="HD111" s="326"/>
      <c r="HE111" s="326"/>
      <c r="HF111" s="326"/>
      <c r="HG111" s="326"/>
      <c r="HH111" s="326"/>
      <c r="HI111" s="326"/>
      <c r="HJ111" s="326"/>
      <c r="HK111" s="326"/>
      <c r="HL111" s="326"/>
      <c r="HM111" s="326"/>
      <c r="HN111" s="326"/>
      <c r="HO111" s="326"/>
      <c r="HP111" s="326"/>
      <c r="HQ111" s="326"/>
      <c r="HR111" s="326"/>
      <c r="HS111" s="326"/>
      <c r="HT111" s="326"/>
      <c r="HU111" s="326"/>
      <c r="HV111" s="326"/>
      <c r="HW111" s="326"/>
      <c r="HX111" s="326"/>
      <c r="HY111" s="326"/>
      <c r="HZ111" s="326"/>
      <c r="IA111" s="326"/>
      <c r="IB111" s="326"/>
      <c r="IC111" s="326"/>
      <c r="ID111" s="326"/>
      <c r="IE111" s="326"/>
      <c r="IF111" s="326"/>
      <c r="IG111" s="326"/>
      <c r="IH111" s="326"/>
      <c r="II111" s="326"/>
      <c r="IJ111" s="326"/>
      <c r="IK111" s="326"/>
      <c r="IL111" s="326"/>
      <c r="IM111" s="326"/>
      <c r="IN111" s="326"/>
      <c r="IO111" s="326"/>
      <c r="IP111" s="326"/>
      <c r="IQ111" s="326"/>
      <c r="IR111" s="326"/>
      <c r="IS111" s="326"/>
      <c r="IT111" s="326"/>
      <c r="IU111" s="326"/>
      <c r="IV111" s="326"/>
    </row>
    <row r="112" spans="1:256" s="560" customFormat="1" ht="19.5" customHeight="1">
      <c r="A112" s="574">
        <v>103</v>
      </c>
      <c r="B112" s="568"/>
      <c r="C112" s="366"/>
      <c r="D112" s="483" t="s">
        <v>938</v>
      </c>
      <c r="E112" s="1018"/>
      <c r="F112" s="1018"/>
      <c r="G112" s="573"/>
      <c r="H112" s="1020"/>
      <c r="I112" s="1018">
        <f>I99+I94+I103+I107</f>
        <v>0</v>
      </c>
      <c r="J112" s="1018">
        <f aca="true" t="shared" si="17" ref="J112:P112">J99+J94+J103+J107</f>
        <v>0</v>
      </c>
      <c r="K112" s="1018">
        <f t="shared" si="17"/>
        <v>12573</v>
      </c>
      <c r="L112" s="1018">
        <f t="shared" si="17"/>
        <v>0</v>
      </c>
      <c r="M112" s="1018">
        <f t="shared" si="17"/>
        <v>1326428</v>
      </c>
      <c r="N112" s="1018">
        <f t="shared" si="17"/>
        <v>0</v>
      </c>
      <c r="O112" s="1018">
        <f t="shared" si="17"/>
        <v>0</v>
      </c>
      <c r="P112" s="573">
        <f t="shared" si="17"/>
        <v>1339001</v>
      </c>
      <c r="Q112" s="1019"/>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26"/>
      <c r="AY112" s="326"/>
      <c r="AZ112" s="326"/>
      <c r="BA112" s="326"/>
      <c r="BB112" s="326"/>
      <c r="BC112" s="326"/>
      <c r="BD112" s="326"/>
      <c r="BE112" s="326"/>
      <c r="BF112" s="326"/>
      <c r="BG112" s="326"/>
      <c r="BH112" s="326"/>
      <c r="BI112" s="326"/>
      <c r="BJ112" s="326"/>
      <c r="BK112" s="326"/>
      <c r="BL112" s="326"/>
      <c r="BM112" s="326"/>
      <c r="BN112" s="326"/>
      <c r="BO112" s="326"/>
      <c r="BP112" s="326"/>
      <c r="BQ112" s="326"/>
      <c r="BR112" s="326"/>
      <c r="BS112" s="326"/>
      <c r="BT112" s="326"/>
      <c r="BU112" s="326"/>
      <c r="BV112" s="326"/>
      <c r="BW112" s="326"/>
      <c r="BX112" s="326"/>
      <c r="BY112" s="326"/>
      <c r="BZ112" s="326"/>
      <c r="CA112" s="326"/>
      <c r="CB112" s="326"/>
      <c r="CC112" s="326"/>
      <c r="CD112" s="326"/>
      <c r="CE112" s="326"/>
      <c r="CF112" s="326"/>
      <c r="CG112" s="326"/>
      <c r="CH112" s="326"/>
      <c r="CI112" s="326"/>
      <c r="CJ112" s="326"/>
      <c r="CK112" s="326"/>
      <c r="CL112" s="326"/>
      <c r="CM112" s="326"/>
      <c r="CN112" s="326"/>
      <c r="CO112" s="326"/>
      <c r="CP112" s="326"/>
      <c r="CQ112" s="326"/>
      <c r="CR112" s="326"/>
      <c r="CS112" s="326"/>
      <c r="CT112" s="326"/>
      <c r="CU112" s="326"/>
      <c r="CV112" s="326"/>
      <c r="CW112" s="326"/>
      <c r="CX112" s="326"/>
      <c r="CY112" s="326"/>
      <c r="CZ112" s="326"/>
      <c r="DA112" s="326"/>
      <c r="DB112" s="326"/>
      <c r="DC112" s="326"/>
      <c r="DD112" s="326"/>
      <c r="DE112" s="326"/>
      <c r="DF112" s="326"/>
      <c r="DG112" s="326"/>
      <c r="DH112" s="326"/>
      <c r="DI112" s="326"/>
      <c r="DJ112" s="326"/>
      <c r="DK112" s="326"/>
      <c r="DL112" s="326"/>
      <c r="DM112" s="326"/>
      <c r="DN112" s="326"/>
      <c r="DO112" s="326"/>
      <c r="DP112" s="326"/>
      <c r="DQ112" s="326"/>
      <c r="DR112" s="326"/>
      <c r="DS112" s="326"/>
      <c r="DT112" s="326"/>
      <c r="DU112" s="326"/>
      <c r="DV112" s="326"/>
      <c r="DW112" s="326"/>
      <c r="DX112" s="326"/>
      <c r="DY112" s="326"/>
      <c r="DZ112" s="326"/>
      <c r="EA112" s="326"/>
      <c r="EB112" s="326"/>
      <c r="EC112" s="326"/>
      <c r="ED112" s="326"/>
      <c r="EE112" s="326"/>
      <c r="EF112" s="326"/>
      <c r="EG112" s="326"/>
      <c r="EH112" s="326"/>
      <c r="EI112" s="326"/>
      <c r="EJ112" s="326"/>
      <c r="EK112" s="326"/>
      <c r="EL112" s="326"/>
      <c r="EM112" s="326"/>
      <c r="EN112" s="326"/>
      <c r="EO112" s="326"/>
      <c r="EP112" s="326"/>
      <c r="EQ112" s="326"/>
      <c r="ER112" s="326"/>
      <c r="ES112" s="326"/>
      <c r="ET112" s="326"/>
      <c r="EU112" s="326"/>
      <c r="EV112" s="326"/>
      <c r="EW112" s="326"/>
      <c r="EX112" s="326"/>
      <c r="EY112" s="326"/>
      <c r="EZ112" s="326"/>
      <c r="FA112" s="326"/>
      <c r="FB112" s="326"/>
      <c r="FC112" s="326"/>
      <c r="FD112" s="326"/>
      <c r="FE112" s="326"/>
      <c r="FF112" s="326"/>
      <c r="FG112" s="326"/>
      <c r="FH112" s="326"/>
      <c r="FI112" s="326"/>
      <c r="FJ112" s="326"/>
      <c r="FK112" s="326"/>
      <c r="FL112" s="326"/>
      <c r="FM112" s="326"/>
      <c r="FN112" s="326"/>
      <c r="FO112" s="326"/>
      <c r="FP112" s="326"/>
      <c r="FQ112" s="326"/>
      <c r="FR112" s="326"/>
      <c r="FS112" s="326"/>
      <c r="FT112" s="326"/>
      <c r="FU112" s="326"/>
      <c r="FV112" s="326"/>
      <c r="FW112" s="326"/>
      <c r="FX112" s="326"/>
      <c r="FY112" s="326"/>
      <c r="FZ112" s="326"/>
      <c r="GA112" s="326"/>
      <c r="GB112" s="326"/>
      <c r="GC112" s="326"/>
      <c r="GD112" s="326"/>
      <c r="GE112" s="326"/>
      <c r="GF112" s="326"/>
      <c r="GG112" s="326"/>
      <c r="GH112" s="326"/>
      <c r="GI112" s="326"/>
      <c r="GJ112" s="326"/>
      <c r="GK112" s="326"/>
      <c r="GL112" s="326"/>
      <c r="GM112" s="326"/>
      <c r="GN112" s="326"/>
      <c r="GO112" s="326"/>
      <c r="GP112" s="326"/>
      <c r="GQ112" s="326"/>
      <c r="GR112" s="326"/>
      <c r="GS112" s="326"/>
      <c r="GT112" s="326"/>
      <c r="GU112" s="326"/>
      <c r="GV112" s="326"/>
      <c r="GW112" s="326"/>
      <c r="GX112" s="326"/>
      <c r="GY112" s="326"/>
      <c r="GZ112" s="326"/>
      <c r="HA112" s="326"/>
      <c r="HB112" s="326"/>
      <c r="HC112" s="326"/>
      <c r="HD112" s="326"/>
      <c r="HE112" s="326"/>
      <c r="HF112" s="326"/>
      <c r="HG112" s="326"/>
      <c r="HH112" s="326"/>
      <c r="HI112" s="326"/>
      <c r="HJ112" s="326"/>
      <c r="HK112" s="326"/>
      <c r="HL112" s="326"/>
      <c r="HM112" s="326"/>
      <c r="HN112" s="326"/>
      <c r="HO112" s="326"/>
      <c r="HP112" s="326"/>
      <c r="HQ112" s="326"/>
      <c r="HR112" s="326"/>
      <c r="HS112" s="326"/>
      <c r="HT112" s="326"/>
      <c r="HU112" s="326"/>
      <c r="HV112" s="326"/>
      <c r="HW112" s="326"/>
      <c r="HX112" s="326"/>
      <c r="HY112" s="326"/>
      <c r="HZ112" s="326"/>
      <c r="IA112" s="326"/>
      <c r="IB112" s="326"/>
      <c r="IC112" s="326"/>
      <c r="ID112" s="326"/>
      <c r="IE112" s="326"/>
      <c r="IF112" s="326"/>
      <c r="IG112" s="326"/>
      <c r="IH112" s="326"/>
      <c r="II112" s="326"/>
      <c r="IJ112" s="326"/>
      <c r="IK112" s="326"/>
      <c r="IL112" s="326"/>
      <c r="IM112" s="326"/>
      <c r="IN112" s="326"/>
      <c r="IO112" s="326"/>
      <c r="IP112" s="326"/>
      <c r="IQ112" s="326"/>
      <c r="IR112" s="326"/>
      <c r="IS112" s="326"/>
      <c r="IT112" s="326"/>
      <c r="IU112" s="326"/>
      <c r="IV112" s="326"/>
    </row>
    <row r="113" spans="1:256" s="560" customFormat="1" ht="19.5" customHeight="1">
      <c r="A113" s="574">
        <v>104</v>
      </c>
      <c r="B113" s="568"/>
      <c r="C113" s="366"/>
      <c r="D113" s="1146" t="s">
        <v>674</v>
      </c>
      <c r="E113" s="1018"/>
      <c r="F113" s="1018"/>
      <c r="G113" s="573"/>
      <c r="H113" s="1020"/>
      <c r="I113" s="1380">
        <f>I108+I100+I95+I104</f>
        <v>0</v>
      </c>
      <c r="J113" s="1380">
        <f aca="true" t="shared" si="18" ref="J113:P113">J108+J100+J95+J104</f>
        <v>0</v>
      </c>
      <c r="K113" s="1380">
        <f t="shared" si="18"/>
        <v>0</v>
      </c>
      <c r="L113" s="1380">
        <f t="shared" si="18"/>
        <v>0</v>
      </c>
      <c r="M113" s="1380">
        <f t="shared" si="18"/>
        <v>0</v>
      </c>
      <c r="N113" s="1380">
        <f t="shared" si="18"/>
        <v>0</v>
      </c>
      <c r="O113" s="1380">
        <f t="shared" si="18"/>
        <v>0</v>
      </c>
      <c r="P113" s="1469">
        <f t="shared" si="18"/>
        <v>0</v>
      </c>
      <c r="Q113" s="1019"/>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26"/>
      <c r="AY113" s="326"/>
      <c r="AZ113" s="326"/>
      <c r="BA113" s="326"/>
      <c r="BB113" s="326"/>
      <c r="BC113" s="326"/>
      <c r="BD113" s="326"/>
      <c r="BE113" s="326"/>
      <c r="BF113" s="326"/>
      <c r="BG113" s="326"/>
      <c r="BH113" s="326"/>
      <c r="BI113" s="326"/>
      <c r="BJ113" s="326"/>
      <c r="BK113" s="326"/>
      <c r="BL113" s="326"/>
      <c r="BM113" s="326"/>
      <c r="BN113" s="326"/>
      <c r="BO113" s="326"/>
      <c r="BP113" s="326"/>
      <c r="BQ113" s="326"/>
      <c r="BR113" s="326"/>
      <c r="BS113" s="326"/>
      <c r="BT113" s="326"/>
      <c r="BU113" s="326"/>
      <c r="BV113" s="326"/>
      <c r="BW113" s="326"/>
      <c r="BX113" s="326"/>
      <c r="BY113" s="326"/>
      <c r="BZ113" s="326"/>
      <c r="CA113" s="326"/>
      <c r="CB113" s="326"/>
      <c r="CC113" s="326"/>
      <c r="CD113" s="326"/>
      <c r="CE113" s="326"/>
      <c r="CF113" s="326"/>
      <c r="CG113" s="326"/>
      <c r="CH113" s="326"/>
      <c r="CI113" s="326"/>
      <c r="CJ113" s="326"/>
      <c r="CK113" s="326"/>
      <c r="CL113" s="326"/>
      <c r="CM113" s="326"/>
      <c r="CN113" s="326"/>
      <c r="CO113" s="326"/>
      <c r="CP113" s="326"/>
      <c r="CQ113" s="326"/>
      <c r="CR113" s="326"/>
      <c r="CS113" s="326"/>
      <c r="CT113" s="326"/>
      <c r="CU113" s="326"/>
      <c r="CV113" s="326"/>
      <c r="CW113" s="326"/>
      <c r="CX113" s="326"/>
      <c r="CY113" s="326"/>
      <c r="CZ113" s="326"/>
      <c r="DA113" s="326"/>
      <c r="DB113" s="326"/>
      <c r="DC113" s="326"/>
      <c r="DD113" s="326"/>
      <c r="DE113" s="326"/>
      <c r="DF113" s="326"/>
      <c r="DG113" s="326"/>
      <c r="DH113" s="326"/>
      <c r="DI113" s="326"/>
      <c r="DJ113" s="326"/>
      <c r="DK113" s="326"/>
      <c r="DL113" s="326"/>
      <c r="DM113" s="326"/>
      <c r="DN113" s="326"/>
      <c r="DO113" s="326"/>
      <c r="DP113" s="326"/>
      <c r="DQ113" s="326"/>
      <c r="DR113" s="326"/>
      <c r="DS113" s="326"/>
      <c r="DT113" s="326"/>
      <c r="DU113" s="326"/>
      <c r="DV113" s="326"/>
      <c r="DW113" s="326"/>
      <c r="DX113" s="326"/>
      <c r="DY113" s="326"/>
      <c r="DZ113" s="326"/>
      <c r="EA113" s="326"/>
      <c r="EB113" s="326"/>
      <c r="EC113" s="326"/>
      <c r="ED113" s="326"/>
      <c r="EE113" s="326"/>
      <c r="EF113" s="326"/>
      <c r="EG113" s="326"/>
      <c r="EH113" s="326"/>
      <c r="EI113" s="326"/>
      <c r="EJ113" s="326"/>
      <c r="EK113" s="326"/>
      <c r="EL113" s="326"/>
      <c r="EM113" s="326"/>
      <c r="EN113" s="326"/>
      <c r="EO113" s="326"/>
      <c r="EP113" s="326"/>
      <c r="EQ113" s="326"/>
      <c r="ER113" s="326"/>
      <c r="ES113" s="326"/>
      <c r="ET113" s="326"/>
      <c r="EU113" s="326"/>
      <c r="EV113" s="326"/>
      <c r="EW113" s="326"/>
      <c r="EX113" s="326"/>
      <c r="EY113" s="326"/>
      <c r="EZ113" s="326"/>
      <c r="FA113" s="326"/>
      <c r="FB113" s="326"/>
      <c r="FC113" s="326"/>
      <c r="FD113" s="326"/>
      <c r="FE113" s="326"/>
      <c r="FF113" s="326"/>
      <c r="FG113" s="326"/>
      <c r="FH113" s="326"/>
      <c r="FI113" s="326"/>
      <c r="FJ113" s="326"/>
      <c r="FK113" s="326"/>
      <c r="FL113" s="326"/>
      <c r="FM113" s="326"/>
      <c r="FN113" s="326"/>
      <c r="FO113" s="326"/>
      <c r="FP113" s="326"/>
      <c r="FQ113" s="326"/>
      <c r="FR113" s="326"/>
      <c r="FS113" s="326"/>
      <c r="FT113" s="326"/>
      <c r="FU113" s="326"/>
      <c r="FV113" s="326"/>
      <c r="FW113" s="326"/>
      <c r="FX113" s="326"/>
      <c r="FY113" s="326"/>
      <c r="FZ113" s="326"/>
      <c r="GA113" s="326"/>
      <c r="GB113" s="326"/>
      <c r="GC113" s="326"/>
      <c r="GD113" s="326"/>
      <c r="GE113" s="326"/>
      <c r="GF113" s="326"/>
      <c r="GG113" s="326"/>
      <c r="GH113" s="326"/>
      <c r="GI113" s="326"/>
      <c r="GJ113" s="326"/>
      <c r="GK113" s="326"/>
      <c r="GL113" s="326"/>
      <c r="GM113" s="326"/>
      <c r="GN113" s="326"/>
      <c r="GO113" s="326"/>
      <c r="GP113" s="326"/>
      <c r="GQ113" s="326"/>
      <c r="GR113" s="326"/>
      <c r="GS113" s="326"/>
      <c r="GT113" s="326"/>
      <c r="GU113" s="326"/>
      <c r="GV113" s="326"/>
      <c r="GW113" s="326"/>
      <c r="GX113" s="326"/>
      <c r="GY113" s="326"/>
      <c r="GZ113" s="326"/>
      <c r="HA113" s="326"/>
      <c r="HB113" s="326"/>
      <c r="HC113" s="326"/>
      <c r="HD113" s="326"/>
      <c r="HE113" s="326"/>
      <c r="HF113" s="326"/>
      <c r="HG113" s="326"/>
      <c r="HH113" s="326"/>
      <c r="HI113" s="326"/>
      <c r="HJ113" s="326"/>
      <c r="HK113" s="326"/>
      <c r="HL113" s="326"/>
      <c r="HM113" s="326"/>
      <c r="HN113" s="326"/>
      <c r="HO113" s="326"/>
      <c r="HP113" s="326"/>
      <c r="HQ113" s="326"/>
      <c r="HR113" s="326"/>
      <c r="HS113" s="326"/>
      <c r="HT113" s="326"/>
      <c r="HU113" s="326"/>
      <c r="HV113" s="326"/>
      <c r="HW113" s="326"/>
      <c r="HX113" s="326"/>
      <c r="HY113" s="326"/>
      <c r="HZ113" s="326"/>
      <c r="IA113" s="326"/>
      <c r="IB113" s="326"/>
      <c r="IC113" s="326"/>
      <c r="ID113" s="326"/>
      <c r="IE113" s="326"/>
      <c r="IF113" s="326"/>
      <c r="IG113" s="326"/>
      <c r="IH113" s="326"/>
      <c r="II113" s="326"/>
      <c r="IJ113" s="326"/>
      <c r="IK113" s="326"/>
      <c r="IL113" s="326"/>
      <c r="IM113" s="326"/>
      <c r="IN113" s="326"/>
      <c r="IO113" s="326"/>
      <c r="IP113" s="326"/>
      <c r="IQ113" s="326"/>
      <c r="IR113" s="326"/>
      <c r="IS113" s="326"/>
      <c r="IT113" s="326"/>
      <c r="IU113" s="326"/>
      <c r="IV113" s="326"/>
    </row>
    <row r="114" spans="1:256" s="560" customFormat="1" ht="19.5" customHeight="1" thickBot="1">
      <c r="A114" s="574">
        <v>105</v>
      </c>
      <c r="B114" s="568"/>
      <c r="C114" s="1353"/>
      <c r="D114" s="1157" t="s">
        <v>1091</v>
      </c>
      <c r="E114" s="1354"/>
      <c r="F114" s="1354"/>
      <c r="G114" s="1369"/>
      <c r="H114" s="1362"/>
      <c r="I114" s="1354">
        <f>SUM(I112:I113)</f>
        <v>0</v>
      </c>
      <c r="J114" s="1354">
        <f>SUM(J112:J113)</f>
        <v>0</v>
      </c>
      <c r="K114" s="1354">
        <f>SUM(K112:K113)</f>
        <v>12573</v>
      </c>
      <c r="L114" s="1354">
        <f>SUM(L112:L113)</f>
        <v>0</v>
      </c>
      <c r="M114" s="1354">
        <f>SUM(M112:M113)</f>
        <v>1326428</v>
      </c>
      <c r="N114" s="1354">
        <f>SUM(N112:N113)</f>
        <v>0</v>
      </c>
      <c r="O114" s="1354">
        <f>SUM(O112:O113)</f>
        <v>0</v>
      </c>
      <c r="P114" s="1369">
        <f>SUM(P112:P113)</f>
        <v>1339001</v>
      </c>
      <c r="Q114" s="1363"/>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6"/>
      <c r="BJ114" s="326"/>
      <c r="BK114" s="326"/>
      <c r="BL114" s="326"/>
      <c r="BM114" s="326"/>
      <c r="BN114" s="326"/>
      <c r="BO114" s="326"/>
      <c r="BP114" s="326"/>
      <c r="BQ114" s="326"/>
      <c r="BR114" s="326"/>
      <c r="BS114" s="326"/>
      <c r="BT114" s="326"/>
      <c r="BU114" s="326"/>
      <c r="BV114" s="326"/>
      <c r="BW114" s="326"/>
      <c r="BX114" s="326"/>
      <c r="BY114" s="326"/>
      <c r="BZ114" s="326"/>
      <c r="CA114" s="326"/>
      <c r="CB114" s="326"/>
      <c r="CC114" s="326"/>
      <c r="CD114" s="326"/>
      <c r="CE114" s="326"/>
      <c r="CF114" s="326"/>
      <c r="CG114" s="326"/>
      <c r="CH114" s="326"/>
      <c r="CI114" s="326"/>
      <c r="CJ114" s="326"/>
      <c r="CK114" s="326"/>
      <c r="CL114" s="326"/>
      <c r="CM114" s="326"/>
      <c r="CN114" s="326"/>
      <c r="CO114" s="326"/>
      <c r="CP114" s="326"/>
      <c r="CQ114" s="326"/>
      <c r="CR114" s="326"/>
      <c r="CS114" s="326"/>
      <c r="CT114" s="326"/>
      <c r="CU114" s="326"/>
      <c r="CV114" s="326"/>
      <c r="CW114" s="326"/>
      <c r="CX114" s="326"/>
      <c r="CY114" s="326"/>
      <c r="CZ114" s="326"/>
      <c r="DA114" s="326"/>
      <c r="DB114" s="326"/>
      <c r="DC114" s="326"/>
      <c r="DD114" s="326"/>
      <c r="DE114" s="326"/>
      <c r="DF114" s="326"/>
      <c r="DG114" s="326"/>
      <c r="DH114" s="326"/>
      <c r="DI114" s="326"/>
      <c r="DJ114" s="326"/>
      <c r="DK114" s="326"/>
      <c r="DL114" s="326"/>
      <c r="DM114" s="326"/>
      <c r="DN114" s="326"/>
      <c r="DO114" s="326"/>
      <c r="DP114" s="326"/>
      <c r="DQ114" s="326"/>
      <c r="DR114" s="326"/>
      <c r="DS114" s="326"/>
      <c r="DT114" s="326"/>
      <c r="DU114" s="326"/>
      <c r="DV114" s="326"/>
      <c r="DW114" s="326"/>
      <c r="DX114" s="326"/>
      <c r="DY114" s="326"/>
      <c r="DZ114" s="326"/>
      <c r="EA114" s="326"/>
      <c r="EB114" s="326"/>
      <c r="EC114" s="326"/>
      <c r="ED114" s="326"/>
      <c r="EE114" s="326"/>
      <c r="EF114" s="326"/>
      <c r="EG114" s="326"/>
      <c r="EH114" s="326"/>
      <c r="EI114" s="326"/>
      <c r="EJ114" s="326"/>
      <c r="EK114" s="326"/>
      <c r="EL114" s="326"/>
      <c r="EM114" s="326"/>
      <c r="EN114" s="326"/>
      <c r="EO114" s="326"/>
      <c r="EP114" s="326"/>
      <c r="EQ114" s="326"/>
      <c r="ER114" s="326"/>
      <c r="ES114" s="326"/>
      <c r="ET114" s="326"/>
      <c r="EU114" s="326"/>
      <c r="EV114" s="326"/>
      <c r="EW114" s="326"/>
      <c r="EX114" s="326"/>
      <c r="EY114" s="326"/>
      <c r="EZ114" s="326"/>
      <c r="FA114" s="326"/>
      <c r="FB114" s="326"/>
      <c r="FC114" s="326"/>
      <c r="FD114" s="326"/>
      <c r="FE114" s="326"/>
      <c r="FF114" s="326"/>
      <c r="FG114" s="326"/>
      <c r="FH114" s="326"/>
      <c r="FI114" s="326"/>
      <c r="FJ114" s="326"/>
      <c r="FK114" s="326"/>
      <c r="FL114" s="326"/>
      <c r="FM114" s="326"/>
      <c r="FN114" s="326"/>
      <c r="FO114" s="326"/>
      <c r="FP114" s="326"/>
      <c r="FQ114" s="326"/>
      <c r="FR114" s="326"/>
      <c r="FS114" s="326"/>
      <c r="FT114" s="326"/>
      <c r="FU114" s="326"/>
      <c r="FV114" s="326"/>
      <c r="FW114" s="326"/>
      <c r="FX114" s="326"/>
      <c r="FY114" s="326"/>
      <c r="FZ114" s="326"/>
      <c r="GA114" s="326"/>
      <c r="GB114" s="326"/>
      <c r="GC114" s="326"/>
      <c r="GD114" s="326"/>
      <c r="GE114" s="326"/>
      <c r="GF114" s="326"/>
      <c r="GG114" s="326"/>
      <c r="GH114" s="326"/>
      <c r="GI114" s="326"/>
      <c r="GJ114" s="326"/>
      <c r="GK114" s="326"/>
      <c r="GL114" s="326"/>
      <c r="GM114" s="326"/>
      <c r="GN114" s="326"/>
      <c r="GO114" s="326"/>
      <c r="GP114" s="326"/>
      <c r="GQ114" s="326"/>
      <c r="GR114" s="326"/>
      <c r="GS114" s="326"/>
      <c r="GT114" s="326"/>
      <c r="GU114" s="326"/>
      <c r="GV114" s="326"/>
      <c r="GW114" s="326"/>
      <c r="GX114" s="326"/>
      <c r="GY114" s="326"/>
      <c r="GZ114" s="326"/>
      <c r="HA114" s="326"/>
      <c r="HB114" s="326"/>
      <c r="HC114" s="326"/>
      <c r="HD114" s="326"/>
      <c r="HE114" s="326"/>
      <c r="HF114" s="326"/>
      <c r="HG114" s="326"/>
      <c r="HH114" s="326"/>
      <c r="HI114" s="326"/>
      <c r="HJ114" s="326"/>
      <c r="HK114" s="326"/>
      <c r="HL114" s="326"/>
      <c r="HM114" s="326"/>
      <c r="HN114" s="326"/>
      <c r="HO114" s="326"/>
      <c r="HP114" s="326"/>
      <c r="HQ114" s="326"/>
      <c r="HR114" s="326"/>
      <c r="HS114" s="326"/>
      <c r="HT114" s="326"/>
      <c r="HU114" s="326"/>
      <c r="HV114" s="326"/>
      <c r="HW114" s="326"/>
      <c r="HX114" s="326"/>
      <c r="HY114" s="326"/>
      <c r="HZ114" s="326"/>
      <c r="IA114" s="326"/>
      <c r="IB114" s="326"/>
      <c r="IC114" s="326"/>
      <c r="ID114" s="326"/>
      <c r="IE114" s="326"/>
      <c r="IF114" s="326"/>
      <c r="IG114" s="326"/>
      <c r="IH114" s="326"/>
      <c r="II114" s="326"/>
      <c r="IJ114" s="326"/>
      <c r="IK114" s="326"/>
      <c r="IL114" s="326"/>
      <c r="IM114" s="326"/>
      <c r="IN114" s="326"/>
      <c r="IO114" s="326"/>
      <c r="IP114" s="326"/>
      <c r="IQ114" s="326"/>
      <c r="IR114" s="326"/>
      <c r="IS114" s="326"/>
      <c r="IT114" s="326"/>
      <c r="IU114" s="326"/>
      <c r="IV114" s="326"/>
    </row>
    <row r="115" spans="1:17" ht="38.25" customHeight="1" thickTop="1">
      <c r="A115" s="574">
        <v>106</v>
      </c>
      <c r="B115" s="466"/>
      <c r="C115" s="327">
        <v>6</v>
      </c>
      <c r="D115" s="1399" t="s">
        <v>613</v>
      </c>
      <c r="E115" s="335">
        <f>F115+G115+P119</f>
        <v>5290</v>
      </c>
      <c r="F115" s="564"/>
      <c r="G115" s="336">
        <v>3</v>
      </c>
      <c r="H115" s="773"/>
      <c r="I115" s="770"/>
      <c r="J115" s="561"/>
      <c r="K115" s="561"/>
      <c r="L115" s="561"/>
      <c r="M115" s="784"/>
      <c r="N115" s="561"/>
      <c r="O115" s="561"/>
      <c r="P115" s="569"/>
      <c r="Q115" s="565"/>
    </row>
    <row r="116" spans="1:17" ht="19.5" customHeight="1">
      <c r="A116" s="574">
        <v>107</v>
      </c>
      <c r="B116" s="466"/>
      <c r="C116" s="366"/>
      <c r="D116" s="767" t="s">
        <v>283</v>
      </c>
      <c r="E116" s="335"/>
      <c r="F116" s="564"/>
      <c r="G116" s="336"/>
      <c r="H116" s="773"/>
      <c r="I116" s="770"/>
      <c r="J116" s="561"/>
      <c r="K116" s="561"/>
      <c r="L116" s="561"/>
      <c r="M116" s="764">
        <v>2635</v>
      </c>
      <c r="N116" s="561"/>
      <c r="O116" s="561"/>
      <c r="P116" s="758">
        <f>SUM(I116:O116)</f>
        <v>2635</v>
      </c>
      <c r="Q116" s="565"/>
    </row>
    <row r="117" spans="1:17" ht="19.5" customHeight="1">
      <c r="A117" s="574">
        <v>108</v>
      </c>
      <c r="B117" s="1377"/>
      <c r="C117" s="366"/>
      <c r="D117" s="483" t="s">
        <v>938</v>
      </c>
      <c r="E117" s="335"/>
      <c r="F117" s="564"/>
      <c r="G117" s="1329"/>
      <c r="H117" s="773"/>
      <c r="I117" s="770"/>
      <c r="J117" s="770"/>
      <c r="K117" s="1308">
        <v>2652</v>
      </c>
      <c r="L117" s="1308"/>
      <c r="M117" s="1308">
        <v>2635</v>
      </c>
      <c r="N117" s="770"/>
      <c r="O117" s="770"/>
      <c r="P117" s="569">
        <f>SUM(I117:O117)</f>
        <v>5287</v>
      </c>
      <c r="Q117" s="565"/>
    </row>
    <row r="118" spans="1:17" ht="19.5" customHeight="1">
      <c r="A118" s="574">
        <v>109</v>
      </c>
      <c r="B118" s="1377"/>
      <c r="C118" s="366"/>
      <c r="D118" s="1146" t="s">
        <v>725</v>
      </c>
      <c r="E118" s="335"/>
      <c r="F118" s="564"/>
      <c r="G118" s="1329"/>
      <c r="H118" s="773"/>
      <c r="I118" s="770"/>
      <c r="J118" s="770"/>
      <c r="K118" s="1305"/>
      <c r="L118" s="770"/>
      <c r="M118" s="788"/>
      <c r="N118" s="770"/>
      <c r="O118" s="770"/>
      <c r="P118" s="1307">
        <f>SUM(I118:O118)</f>
        <v>0</v>
      </c>
      <c r="Q118" s="565"/>
    </row>
    <row r="119" spans="1:17" ht="19.5" customHeight="1" thickBot="1">
      <c r="A119" s="574">
        <v>110</v>
      </c>
      <c r="B119" s="1377"/>
      <c r="C119" s="1353"/>
      <c r="D119" s="1157" t="s">
        <v>1091</v>
      </c>
      <c r="E119" s="1386"/>
      <c r="F119" s="1387"/>
      <c r="G119" s="1514"/>
      <c r="H119" s="1388"/>
      <c r="I119" s="1389"/>
      <c r="J119" s="1389"/>
      <c r="K119" s="1356">
        <f>SUM(K117:K118)</f>
        <v>2652</v>
      </c>
      <c r="L119" s="1356">
        <f>SUM(L117:L118)</f>
        <v>0</v>
      </c>
      <c r="M119" s="1356">
        <f>SUM(M117:M118)</f>
        <v>2635</v>
      </c>
      <c r="N119" s="1389"/>
      <c r="O119" s="1389"/>
      <c r="P119" s="1902">
        <f>SUM(P117:P118)</f>
        <v>5287</v>
      </c>
      <c r="Q119" s="1368"/>
    </row>
    <row r="120" spans="1:17" ht="18" customHeight="1" thickTop="1">
      <c r="A120" s="574">
        <v>111</v>
      </c>
      <c r="B120" s="1377"/>
      <c r="C120" s="809"/>
      <c r="D120" s="1536" t="s">
        <v>677</v>
      </c>
      <c r="E120" s="1026">
        <f>E115</f>
        <v>5290</v>
      </c>
      <c r="F120" s="1026">
        <f>F115</f>
        <v>0</v>
      </c>
      <c r="G120" s="1026">
        <f>G115</f>
        <v>3</v>
      </c>
      <c r="H120" s="772"/>
      <c r="I120" s="979"/>
      <c r="J120" s="979"/>
      <c r="K120" s="979"/>
      <c r="L120" s="979"/>
      <c r="M120" s="1384"/>
      <c r="N120" s="979"/>
      <c r="O120" s="979"/>
      <c r="P120" s="1385"/>
      <c r="Q120" s="562"/>
    </row>
    <row r="121" spans="1:17" ht="19.5" customHeight="1">
      <c r="A121" s="574">
        <v>112</v>
      </c>
      <c r="B121" s="1377"/>
      <c r="C121" s="366"/>
      <c r="D121" s="821" t="s">
        <v>283</v>
      </c>
      <c r="E121" s="335"/>
      <c r="F121" s="564"/>
      <c r="G121" s="1329"/>
      <c r="H121" s="773"/>
      <c r="I121" s="771">
        <f>I116</f>
        <v>0</v>
      </c>
      <c r="J121" s="771">
        <f aca="true" t="shared" si="19" ref="J121:P122">J116</f>
        <v>0</v>
      </c>
      <c r="K121" s="771">
        <f t="shared" si="19"/>
        <v>0</v>
      </c>
      <c r="L121" s="771">
        <f t="shared" si="19"/>
        <v>0</v>
      </c>
      <c r="M121" s="771">
        <f t="shared" si="19"/>
        <v>2635</v>
      </c>
      <c r="N121" s="771">
        <f t="shared" si="19"/>
        <v>0</v>
      </c>
      <c r="O121" s="771">
        <f t="shared" si="19"/>
        <v>0</v>
      </c>
      <c r="P121" s="771">
        <f t="shared" si="19"/>
        <v>2635</v>
      </c>
      <c r="Q121" s="565"/>
    </row>
    <row r="122" spans="1:17" ht="19.5" customHeight="1">
      <c r="A122" s="574">
        <v>113</v>
      </c>
      <c r="B122" s="1377"/>
      <c r="C122" s="366"/>
      <c r="D122" s="483" t="s">
        <v>938</v>
      </c>
      <c r="E122" s="335"/>
      <c r="F122" s="564"/>
      <c r="G122" s="1329"/>
      <c r="H122" s="773"/>
      <c r="I122" s="1308">
        <f>I117</f>
        <v>0</v>
      </c>
      <c r="J122" s="1308">
        <f aca="true" t="shared" si="20" ref="J122:O122">J117</f>
        <v>0</v>
      </c>
      <c r="K122" s="1308">
        <f t="shared" si="20"/>
        <v>2652</v>
      </c>
      <c r="L122" s="1308">
        <f t="shared" si="20"/>
        <v>0</v>
      </c>
      <c r="M122" s="1308">
        <f t="shared" si="20"/>
        <v>2635</v>
      </c>
      <c r="N122" s="1308">
        <f t="shared" si="20"/>
        <v>0</v>
      </c>
      <c r="O122" s="1308">
        <f t="shared" si="20"/>
        <v>0</v>
      </c>
      <c r="P122" s="1308">
        <f t="shared" si="19"/>
        <v>5287</v>
      </c>
      <c r="Q122" s="565"/>
    </row>
    <row r="123" spans="1:17" ht="19.5" customHeight="1">
      <c r="A123" s="574">
        <v>114</v>
      </c>
      <c r="B123" s="1377"/>
      <c r="C123" s="366"/>
      <c r="D123" s="1146" t="s">
        <v>689</v>
      </c>
      <c r="E123" s="335"/>
      <c r="F123" s="564"/>
      <c r="G123" s="1329"/>
      <c r="H123" s="773"/>
      <c r="I123" s="1305">
        <f>I118</f>
        <v>0</v>
      </c>
      <c r="J123" s="1305">
        <f aca="true" t="shared" si="21" ref="J123:O123">J118</f>
        <v>0</v>
      </c>
      <c r="K123" s="1305">
        <f t="shared" si="21"/>
        <v>0</v>
      </c>
      <c r="L123" s="1305">
        <f t="shared" si="21"/>
        <v>0</v>
      </c>
      <c r="M123" s="1305">
        <f t="shared" si="21"/>
        <v>0</v>
      </c>
      <c r="N123" s="1305">
        <f t="shared" si="21"/>
        <v>0</v>
      </c>
      <c r="O123" s="1305">
        <f t="shared" si="21"/>
        <v>0</v>
      </c>
      <c r="P123" s="1327">
        <f>SUM(I123:O123)</f>
        <v>0</v>
      </c>
      <c r="Q123" s="565"/>
    </row>
    <row r="124" spans="1:17" ht="19.5" customHeight="1" thickBot="1">
      <c r="A124" s="574">
        <v>115</v>
      </c>
      <c r="B124" s="1377"/>
      <c r="C124" s="1353"/>
      <c r="D124" s="1157" t="s">
        <v>1091</v>
      </c>
      <c r="E124" s="1386"/>
      <c r="F124" s="1387"/>
      <c r="G124" s="1514"/>
      <c r="H124" s="1388"/>
      <c r="I124" s="1356">
        <f>SUM(I122:I123)</f>
        <v>0</v>
      </c>
      <c r="J124" s="1356">
        <f aca="true" t="shared" si="22" ref="J124:P124">SUM(J122:J123)</f>
        <v>0</v>
      </c>
      <c r="K124" s="1356">
        <f t="shared" si="22"/>
        <v>2652</v>
      </c>
      <c r="L124" s="1356">
        <f t="shared" si="22"/>
        <v>0</v>
      </c>
      <c r="M124" s="1356">
        <f t="shared" si="22"/>
        <v>2635</v>
      </c>
      <c r="N124" s="1356">
        <f t="shared" si="22"/>
        <v>0</v>
      </c>
      <c r="O124" s="1356">
        <f t="shared" si="22"/>
        <v>0</v>
      </c>
      <c r="P124" s="1356">
        <f t="shared" si="22"/>
        <v>5287</v>
      </c>
      <c r="Q124" s="1368"/>
    </row>
    <row r="125" spans="1:17" ht="24.75" customHeight="1" thickTop="1">
      <c r="A125" s="574">
        <v>116</v>
      </c>
      <c r="B125" s="1377"/>
      <c r="C125" s="809">
        <v>7</v>
      </c>
      <c r="D125" s="816" t="s">
        <v>679</v>
      </c>
      <c r="E125" s="333"/>
      <c r="F125" s="331"/>
      <c r="G125" s="1515"/>
      <c r="H125" s="772"/>
      <c r="I125" s="979"/>
      <c r="J125" s="979"/>
      <c r="K125" s="979"/>
      <c r="L125" s="979"/>
      <c r="M125" s="1384"/>
      <c r="N125" s="979"/>
      <c r="O125" s="979"/>
      <c r="P125" s="1385"/>
      <c r="Q125" s="562"/>
    </row>
    <row r="126" spans="1:17" ht="19.5" customHeight="1">
      <c r="A126" s="574">
        <v>117</v>
      </c>
      <c r="B126" s="1390"/>
      <c r="C126" s="366"/>
      <c r="D126" s="794" t="s">
        <v>465</v>
      </c>
      <c r="E126" s="335">
        <f>F126+G126+P129+10046</f>
        <v>203337</v>
      </c>
      <c r="F126" s="564"/>
      <c r="G126" s="1329"/>
      <c r="H126" s="773"/>
      <c r="I126" s="770"/>
      <c r="J126" s="770"/>
      <c r="K126" s="770"/>
      <c r="L126" s="770"/>
      <c r="M126" s="788"/>
      <c r="N126" s="770"/>
      <c r="O126" s="770"/>
      <c r="P126" s="1361"/>
      <c r="Q126" s="565"/>
    </row>
    <row r="127" spans="1:17" ht="19.5" customHeight="1">
      <c r="A127" s="574">
        <v>118</v>
      </c>
      <c r="B127" s="1390"/>
      <c r="C127" s="366"/>
      <c r="D127" s="483" t="s">
        <v>938</v>
      </c>
      <c r="E127" s="335"/>
      <c r="F127" s="564"/>
      <c r="G127" s="1329"/>
      <c r="H127" s="773"/>
      <c r="I127" s="1308">
        <v>5035</v>
      </c>
      <c r="J127" s="1308">
        <v>702</v>
      </c>
      <c r="K127" s="1308">
        <v>187594</v>
      </c>
      <c r="L127" s="770"/>
      <c r="M127" s="788"/>
      <c r="N127" s="770"/>
      <c r="O127" s="770"/>
      <c r="P127" s="569">
        <f>SUM(I127:O127)</f>
        <v>193331</v>
      </c>
      <c r="Q127" s="565"/>
    </row>
    <row r="128" spans="1:17" ht="19.5" customHeight="1">
      <c r="A128" s="574">
        <v>119</v>
      </c>
      <c r="B128" s="1390"/>
      <c r="C128" s="366"/>
      <c r="D128" s="1146" t="s">
        <v>689</v>
      </c>
      <c r="E128" s="335"/>
      <c r="F128" s="564"/>
      <c r="G128" s="1329"/>
      <c r="H128" s="773"/>
      <c r="I128" s="1305">
        <v>2528</v>
      </c>
      <c r="J128" s="1305">
        <v>353</v>
      </c>
      <c r="K128" s="1305">
        <v>-2921</v>
      </c>
      <c r="L128" s="770"/>
      <c r="M128" s="788"/>
      <c r="N128" s="770"/>
      <c r="O128" s="770"/>
      <c r="P128" s="1307">
        <f>SUM(I128:O128)</f>
        <v>-40</v>
      </c>
      <c r="Q128" s="565"/>
    </row>
    <row r="129" spans="1:17" ht="19.5" customHeight="1">
      <c r="A129" s="574">
        <v>120</v>
      </c>
      <c r="B129" s="1390"/>
      <c r="C129" s="366"/>
      <c r="D129" s="483" t="s">
        <v>1091</v>
      </c>
      <c r="E129" s="335"/>
      <c r="F129" s="564"/>
      <c r="G129" s="1329"/>
      <c r="H129" s="773"/>
      <c r="I129" s="1308">
        <f>SUM(I127:I128)</f>
        <v>7563</v>
      </c>
      <c r="J129" s="1308">
        <f>SUM(J127:J128)</f>
        <v>1055</v>
      </c>
      <c r="K129" s="1308">
        <f>SUM(K127:K128)</f>
        <v>184673</v>
      </c>
      <c r="L129" s="770"/>
      <c r="M129" s="770"/>
      <c r="N129" s="770"/>
      <c r="O129" s="770"/>
      <c r="P129" s="569">
        <f>SUM(I129:O129)</f>
        <v>193291</v>
      </c>
      <c r="Q129" s="565"/>
    </row>
    <row r="130" spans="1:17" ht="19.5" customHeight="1">
      <c r="A130" s="574">
        <v>121</v>
      </c>
      <c r="B130" s="1390"/>
      <c r="C130" s="366"/>
      <c r="D130" s="328" t="s">
        <v>717</v>
      </c>
      <c r="E130" s="335">
        <f>F130+G130+P133</f>
        <v>74663</v>
      </c>
      <c r="F130" s="564"/>
      <c r="G130" s="1329"/>
      <c r="H130" s="773"/>
      <c r="I130" s="770"/>
      <c r="J130" s="770"/>
      <c r="K130" s="770"/>
      <c r="L130" s="770"/>
      <c r="M130" s="770"/>
      <c r="N130" s="770"/>
      <c r="O130" s="770"/>
      <c r="P130" s="1462"/>
      <c r="Q130" s="565"/>
    </row>
    <row r="131" spans="1:17" ht="19.5" customHeight="1">
      <c r="A131" s="574">
        <v>122</v>
      </c>
      <c r="B131" s="1390"/>
      <c r="C131" s="366"/>
      <c r="D131" s="483" t="s">
        <v>938</v>
      </c>
      <c r="E131" s="335"/>
      <c r="F131" s="564"/>
      <c r="G131" s="1329"/>
      <c r="H131" s="773"/>
      <c r="I131" s="770"/>
      <c r="J131" s="770"/>
      <c r="K131" s="770"/>
      <c r="L131" s="770"/>
      <c r="M131" s="1308">
        <v>74663</v>
      </c>
      <c r="N131" s="770"/>
      <c r="O131" s="770"/>
      <c r="P131" s="569">
        <f>SUM(I131:O131)</f>
        <v>74663</v>
      </c>
      <c r="Q131" s="565"/>
    </row>
    <row r="132" spans="1:17" ht="19.5" customHeight="1">
      <c r="A132" s="574">
        <v>123</v>
      </c>
      <c r="B132" s="1390"/>
      <c r="C132" s="366"/>
      <c r="D132" s="1146" t="s">
        <v>725</v>
      </c>
      <c r="E132" s="335"/>
      <c r="F132" s="564"/>
      <c r="G132" s="1329"/>
      <c r="H132" s="773"/>
      <c r="I132" s="770"/>
      <c r="J132" s="770"/>
      <c r="K132" s="770"/>
      <c r="L132" s="770"/>
      <c r="M132" s="1305"/>
      <c r="N132" s="770"/>
      <c r="O132" s="770"/>
      <c r="P132" s="1307">
        <f>SUM(I132:O132)</f>
        <v>0</v>
      </c>
      <c r="Q132" s="565"/>
    </row>
    <row r="133" spans="1:17" ht="19.5" customHeight="1">
      <c r="A133" s="574">
        <v>124</v>
      </c>
      <c r="B133" s="1390"/>
      <c r="C133" s="366"/>
      <c r="D133" s="483" t="s">
        <v>1091</v>
      </c>
      <c r="E133" s="335"/>
      <c r="F133" s="564"/>
      <c r="G133" s="1329"/>
      <c r="H133" s="773"/>
      <c r="I133" s="770"/>
      <c r="J133" s="770"/>
      <c r="K133" s="770"/>
      <c r="L133" s="770"/>
      <c r="M133" s="1308">
        <f>SUM(M131:M132)</f>
        <v>74663</v>
      </c>
      <c r="N133" s="770"/>
      <c r="O133" s="770"/>
      <c r="P133" s="569">
        <f>SUM(I133:O133)</f>
        <v>74663</v>
      </c>
      <c r="Q133" s="565"/>
    </row>
    <row r="134" spans="1:17" ht="19.5" customHeight="1">
      <c r="A134" s="574">
        <v>125</v>
      </c>
      <c r="B134" s="1390"/>
      <c r="C134" s="366"/>
      <c r="D134" s="328" t="s">
        <v>718</v>
      </c>
      <c r="E134" s="335">
        <f>F134+G134+P137</f>
        <v>47371</v>
      </c>
      <c r="F134" s="564"/>
      <c r="G134" s="1329"/>
      <c r="H134" s="773"/>
      <c r="I134" s="770"/>
      <c r="J134" s="770"/>
      <c r="K134" s="770"/>
      <c r="L134" s="770"/>
      <c r="M134" s="770"/>
      <c r="N134" s="770"/>
      <c r="O134" s="770"/>
      <c r="P134" s="1462"/>
      <c r="Q134" s="565"/>
    </row>
    <row r="135" spans="1:17" ht="19.5" customHeight="1">
      <c r="A135" s="574">
        <v>126</v>
      </c>
      <c r="B135" s="1390"/>
      <c r="C135" s="366"/>
      <c r="D135" s="483" t="s">
        <v>938</v>
      </c>
      <c r="E135" s="335"/>
      <c r="F135" s="564"/>
      <c r="G135" s="1329"/>
      <c r="H135" s="773"/>
      <c r="I135" s="770"/>
      <c r="J135" s="770"/>
      <c r="K135" s="770"/>
      <c r="L135" s="770"/>
      <c r="M135" s="1308">
        <v>44450</v>
      </c>
      <c r="N135" s="770"/>
      <c r="O135" s="770"/>
      <c r="P135" s="569">
        <f>SUM(I135:O135)</f>
        <v>44450</v>
      </c>
      <c r="Q135" s="565"/>
    </row>
    <row r="136" spans="1:17" ht="19.5" customHeight="1">
      <c r="A136" s="574">
        <v>127</v>
      </c>
      <c r="B136" s="1390"/>
      <c r="C136" s="366"/>
      <c r="D136" s="1146" t="s">
        <v>689</v>
      </c>
      <c r="E136" s="335"/>
      <c r="F136" s="564"/>
      <c r="G136" s="1329"/>
      <c r="H136" s="773"/>
      <c r="I136" s="770"/>
      <c r="J136" s="770"/>
      <c r="K136" s="770"/>
      <c r="L136" s="770"/>
      <c r="M136" s="1305">
        <v>2921</v>
      </c>
      <c r="N136" s="770"/>
      <c r="O136" s="770"/>
      <c r="P136" s="1307">
        <f>SUM(I136:O136)</f>
        <v>2921</v>
      </c>
      <c r="Q136" s="565"/>
    </row>
    <row r="137" spans="1:17" ht="19.5" customHeight="1">
      <c r="A137" s="574">
        <v>128</v>
      </c>
      <c r="B137" s="1390"/>
      <c r="C137" s="366"/>
      <c r="D137" s="483" t="s">
        <v>1091</v>
      </c>
      <c r="E137" s="335"/>
      <c r="F137" s="564"/>
      <c r="G137" s="1329"/>
      <c r="H137" s="773"/>
      <c r="I137" s="770"/>
      <c r="J137" s="770"/>
      <c r="K137" s="770"/>
      <c r="L137" s="770"/>
      <c r="M137" s="1308">
        <f>SUM(M135:M136)</f>
        <v>47371</v>
      </c>
      <c r="N137" s="770"/>
      <c r="O137" s="770"/>
      <c r="P137" s="569">
        <f>SUM(I137:O137)</f>
        <v>47371</v>
      </c>
      <c r="Q137" s="565"/>
    </row>
    <row r="138" spans="1:17" ht="19.5" customHeight="1">
      <c r="A138" s="574">
        <v>129</v>
      </c>
      <c r="B138" s="1390"/>
      <c r="C138" s="366"/>
      <c r="D138" s="328" t="s">
        <v>719</v>
      </c>
      <c r="E138" s="335">
        <f>F138+G138+P141</f>
        <v>30480</v>
      </c>
      <c r="F138" s="564"/>
      <c r="G138" s="1329"/>
      <c r="H138" s="773"/>
      <c r="I138" s="770"/>
      <c r="J138" s="770"/>
      <c r="K138" s="770"/>
      <c r="L138" s="770"/>
      <c r="M138" s="770"/>
      <c r="N138" s="770"/>
      <c r="O138" s="770"/>
      <c r="P138" s="1462"/>
      <c r="Q138" s="565"/>
    </row>
    <row r="139" spans="1:17" ht="19.5" customHeight="1">
      <c r="A139" s="574">
        <v>130</v>
      </c>
      <c r="B139" s="1390"/>
      <c r="C139" s="366"/>
      <c r="D139" s="483" t="s">
        <v>938</v>
      </c>
      <c r="E139" s="335"/>
      <c r="F139" s="564"/>
      <c r="G139" s="1329"/>
      <c r="H139" s="773"/>
      <c r="I139" s="770"/>
      <c r="J139" s="770"/>
      <c r="K139" s="770"/>
      <c r="L139" s="770"/>
      <c r="M139" s="1308">
        <v>30480</v>
      </c>
      <c r="N139" s="770"/>
      <c r="O139" s="770"/>
      <c r="P139" s="569">
        <f>SUM(I139:O139)</f>
        <v>30480</v>
      </c>
      <c r="Q139" s="565"/>
    </row>
    <row r="140" spans="1:17" ht="19.5" customHeight="1">
      <c r="A140" s="574">
        <v>131</v>
      </c>
      <c r="B140" s="1390"/>
      <c r="C140" s="366"/>
      <c r="D140" s="1146" t="s">
        <v>725</v>
      </c>
      <c r="E140" s="335"/>
      <c r="F140" s="564"/>
      <c r="G140" s="1329"/>
      <c r="H140" s="773"/>
      <c r="I140" s="770"/>
      <c r="J140" s="770"/>
      <c r="K140" s="770"/>
      <c r="L140" s="770"/>
      <c r="M140" s="1305"/>
      <c r="N140" s="770"/>
      <c r="O140" s="770"/>
      <c r="P140" s="1307">
        <f>SUM(I140:O140)</f>
        <v>0</v>
      </c>
      <c r="Q140" s="565"/>
    </row>
    <row r="141" spans="1:17" ht="19.5" customHeight="1">
      <c r="A141" s="574">
        <v>132</v>
      </c>
      <c r="B141" s="1390"/>
      <c r="C141" s="366"/>
      <c r="D141" s="483" t="s">
        <v>1091</v>
      </c>
      <c r="E141" s="335"/>
      <c r="F141" s="564"/>
      <c r="G141" s="1329"/>
      <c r="H141" s="773"/>
      <c r="I141" s="770"/>
      <c r="J141" s="770"/>
      <c r="K141" s="770"/>
      <c r="L141" s="770"/>
      <c r="M141" s="1308">
        <f>SUM(M139:M140)</f>
        <v>30480</v>
      </c>
      <c r="N141" s="770"/>
      <c r="O141" s="770"/>
      <c r="P141" s="569">
        <f>SUM(I141:O141)</f>
        <v>30480</v>
      </c>
      <c r="Q141" s="565"/>
    </row>
    <row r="142" spans="1:17" ht="19.5" customHeight="1">
      <c r="A142" s="574">
        <v>133</v>
      </c>
      <c r="B142" s="1390"/>
      <c r="C142" s="820"/>
      <c r="D142" s="328" t="s">
        <v>720</v>
      </c>
      <c r="E142" s="335">
        <f>F142+G142+P145</f>
        <v>38100</v>
      </c>
      <c r="F142" s="830"/>
      <c r="G142" s="1516"/>
      <c r="H142" s="773"/>
      <c r="I142" s="770"/>
      <c r="J142" s="770"/>
      <c r="K142" s="770"/>
      <c r="L142" s="770"/>
      <c r="M142" s="788"/>
      <c r="N142" s="770"/>
      <c r="O142" s="770"/>
      <c r="P142" s="1462"/>
      <c r="Q142" s="565"/>
    </row>
    <row r="143" spans="1:17" ht="19.5" customHeight="1">
      <c r="A143" s="574">
        <v>134</v>
      </c>
      <c r="B143" s="1390"/>
      <c r="C143" s="820"/>
      <c r="D143" s="483" t="s">
        <v>938</v>
      </c>
      <c r="E143" s="829"/>
      <c r="F143" s="830"/>
      <c r="G143" s="1516"/>
      <c r="H143" s="773"/>
      <c r="I143" s="770"/>
      <c r="J143" s="770"/>
      <c r="K143" s="770"/>
      <c r="L143" s="770"/>
      <c r="M143" s="1308">
        <v>38100</v>
      </c>
      <c r="N143" s="770"/>
      <c r="O143" s="770"/>
      <c r="P143" s="569">
        <f>SUM(I143:O143)</f>
        <v>38100</v>
      </c>
      <c r="Q143" s="565"/>
    </row>
    <row r="144" spans="1:17" ht="19.5" customHeight="1">
      <c r="A144" s="574">
        <v>135</v>
      </c>
      <c r="B144" s="1390"/>
      <c r="C144" s="820"/>
      <c r="D144" s="1146" t="s">
        <v>674</v>
      </c>
      <c r="E144" s="829"/>
      <c r="F144" s="830"/>
      <c r="G144" s="1516"/>
      <c r="H144" s="773"/>
      <c r="I144" s="770"/>
      <c r="J144" s="770"/>
      <c r="K144" s="770"/>
      <c r="L144" s="770"/>
      <c r="M144" s="1305"/>
      <c r="N144" s="770"/>
      <c r="O144" s="770"/>
      <c r="P144" s="1307">
        <f>SUM(I144:O144)</f>
        <v>0</v>
      </c>
      <c r="Q144" s="565"/>
    </row>
    <row r="145" spans="1:17" ht="19.5" customHeight="1" thickBot="1">
      <c r="A145" s="574">
        <v>136</v>
      </c>
      <c r="B145" s="1390"/>
      <c r="C145" s="820"/>
      <c r="D145" s="483" t="s">
        <v>1091</v>
      </c>
      <c r="E145" s="829"/>
      <c r="F145" s="830"/>
      <c r="G145" s="1516"/>
      <c r="H145" s="773"/>
      <c r="I145" s="770"/>
      <c r="J145" s="770"/>
      <c r="K145" s="770"/>
      <c r="L145" s="770"/>
      <c r="M145" s="1308">
        <f>SUM(M143:M144)</f>
        <v>38100</v>
      </c>
      <c r="N145" s="770"/>
      <c r="O145" s="770"/>
      <c r="P145" s="569">
        <f>SUM(I145:O145)</f>
        <v>38100</v>
      </c>
      <c r="Q145" s="565"/>
    </row>
    <row r="146" spans="1:17" ht="24.75" customHeight="1" thickTop="1">
      <c r="A146" s="574">
        <v>137</v>
      </c>
      <c r="B146" s="466"/>
      <c r="C146" s="1393"/>
      <c r="D146" s="1535" t="s">
        <v>678</v>
      </c>
      <c r="E146" s="1517">
        <f>SUM(E126:E145)</f>
        <v>393951</v>
      </c>
      <c r="F146" s="1517">
        <f>SUM(F126:F145)</f>
        <v>0</v>
      </c>
      <c r="G146" s="1517">
        <f>SUM(G126:G145)</f>
        <v>0</v>
      </c>
      <c r="H146" s="1395"/>
      <c r="I146" s="1396"/>
      <c r="J146" s="1396"/>
      <c r="K146" s="1396"/>
      <c r="L146" s="1396"/>
      <c r="M146" s="1396"/>
      <c r="N146" s="1396"/>
      <c r="O146" s="1396"/>
      <c r="P146" s="1397"/>
      <c r="Q146" s="1398"/>
    </row>
    <row r="147" spans="1:17" ht="19.5" customHeight="1">
      <c r="A147" s="574">
        <v>138</v>
      </c>
      <c r="B147" s="466"/>
      <c r="C147" s="809"/>
      <c r="D147" s="483" t="s">
        <v>938</v>
      </c>
      <c r="E147" s="1026"/>
      <c r="F147" s="333"/>
      <c r="G147" s="332"/>
      <c r="H147" s="772"/>
      <c r="I147" s="1326">
        <f>I127+I131+I135+I139+I143</f>
        <v>5035</v>
      </c>
      <c r="J147" s="1326">
        <f aca="true" t="shared" si="23" ref="J147:O147">J127+J131+J135+J139+J143</f>
        <v>702</v>
      </c>
      <c r="K147" s="1326">
        <f t="shared" si="23"/>
        <v>187594</v>
      </c>
      <c r="L147" s="1326">
        <f t="shared" si="23"/>
        <v>0</v>
      </c>
      <c r="M147" s="1326">
        <f t="shared" si="23"/>
        <v>187693</v>
      </c>
      <c r="N147" s="1326">
        <f t="shared" si="23"/>
        <v>0</v>
      </c>
      <c r="O147" s="1326">
        <f t="shared" si="23"/>
        <v>0</v>
      </c>
      <c r="P147" s="1326">
        <f>P127+P131+P135+P139+P143</f>
        <v>381024</v>
      </c>
      <c r="Q147" s="562"/>
    </row>
    <row r="148" spans="1:17" ht="19.5" customHeight="1">
      <c r="A148" s="574">
        <v>139</v>
      </c>
      <c r="B148" s="466"/>
      <c r="C148" s="366"/>
      <c r="D148" s="1146" t="s">
        <v>674</v>
      </c>
      <c r="E148" s="335"/>
      <c r="F148" s="564"/>
      <c r="G148" s="336"/>
      <c r="H148" s="773"/>
      <c r="I148" s="1306">
        <f>I128+I132+I136+I140+I144</f>
        <v>2528</v>
      </c>
      <c r="J148" s="1306">
        <f aca="true" t="shared" si="24" ref="J148:O148">J128+J132+J136+J140+J144</f>
        <v>353</v>
      </c>
      <c r="K148" s="1306">
        <f t="shared" si="24"/>
        <v>-2921</v>
      </c>
      <c r="L148" s="1306">
        <f t="shared" si="24"/>
        <v>0</v>
      </c>
      <c r="M148" s="1306">
        <f t="shared" si="24"/>
        <v>2921</v>
      </c>
      <c r="N148" s="1306">
        <f t="shared" si="24"/>
        <v>0</v>
      </c>
      <c r="O148" s="1306">
        <f t="shared" si="24"/>
        <v>0</v>
      </c>
      <c r="P148" s="1307">
        <f>SUM(I148:O148)</f>
        <v>2881</v>
      </c>
      <c r="Q148" s="565"/>
    </row>
    <row r="149" spans="1:17" ht="19.5" customHeight="1" thickBot="1">
      <c r="A149" s="574">
        <v>140</v>
      </c>
      <c r="B149" s="1390"/>
      <c r="C149" s="1353"/>
      <c r="D149" s="1157" t="s">
        <v>1091</v>
      </c>
      <c r="E149" s="1386"/>
      <c r="F149" s="1387"/>
      <c r="G149" s="1715"/>
      <c r="H149" s="1388"/>
      <c r="I149" s="1356">
        <f>SUM(I147:I148)</f>
        <v>7563</v>
      </c>
      <c r="J149" s="1356">
        <f aca="true" t="shared" si="25" ref="J149:O149">SUM(J147:J148)</f>
        <v>1055</v>
      </c>
      <c r="K149" s="1356">
        <f t="shared" si="25"/>
        <v>184673</v>
      </c>
      <c r="L149" s="1356">
        <f t="shared" si="25"/>
        <v>0</v>
      </c>
      <c r="M149" s="1356">
        <f t="shared" si="25"/>
        <v>190614</v>
      </c>
      <c r="N149" s="1356">
        <f t="shared" si="25"/>
        <v>0</v>
      </c>
      <c r="O149" s="1356">
        <f t="shared" si="25"/>
        <v>0</v>
      </c>
      <c r="P149" s="1716">
        <f>SUM(P147:P148)</f>
        <v>383905</v>
      </c>
      <c r="Q149" s="1368"/>
    </row>
    <row r="150" spans="1:17" ht="24.75" customHeight="1" thickTop="1">
      <c r="A150" s="574">
        <v>141</v>
      </c>
      <c r="B150" s="1722"/>
      <c r="C150" s="1014">
        <v>8</v>
      </c>
      <c r="D150" s="1719" t="s">
        <v>902</v>
      </c>
      <c r="E150" s="1394"/>
      <c r="F150" s="1723"/>
      <c r="G150" s="1724"/>
      <c r="H150" s="1301"/>
      <c r="I150" s="1342"/>
      <c r="J150" s="1342"/>
      <c r="K150" s="1342"/>
      <c r="L150" s="1342"/>
      <c r="M150" s="1342"/>
      <c r="N150" s="1342"/>
      <c r="O150" s="1342"/>
      <c r="P150" s="1342"/>
      <c r="Q150" s="1304"/>
    </row>
    <row r="151" spans="1:17" ht="19.5" customHeight="1">
      <c r="A151" s="574">
        <v>142</v>
      </c>
      <c r="B151" s="466"/>
      <c r="C151" s="366"/>
      <c r="D151" s="1720" t="s">
        <v>465</v>
      </c>
      <c r="E151" s="335">
        <f>F151+G151+P154+16972+2631</f>
        <v>49992</v>
      </c>
      <c r="F151" s="564"/>
      <c r="G151" s="1725"/>
      <c r="H151" s="773"/>
      <c r="I151" s="1308"/>
      <c r="J151" s="1308"/>
      <c r="K151" s="1308"/>
      <c r="L151" s="1308"/>
      <c r="M151" s="1308"/>
      <c r="N151" s="1308"/>
      <c r="O151" s="1308"/>
      <c r="P151" s="1308"/>
      <c r="Q151" s="565"/>
    </row>
    <row r="152" spans="1:17" ht="19.5" customHeight="1">
      <c r="A152" s="574">
        <v>143</v>
      </c>
      <c r="B152" s="466"/>
      <c r="C152" s="366"/>
      <c r="D152" s="483" t="s">
        <v>938</v>
      </c>
      <c r="E152" s="335"/>
      <c r="F152" s="564"/>
      <c r="G152" s="1725"/>
      <c r="H152" s="773"/>
      <c r="I152" s="1308"/>
      <c r="J152" s="1308"/>
      <c r="K152" s="1308">
        <v>30389</v>
      </c>
      <c r="L152" s="1308"/>
      <c r="M152" s="1308"/>
      <c r="N152" s="1308"/>
      <c r="O152" s="1308"/>
      <c r="P152" s="569">
        <f>SUM(I152:O152)</f>
        <v>30389</v>
      </c>
      <c r="Q152" s="565"/>
    </row>
    <row r="153" spans="1:17" ht="19.5" customHeight="1">
      <c r="A153" s="574">
        <v>144</v>
      </c>
      <c r="B153" s="466"/>
      <c r="C153" s="366"/>
      <c r="D153" s="1146" t="s">
        <v>725</v>
      </c>
      <c r="E153" s="335"/>
      <c r="F153" s="564"/>
      <c r="G153" s="1725"/>
      <c r="H153" s="773"/>
      <c r="I153" s="1308"/>
      <c r="J153" s="1308"/>
      <c r="K153" s="1305"/>
      <c r="L153" s="1308"/>
      <c r="M153" s="1308"/>
      <c r="N153" s="1308"/>
      <c r="O153" s="1308"/>
      <c r="P153" s="1307">
        <f>SUM(I153:O153)</f>
        <v>0</v>
      </c>
      <c r="Q153" s="565"/>
    </row>
    <row r="154" spans="1:17" ht="19.5" customHeight="1">
      <c r="A154" s="574">
        <v>145</v>
      </c>
      <c r="B154" s="466"/>
      <c r="C154" s="366"/>
      <c r="D154" s="483" t="s">
        <v>1091</v>
      </c>
      <c r="E154" s="335"/>
      <c r="F154" s="564"/>
      <c r="G154" s="1725"/>
      <c r="H154" s="773"/>
      <c r="I154" s="1308"/>
      <c r="J154" s="1308"/>
      <c r="K154" s="1308">
        <f>SUM(K152:K153)</f>
        <v>30389</v>
      </c>
      <c r="L154" s="1308"/>
      <c r="M154" s="1308"/>
      <c r="N154" s="1308"/>
      <c r="O154" s="1308"/>
      <c r="P154" s="569">
        <f>SUM(I154:O154)</f>
        <v>30389</v>
      </c>
      <c r="Q154" s="565"/>
    </row>
    <row r="155" spans="1:17" ht="36" customHeight="1">
      <c r="A155" s="574">
        <v>146</v>
      </c>
      <c r="B155" s="466"/>
      <c r="C155" s="366"/>
      <c r="D155" s="1721" t="s">
        <v>903</v>
      </c>
      <c r="E155" s="335">
        <f>F155+G155+P158</f>
        <v>32400</v>
      </c>
      <c r="F155" s="564"/>
      <c r="G155" s="1725"/>
      <c r="H155" s="773"/>
      <c r="I155" s="1308"/>
      <c r="J155" s="1308"/>
      <c r="K155" s="1308"/>
      <c r="L155" s="1308"/>
      <c r="M155" s="1308"/>
      <c r="N155" s="1308"/>
      <c r="O155" s="1308"/>
      <c r="P155" s="1308"/>
      <c r="Q155" s="565"/>
    </row>
    <row r="156" spans="1:17" ht="19.5" customHeight="1">
      <c r="A156" s="574">
        <v>147</v>
      </c>
      <c r="B156" s="466"/>
      <c r="C156" s="366"/>
      <c r="D156" s="483" t="s">
        <v>938</v>
      </c>
      <c r="E156" s="335"/>
      <c r="F156" s="564"/>
      <c r="G156" s="1725"/>
      <c r="H156" s="773"/>
      <c r="I156" s="1308"/>
      <c r="J156" s="1308"/>
      <c r="K156" s="1308"/>
      <c r="L156" s="1308"/>
      <c r="M156" s="1308">
        <v>32400</v>
      </c>
      <c r="N156" s="1308"/>
      <c r="O156" s="1308"/>
      <c r="P156" s="569">
        <f>SUM(I156:O156)</f>
        <v>32400</v>
      </c>
      <c r="Q156" s="565"/>
    </row>
    <row r="157" spans="1:17" ht="19.5" customHeight="1">
      <c r="A157" s="574">
        <v>148</v>
      </c>
      <c r="B157" s="466"/>
      <c r="C157" s="366"/>
      <c r="D157" s="1146" t="s">
        <v>725</v>
      </c>
      <c r="E157" s="335"/>
      <c r="F157" s="564"/>
      <c r="G157" s="1725"/>
      <c r="H157" s="773"/>
      <c r="I157" s="1308"/>
      <c r="J157" s="1308"/>
      <c r="K157" s="1305"/>
      <c r="L157" s="1308"/>
      <c r="M157" s="1305"/>
      <c r="N157" s="1308"/>
      <c r="O157" s="1308"/>
      <c r="P157" s="1307">
        <f>SUM(I157:O157)</f>
        <v>0</v>
      </c>
      <c r="Q157" s="565"/>
    </row>
    <row r="158" spans="1:17" ht="19.5" customHeight="1">
      <c r="A158" s="574">
        <v>149</v>
      </c>
      <c r="B158" s="466"/>
      <c r="C158" s="366"/>
      <c r="D158" s="483" t="s">
        <v>1091</v>
      </c>
      <c r="E158" s="335"/>
      <c r="F158" s="564"/>
      <c r="G158" s="1725"/>
      <c r="H158" s="773"/>
      <c r="I158" s="1308"/>
      <c r="J158" s="1308"/>
      <c r="K158" s="1308"/>
      <c r="L158" s="1308"/>
      <c r="M158" s="1308">
        <f>SUM(M156:M157)</f>
        <v>32400</v>
      </c>
      <c r="N158" s="1308"/>
      <c r="O158" s="1308"/>
      <c r="P158" s="569">
        <f>SUM(I158:O158)</f>
        <v>32400</v>
      </c>
      <c r="Q158" s="565"/>
    </row>
    <row r="159" spans="1:17" ht="19.5" customHeight="1">
      <c r="A159" s="574">
        <v>150</v>
      </c>
      <c r="B159" s="466"/>
      <c r="C159" s="366"/>
      <c r="D159" s="1721" t="s">
        <v>904</v>
      </c>
      <c r="E159" s="335">
        <f>F159+G159+P162</f>
        <v>1729000</v>
      </c>
      <c r="F159" s="564"/>
      <c r="G159" s="1725"/>
      <c r="H159" s="773"/>
      <c r="I159" s="1308"/>
      <c r="J159" s="1308"/>
      <c r="K159" s="1308"/>
      <c r="L159" s="1308"/>
      <c r="M159" s="1305"/>
      <c r="N159" s="1308"/>
      <c r="O159" s="1308"/>
      <c r="P159" s="1308"/>
      <c r="Q159" s="565"/>
    </row>
    <row r="160" spans="1:17" ht="19.5" customHeight="1">
      <c r="A160" s="574">
        <v>151</v>
      </c>
      <c r="B160" s="466"/>
      <c r="C160" s="366"/>
      <c r="D160" s="483" t="s">
        <v>938</v>
      </c>
      <c r="E160" s="335"/>
      <c r="F160" s="564"/>
      <c r="G160" s="1725"/>
      <c r="H160" s="773"/>
      <c r="I160" s="1308"/>
      <c r="J160" s="1308"/>
      <c r="K160" s="1308"/>
      <c r="L160" s="1308"/>
      <c r="M160" s="1308">
        <v>1729000</v>
      </c>
      <c r="N160" s="1308"/>
      <c r="O160" s="1308"/>
      <c r="P160" s="569">
        <f>SUM(I160:O160)</f>
        <v>1729000</v>
      </c>
      <c r="Q160" s="565"/>
    </row>
    <row r="161" spans="1:17" ht="19.5" customHeight="1">
      <c r="A161" s="574">
        <v>152</v>
      </c>
      <c r="B161" s="466"/>
      <c r="C161" s="366"/>
      <c r="D161" s="1146" t="s">
        <v>725</v>
      </c>
      <c r="E161" s="335"/>
      <c r="F161" s="564"/>
      <c r="G161" s="1725"/>
      <c r="H161" s="773"/>
      <c r="I161" s="1308"/>
      <c r="J161" s="1308"/>
      <c r="K161" s="1305"/>
      <c r="L161" s="1308"/>
      <c r="M161" s="1305"/>
      <c r="N161" s="1308"/>
      <c r="O161" s="1308"/>
      <c r="P161" s="1307">
        <f>SUM(I161:O161)</f>
        <v>0</v>
      </c>
      <c r="Q161" s="565"/>
    </row>
    <row r="162" spans="1:17" ht="19.5" customHeight="1">
      <c r="A162" s="574">
        <v>153</v>
      </c>
      <c r="B162" s="466"/>
      <c r="C162" s="366"/>
      <c r="D162" s="483" t="s">
        <v>1091</v>
      </c>
      <c r="E162" s="335"/>
      <c r="F162" s="564"/>
      <c r="G162" s="1725"/>
      <c r="H162" s="773"/>
      <c r="I162" s="1308"/>
      <c r="J162" s="1308"/>
      <c r="K162" s="1308"/>
      <c r="L162" s="1308"/>
      <c r="M162" s="1308">
        <f>SUM(M160:M161)</f>
        <v>1729000</v>
      </c>
      <c r="N162" s="1308"/>
      <c r="O162" s="1308"/>
      <c r="P162" s="569">
        <f>SUM(I162:O162)</f>
        <v>1729000</v>
      </c>
      <c r="Q162" s="565"/>
    </row>
    <row r="163" spans="1:17" ht="19.5" customHeight="1">
      <c r="A163" s="574">
        <v>154</v>
      </c>
      <c r="B163" s="466"/>
      <c r="C163" s="366"/>
      <c r="D163" s="1721" t="s">
        <v>901</v>
      </c>
      <c r="E163" s="335">
        <f>F163+G163+P166</f>
        <v>183275</v>
      </c>
      <c r="F163" s="564"/>
      <c r="G163" s="1725"/>
      <c r="H163" s="773"/>
      <c r="I163" s="1308"/>
      <c r="J163" s="1308"/>
      <c r="K163" s="1308"/>
      <c r="L163" s="1308"/>
      <c r="M163" s="1305"/>
      <c r="N163" s="1308"/>
      <c r="O163" s="1308"/>
      <c r="P163" s="1308"/>
      <c r="Q163" s="565"/>
    </row>
    <row r="164" spans="1:17" ht="19.5" customHeight="1">
      <c r="A164" s="574">
        <v>155</v>
      </c>
      <c r="B164" s="466"/>
      <c r="C164" s="366"/>
      <c r="D164" s="483" t="s">
        <v>938</v>
      </c>
      <c r="E164" s="335"/>
      <c r="F164" s="564"/>
      <c r="G164" s="1725"/>
      <c r="H164" s="773"/>
      <c r="I164" s="1308"/>
      <c r="J164" s="1308"/>
      <c r="K164" s="1308"/>
      <c r="L164" s="1308"/>
      <c r="M164" s="1308">
        <v>183275</v>
      </c>
      <c r="N164" s="1308"/>
      <c r="O164" s="1308"/>
      <c r="P164" s="569">
        <f>SUM(I164:O164)</f>
        <v>183275</v>
      </c>
      <c r="Q164" s="565"/>
    </row>
    <row r="165" spans="1:17" ht="19.5" customHeight="1">
      <c r="A165" s="574">
        <v>156</v>
      </c>
      <c r="B165" s="466"/>
      <c r="C165" s="366"/>
      <c r="D165" s="1146" t="s">
        <v>725</v>
      </c>
      <c r="E165" s="335"/>
      <c r="F165" s="564"/>
      <c r="G165" s="1725"/>
      <c r="H165" s="773"/>
      <c r="I165" s="1308"/>
      <c r="J165" s="1308"/>
      <c r="K165" s="1305"/>
      <c r="L165" s="1308"/>
      <c r="M165" s="1305"/>
      <c r="N165" s="1308"/>
      <c r="O165" s="1308"/>
      <c r="P165" s="1307">
        <f>SUM(I165:O165)</f>
        <v>0</v>
      </c>
      <c r="Q165" s="565"/>
    </row>
    <row r="166" spans="1:17" ht="19.5" customHeight="1" thickBot="1">
      <c r="A166" s="574">
        <v>157</v>
      </c>
      <c r="B166" s="1377"/>
      <c r="C166" s="1833"/>
      <c r="D166" s="1718" t="s">
        <v>1091</v>
      </c>
      <c r="E166" s="1386"/>
      <c r="F166" s="1387"/>
      <c r="G166" s="1726"/>
      <c r="H166" s="1388"/>
      <c r="I166" s="1356"/>
      <c r="J166" s="1356"/>
      <c r="K166" s="1356"/>
      <c r="L166" s="1356"/>
      <c r="M166" s="1356">
        <f>SUM(M164:M165)</f>
        <v>183275</v>
      </c>
      <c r="N166" s="1356"/>
      <c r="O166" s="1356"/>
      <c r="P166" s="1379">
        <f>SUM(I166:O166)</f>
        <v>183275</v>
      </c>
      <c r="Q166" s="1368"/>
    </row>
    <row r="167" spans="1:17" ht="24.75" customHeight="1" thickTop="1">
      <c r="A167" s="574">
        <v>158</v>
      </c>
      <c r="B167" s="466"/>
      <c r="C167" s="809"/>
      <c r="D167" s="1727" t="s">
        <v>905</v>
      </c>
      <c r="E167" s="1026">
        <f>E163+E159+E155+E151</f>
        <v>1994667</v>
      </c>
      <c r="F167" s="1026">
        <f>F163+F159+F155+F151</f>
        <v>0</v>
      </c>
      <c r="G167" s="1026">
        <f>G163+G159+G155+G151</f>
        <v>0</v>
      </c>
      <c r="H167" s="772"/>
      <c r="I167" s="1717"/>
      <c r="J167" s="1717"/>
      <c r="K167" s="1717"/>
      <c r="L167" s="1717"/>
      <c r="M167" s="1717"/>
      <c r="N167" s="1717"/>
      <c r="O167" s="1717"/>
      <c r="P167" s="1717"/>
      <c r="Q167" s="562"/>
    </row>
    <row r="168" spans="1:17" ht="19.5" customHeight="1">
      <c r="A168" s="574">
        <v>159</v>
      </c>
      <c r="B168" s="466"/>
      <c r="C168" s="809"/>
      <c r="D168" s="1673" t="s">
        <v>938</v>
      </c>
      <c r="E168" s="1026"/>
      <c r="F168" s="1026"/>
      <c r="G168" s="1832"/>
      <c r="H168" s="772"/>
      <c r="I168" s="1717">
        <f>I164+I160+I156+I152</f>
        <v>0</v>
      </c>
      <c r="J168" s="1717">
        <f aca="true" t="shared" si="26" ref="J168:O168">J164+J160+J156+J152</f>
        <v>0</v>
      </c>
      <c r="K168" s="1717">
        <f t="shared" si="26"/>
        <v>30389</v>
      </c>
      <c r="L168" s="1717">
        <f t="shared" si="26"/>
        <v>0</v>
      </c>
      <c r="M168" s="1717">
        <f t="shared" si="26"/>
        <v>1944675</v>
      </c>
      <c r="N168" s="1717">
        <f t="shared" si="26"/>
        <v>0</v>
      </c>
      <c r="O168" s="1717">
        <f t="shared" si="26"/>
        <v>0</v>
      </c>
      <c r="P168" s="569">
        <f>SUM(I168:O168)</f>
        <v>1975064</v>
      </c>
      <c r="Q168" s="562"/>
    </row>
    <row r="169" spans="1:17" ht="19.5" customHeight="1">
      <c r="A169" s="574">
        <v>160</v>
      </c>
      <c r="B169" s="466"/>
      <c r="C169" s="366"/>
      <c r="D169" s="1146" t="s">
        <v>674</v>
      </c>
      <c r="E169" s="335"/>
      <c r="F169" s="564"/>
      <c r="G169" s="1714"/>
      <c r="H169" s="773"/>
      <c r="I169" s="1305">
        <f>I165+I161+I157+I153</f>
        <v>0</v>
      </c>
      <c r="J169" s="1305">
        <f aca="true" t="shared" si="27" ref="J169:O169">J165+J161+J157+J153</f>
        <v>0</v>
      </c>
      <c r="K169" s="1305">
        <f t="shared" si="27"/>
        <v>0</v>
      </c>
      <c r="L169" s="1305">
        <f t="shared" si="27"/>
        <v>0</v>
      </c>
      <c r="M169" s="1305">
        <f t="shared" si="27"/>
        <v>0</v>
      </c>
      <c r="N169" s="1305">
        <f t="shared" si="27"/>
        <v>0</v>
      </c>
      <c r="O169" s="1305">
        <f t="shared" si="27"/>
        <v>0</v>
      </c>
      <c r="P169" s="1307">
        <f>SUM(I169:O169)</f>
        <v>0</v>
      </c>
      <c r="Q169" s="565"/>
    </row>
    <row r="170" spans="1:17" ht="19.5" customHeight="1" thickBot="1">
      <c r="A170" s="574">
        <v>161</v>
      </c>
      <c r="B170" s="1722"/>
      <c r="C170" s="1353"/>
      <c r="D170" s="1157" t="s">
        <v>1091</v>
      </c>
      <c r="E170" s="1386"/>
      <c r="F170" s="1387"/>
      <c r="G170" s="1715"/>
      <c r="H170" s="1388"/>
      <c r="I170" s="1356">
        <f>SUM(I168:I169)</f>
        <v>0</v>
      </c>
      <c r="J170" s="1356">
        <f aca="true" t="shared" si="28" ref="J170:O170">SUM(J168:J169)</f>
        <v>0</v>
      </c>
      <c r="K170" s="1356">
        <f t="shared" si="28"/>
        <v>30389</v>
      </c>
      <c r="L170" s="1356">
        <f t="shared" si="28"/>
        <v>0</v>
      </c>
      <c r="M170" s="1356">
        <f t="shared" si="28"/>
        <v>1944675</v>
      </c>
      <c r="N170" s="1356">
        <f t="shared" si="28"/>
        <v>0</v>
      </c>
      <c r="O170" s="1356">
        <f t="shared" si="28"/>
        <v>0</v>
      </c>
      <c r="P170" s="1379">
        <f>SUM(I170:O170)</f>
        <v>1975064</v>
      </c>
      <c r="Q170" s="1368"/>
    </row>
    <row r="171" spans="1:17" ht="24.75" customHeight="1" thickTop="1">
      <c r="A171" s="574">
        <v>162</v>
      </c>
      <c r="B171" s="466"/>
      <c r="C171" s="809">
        <v>9</v>
      </c>
      <c r="D171" s="1719" t="s">
        <v>1013</v>
      </c>
      <c r="E171" s="333"/>
      <c r="F171" s="331"/>
      <c r="G171" s="1951"/>
      <c r="H171" s="772"/>
      <c r="I171" s="1717"/>
      <c r="J171" s="1717"/>
      <c r="K171" s="1717"/>
      <c r="L171" s="1717"/>
      <c r="M171" s="1717"/>
      <c r="N171" s="1717"/>
      <c r="O171" s="1717"/>
      <c r="P171" s="1952"/>
      <c r="Q171" s="562"/>
    </row>
    <row r="172" spans="1:17" ht="19.5" customHeight="1">
      <c r="A172" s="574">
        <v>163</v>
      </c>
      <c r="B172" s="466"/>
      <c r="C172" s="366"/>
      <c r="D172" s="1721" t="s">
        <v>1014</v>
      </c>
      <c r="E172" s="335">
        <f>P174+Q174</f>
        <v>81551</v>
      </c>
      <c r="F172" s="564"/>
      <c r="G172" s="1951"/>
      <c r="H172" s="772"/>
      <c r="I172" s="1717"/>
      <c r="J172" s="1717"/>
      <c r="K172" s="1717"/>
      <c r="L172" s="1717"/>
      <c r="M172" s="1717"/>
      <c r="N172" s="1717"/>
      <c r="O172" s="1717"/>
      <c r="P172" s="1952"/>
      <c r="Q172" s="562"/>
    </row>
    <row r="173" spans="1:17" ht="19.5" customHeight="1">
      <c r="A173" s="574">
        <v>164</v>
      </c>
      <c r="B173" s="466"/>
      <c r="C173" s="366"/>
      <c r="D173" s="1146" t="s">
        <v>725</v>
      </c>
      <c r="E173" s="335"/>
      <c r="F173" s="564"/>
      <c r="G173" s="1714"/>
      <c r="H173" s="773"/>
      <c r="I173" s="1308"/>
      <c r="J173" s="1308"/>
      <c r="K173" s="1305">
        <v>451</v>
      </c>
      <c r="L173" s="1305"/>
      <c r="M173" s="1305">
        <v>81100</v>
      </c>
      <c r="N173" s="1308"/>
      <c r="O173" s="1308"/>
      <c r="P173" s="1307">
        <f>SUM(I173:O173)</f>
        <v>81551</v>
      </c>
      <c r="Q173" s="562"/>
    </row>
    <row r="174" spans="1:17" ht="19.5" customHeight="1" thickBot="1">
      <c r="A174" s="574">
        <v>165</v>
      </c>
      <c r="B174" s="466"/>
      <c r="C174" s="1353"/>
      <c r="D174" s="1718" t="s">
        <v>1091</v>
      </c>
      <c r="E174" s="1386"/>
      <c r="F174" s="1387"/>
      <c r="G174" s="1954"/>
      <c r="H174" s="1955"/>
      <c r="I174" s="1346"/>
      <c r="J174" s="1346"/>
      <c r="K174" s="1346">
        <f>SUM(K173)</f>
        <v>451</v>
      </c>
      <c r="L174" s="1346"/>
      <c r="M174" s="1346">
        <f>SUM(M173)</f>
        <v>81100</v>
      </c>
      <c r="N174" s="1346"/>
      <c r="O174" s="1346"/>
      <c r="P174" s="1379">
        <f>SUM(I174:O174)</f>
        <v>81551</v>
      </c>
      <c r="Q174" s="1368"/>
    </row>
    <row r="175" spans="1:17" ht="24.75" customHeight="1" thickTop="1">
      <c r="A175" s="574">
        <v>166</v>
      </c>
      <c r="B175" s="466"/>
      <c r="C175" s="809"/>
      <c r="D175" s="1727" t="s">
        <v>1015</v>
      </c>
      <c r="E175" s="1026">
        <f>SUM(E172:E174)</f>
        <v>81551</v>
      </c>
      <c r="F175" s="1026">
        <f>SUM(F172:F174)</f>
        <v>0</v>
      </c>
      <c r="G175" s="1026">
        <f>SUM(G172:G174)</f>
        <v>0</v>
      </c>
      <c r="H175" s="772"/>
      <c r="I175" s="1717"/>
      <c r="J175" s="1717"/>
      <c r="K175" s="1717"/>
      <c r="L175" s="1717"/>
      <c r="M175" s="1717"/>
      <c r="N175" s="1717"/>
      <c r="O175" s="1717"/>
      <c r="P175" s="1952"/>
      <c r="Q175" s="562"/>
    </row>
    <row r="176" spans="1:17" ht="19.5" customHeight="1">
      <c r="A176" s="574">
        <v>167</v>
      </c>
      <c r="B176" s="466"/>
      <c r="C176" s="366"/>
      <c r="D176" s="1146" t="s">
        <v>674</v>
      </c>
      <c r="E176" s="335"/>
      <c r="F176" s="564"/>
      <c r="G176" s="1951"/>
      <c r="H176" s="772"/>
      <c r="I176" s="1953">
        <f>I173</f>
        <v>0</v>
      </c>
      <c r="J176" s="1953">
        <f aca="true" t="shared" si="29" ref="J176:O176">J173</f>
        <v>0</v>
      </c>
      <c r="K176" s="1953">
        <f t="shared" si="29"/>
        <v>451</v>
      </c>
      <c r="L176" s="1953">
        <f t="shared" si="29"/>
        <v>0</v>
      </c>
      <c r="M176" s="1953">
        <f t="shared" si="29"/>
        <v>81100</v>
      </c>
      <c r="N176" s="1953">
        <f t="shared" si="29"/>
        <v>0</v>
      </c>
      <c r="O176" s="1953">
        <f t="shared" si="29"/>
        <v>0</v>
      </c>
      <c r="P176" s="1307">
        <f>SUM(I176:O176)</f>
        <v>81551</v>
      </c>
      <c r="Q176" s="562"/>
    </row>
    <row r="177" spans="1:17" ht="19.5" customHeight="1" thickBot="1">
      <c r="A177" s="574">
        <v>168</v>
      </c>
      <c r="B177" s="466"/>
      <c r="C177" s="1353"/>
      <c r="D177" s="1157" t="s">
        <v>1091</v>
      </c>
      <c r="E177" s="1386"/>
      <c r="F177" s="1387"/>
      <c r="G177" s="1715"/>
      <c r="H177" s="1388"/>
      <c r="I177" s="1356">
        <f>SUM(I176)</f>
        <v>0</v>
      </c>
      <c r="J177" s="1356">
        <f aca="true" t="shared" si="30" ref="J177:O177">SUM(J176)</f>
        <v>0</v>
      </c>
      <c r="K177" s="1356">
        <f t="shared" si="30"/>
        <v>451</v>
      </c>
      <c r="L177" s="1356">
        <f t="shared" si="30"/>
        <v>0</v>
      </c>
      <c r="M177" s="1356">
        <f t="shared" si="30"/>
        <v>81100</v>
      </c>
      <c r="N177" s="1356">
        <f t="shared" si="30"/>
        <v>0</v>
      </c>
      <c r="O177" s="1356">
        <f t="shared" si="30"/>
        <v>0</v>
      </c>
      <c r="P177" s="1379">
        <f>SUM(I177:O177)</f>
        <v>81551</v>
      </c>
      <c r="Q177" s="1368"/>
    </row>
    <row r="178" spans="1:17" ht="24.75" customHeight="1" thickTop="1">
      <c r="A178" s="574">
        <v>169</v>
      </c>
      <c r="B178" s="466"/>
      <c r="C178" s="809">
        <v>10</v>
      </c>
      <c r="D178" s="1719" t="s">
        <v>1016</v>
      </c>
      <c r="E178" s="333">
        <f>P181+Q181</f>
        <v>16788</v>
      </c>
      <c r="F178" s="331"/>
      <c r="G178" s="1951"/>
      <c r="H178" s="772"/>
      <c r="I178" s="1717"/>
      <c r="J178" s="1717"/>
      <c r="K178" s="1717"/>
      <c r="L178" s="1717"/>
      <c r="M178" s="1717"/>
      <c r="N178" s="1717"/>
      <c r="O178" s="1717"/>
      <c r="P178" s="1952"/>
      <c r="Q178" s="562"/>
    </row>
    <row r="179" spans="1:17" ht="36.75" customHeight="1">
      <c r="A179" s="574">
        <v>170</v>
      </c>
      <c r="B179" s="466"/>
      <c r="C179" s="809"/>
      <c r="D179" s="1721" t="s">
        <v>1018</v>
      </c>
      <c r="E179" s="333"/>
      <c r="F179" s="331"/>
      <c r="G179" s="1951"/>
      <c r="H179" s="772"/>
      <c r="I179" s="1717"/>
      <c r="J179" s="1717"/>
      <c r="K179" s="1717"/>
      <c r="L179" s="1717"/>
      <c r="M179" s="1717"/>
      <c r="N179" s="1717"/>
      <c r="O179" s="1717"/>
      <c r="P179" s="1952"/>
      <c r="Q179" s="562"/>
    </row>
    <row r="180" spans="1:17" ht="19.5" customHeight="1">
      <c r="A180" s="574">
        <v>171</v>
      </c>
      <c r="B180" s="466"/>
      <c r="C180" s="366"/>
      <c r="D180" s="1146" t="s">
        <v>725</v>
      </c>
      <c r="E180" s="335"/>
      <c r="F180" s="564"/>
      <c r="G180" s="1951"/>
      <c r="H180" s="772"/>
      <c r="I180" s="1717"/>
      <c r="J180" s="1717"/>
      <c r="K180" s="1953">
        <v>545</v>
      </c>
      <c r="L180" s="1953"/>
      <c r="M180" s="1953">
        <v>16243</v>
      </c>
      <c r="N180" s="1717"/>
      <c r="O180" s="1717"/>
      <c r="P180" s="1307">
        <f>SUM(I180:O180)</f>
        <v>16788</v>
      </c>
      <c r="Q180" s="562"/>
    </row>
    <row r="181" spans="1:17" ht="19.5" customHeight="1" thickBot="1">
      <c r="A181" s="574">
        <v>172</v>
      </c>
      <c r="B181" s="466"/>
      <c r="C181" s="1353"/>
      <c r="D181" s="1718" t="s">
        <v>1091</v>
      </c>
      <c r="E181" s="1386"/>
      <c r="F181" s="1387"/>
      <c r="G181" s="1715"/>
      <c r="H181" s="1388"/>
      <c r="I181" s="1356"/>
      <c r="J181" s="1356"/>
      <c r="K181" s="1356">
        <f>SUM(K180)</f>
        <v>545</v>
      </c>
      <c r="L181" s="1356"/>
      <c r="M181" s="1356">
        <f>SUM(M180)</f>
        <v>16243</v>
      </c>
      <c r="N181" s="1356"/>
      <c r="O181" s="1356"/>
      <c r="P181" s="1379">
        <f>SUM(I181:O181)</f>
        <v>16788</v>
      </c>
      <c r="Q181" s="1368"/>
    </row>
    <row r="182" spans="1:17" ht="24.75" customHeight="1" thickTop="1">
      <c r="A182" s="574">
        <v>173</v>
      </c>
      <c r="B182" s="466"/>
      <c r="C182" s="809"/>
      <c r="D182" s="1727" t="s">
        <v>1017</v>
      </c>
      <c r="E182" s="1026">
        <f>SUM(E178:E181)</f>
        <v>16788</v>
      </c>
      <c r="F182" s="333">
        <f>SUM(F178:F181)</f>
        <v>0</v>
      </c>
      <c r="G182" s="333">
        <f>SUM(G178:G181)</f>
        <v>0</v>
      </c>
      <c r="H182" s="772"/>
      <c r="I182" s="1717"/>
      <c r="J182" s="1717"/>
      <c r="K182" s="1717"/>
      <c r="L182" s="1717"/>
      <c r="M182" s="1717"/>
      <c r="N182" s="1717"/>
      <c r="O182" s="1717"/>
      <c r="P182" s="1952"/>
      <c r="Q182" s="562"/>
    </row>
    <row r="183" spans="1:17" ht="19.5" customHeight="1">
      <c r="A183" s="574">
        <v>174</v>
      </c>
      <c r="B183" s="466"/>
      <c r="C183" s="366"/>
      <c r="D183" s="1146" t="s">
        <v>674</v>
      </c>
      <c r="E183" s="335"/>
      <c r="F183" s="564"/>
      <c r="G183" s="1951"/>
      <c r="H183" s="772"/>
      <c r="I183" s="1953">
        <f>I180</f>
        <v>0</v>
      </c>
      <c r="J183" s="1953">
        <f aca="true" t="shared" si="31" ref="J183:O183">J180</f>
        <v>0</v>
      </c>
      <c r="K183" s="1953">
        <f t="shared" si="31"/>
        <v>545</v>
      </c>
      <c r="L183" s="1953">
        <f t="shared" si="31"/>
        <v>0</v>
      </c>
      <c r="M183" s="1953">
        <f t="shared" si="31"/>
        <v>16243</v>
      </c>
      <c r="N183" s="1953">
        <f t="shared" si="31"/>
        <v>0</v>
      </c>
      <c r="O183" s="1953">
        <f t="shared" si="31"/>
        <v>0</v>
      </c>
      <c r="P183" s="1307">
        <f>SUM(I183:O183)</f>
        <v>16788</v>
      </c>
      <c r="Q183" s="562"/>
    </row>
    <row r="184" spans="1:17" ht="19.5" customHeight="1" thickBot="1">
      <c r="A184" s="574">
        <v>175</v>
      </c>
      <c r="B184" s="466"/>
      <c r="C184" s="1353"/>
      <c r="D184" s="1157" t="s">
        <v>1091</v>
      </c>
      <c r="E184" s="1386"/>
      <c r="F184" s="1387"/>
      <c r="G184" s="1715"/>
      <c r="H184" s="1388"/>
      <c r="I184" s="1356">
        <f>SUM(I183)</f>
        <v>0</v>
      </c>
      <c r="J184" s="1356">
        <f aca="true" t="shared" si="32" ref="J184:O184">SUM(J183)</f>
        <v>0</v>
      </c>
      <c r="K184" s="1356">
        <f t="shared" si="32"/>
        <v>545</v>
      </c>
      <c r="L184" s="1356">
        <f t="shared" si="32"/>
        <v>0</v>
      </c>
      <c r="M184" s="1356">
        <f t="shared" si="32"/>
        <v>16243</v>
      </c>
      <c r="N184" s="1356">
        <f t="shared" si="32"/>
        <v>0</v>
      </c>
      <c r="O184" s="1356">
        <f t="shared" si="32"/>
        <v>0</v>
      </c>
      <c r="P184" s="1379">
        <f>SUM(I184:O184)</f>
        <v>16788</v>
      </c>
      <c r="Q184" s="1368"/>
    </row>
    <row r="185" spans="1:17" ht="24.75" customHeight="1" thickTop="1">
      <c r="A185" s="574">
        <v>176</v>
      </c>
      <c r="B185" s="466"/>
      <c r="C185" s="809">
        <v>11</v>
      </c>
      <c r="D185" s="1719" t="s">
        <v>1027</v>
      </c>
      <c r="E185" s="333"/>
      <c r="F185" s="331"/>
      <c r="G185" s="1951"/>
      <c r="H185" s="772"/>
      <c r="I185" s="1717"/>
      <c r="J185" s="1717"/>
      <c r="K185" s="1717"/>
      <c r="L185" s="1717"/>
      <c r="M185" s="1717"/>
      <c r="N185" s="1717"/>
      <c r="O185" s="1717"/>
      <c r="P185" s="1952"/>
      <c r="Q185" s="562"/>
    </row>
    <row r="186" spans="1:17" ht="55.5" customHeight="1">
      <c r="A186" s="574">
        <v>177</v>
      </c>
      <c r="B186" s="466"/>
      <c r="C186" s="366"/>
      <c r="D186" s="1721" t="s">
        <v>1020</v>
      </c>
      <c r="E186" s="335">
        <f>P210+Q210+3000</f>
        <v>159785</v>
      </c>
      <c r="F186" s="564"/>
      <c r="G186" s="1951"/>
      <c r="H186" s="772"/>
      <c r="I186" s="1717"/>
      <c r="J186" s="1717"/>
      <c r="K186" s="1717"/>
      <c r="L186" s="1717"/>
      <c r="M186" s="1717"/>
      <c r="N186" s="1717"/>
      <c r="O186" s="1717"/>
      <c r="P186" s="1952"/>
      <c r="Q186" s="562"/>
    </row>
    <row r="187" spans="1:17" ht="19.5" customHeight="1">
      <c r="A187" s="574">
        <v>178</v>
      </c>
      <c r="B187" s="466"/>
      <c r="C187" s="366"/>
      <c r="D187" s="326" t="s">
        <v>465</v>
      </c>
      <c r="E187" s="335"/>
      <c r="F187" s="564"/>
      <c r="G187" s="1951"/>
      <c r="H187" s="772"/>
      <c r="I187" s="1717"/>
      <c r="J187" s="1717"/>
      <c r="K187" s="1717"/>
      <c r="L187" s="1717"/>
      <c r="M187" s="1717"/>
      <c r="N187" s="1717"/>
      <c r="O187" s="1717"/>
      <c r="P187" s="1952"/>
      <c r="Q187" s="562"/>
    </row>
    <row r="188" spans="1:17" ht="19.5" customHeight="1">
      <c r="A188" s="574">
        <v>179</v>
      </c>
      <c r="B188" s="466"/>
      <c r="C188" s="366"/>
      <c r="D188" s="1146" t="s">
        <v>725</v>
      </c>
      <c r="E188" s="335"/>
      <c r="F188" s="564"/>
      <c r="G188" s="1951"/>
      <c r="H188" s="772"/>
      <c r="I188" s="1717"/>
      <c r="J188" s="1717"/>
      <c r="K188" s="1953">
        <v>5500</v>
      </c>
      <c r="L188" s="1717"/>
      <c r="M188" s="1717"/>
      <c r="N188" s="1717"/>
      <c r="O188" s="1717"/>
      <c r="P188" s="1307">
        <f>SUM(I188:O188)</f>
        <v>5500</v>
      </c>
      <c r="Q188" s="562"/>
    </row>
    <row r="189" spans="1:17" ht="19.5" customHeight="1">
      <c r="A189" s="574">
        <v>180</v>
      </c>
      <c r="B189" s="466"/>
      <c r="C189" s="366"/>
      <c r="D189" s="260" t="s">
        <v>1091</v>
      </c>
      <c r="E189" s="335"/>
      <c r="F189" s="564"/>
      <c r="G189" s="1951"/>
      <c r="H189" s="772"/>
      <c r="I189" s="1717"/>
      <c r="J189" s="1717"/>
      <c r="K189" s="1717">
        <f>SUM(K188)</f>
        <v>5500</v>
      </c>
      <c r="L189" s="1717"/>
      <c r="M189" s="1717"/>
      <c r="N189" s="1717"/>
      <c r="O189" s="1717"/>
      <c r="P189" s="569">
        <f>SUM(I189:O189)</f>
        <v>5500</v>
      </c>
      <c r="Q189" s="562"/>
    </row>
    <row r="190" spans="1:17" ht="19.5" customHeight="1">
      <c r="A190" s="574">
        <v>181</v>
      </c>
      <c r="B190" s="466"/>
      <c r="C190" s="366"/>
      <c r="D190" s="1721" t="s">
        <v>1021</v>
      </c>
      <c r="E190" s="335"/>
      <c r="F190" s="564"/>
      <c r="G190" s="1951"/>
      <c r="H190" s="772"/>
      <c r="I190" s="1717"/>
      <c r="J190" s="1717"/>
      <c r="K190" s="1717"/>
      <c r="L190" s="1717"/>
      <c r="M190" s="1717"/>
      <c r="N190" s="1717"/>
      <c r="O190" s="1717"/>
      <c r="P190" s="1952"/>
      <c r="Q190" s="562"/>
    </row>
    <row r="191" spans="1:17" ht="19.5" customHeight="1">
      <c r="A191" s="574">
        <v>182</v>
      </c>
      <c r="B191" s="466"/>
      <c r="C191" s="366"/>
      <c r="D191" s="1146" t="s">
        <v>725</v>
      </c>
      <c r="E191" s="335"/>
      <c r="F191" s="564"/>
      <c r="G191" s="1951"/>
      <c r="H191" s="772"/>
      <c r="I191" s="1717"/>
      <c r="J191" s="1717"/>
      <c r="K191" s="1717"/>
      <c r="L191" s="1717"/>
      <c r="M191" s="1953">
        <v>20000</v>
      </c>
      <c r="N191" s="1717"/>
      <c r="O191" s="1717"/>
      <c r="P191" s="1307">
        <f>SUM(I191:O191)</f>
        <v>20000</v>
      </c>
      <c r="Q191" s="562"/>
    </row>
    <row r="192" spans="1:17" ht="19.5" customHeight="1">
      <c r="A192" s="574">
        <v>183</v>
      </c>
      <c r="B192" s="466"/>
      <c r="C192" s="366"/>
      <c r="D192" s="260" t="s">
        <v>1091</v>
      </c>
      <c r="E192" s="335"/>
      <c r="F192" s="564"/>
      <c r="G192" s="1951"/>
      <c r="H192" s="772"/>
      <c r="I192" s="1717"/>
      <c r="J192" s="1717"/>
      <c r="K192" s="1717"/>
      <c r="L192" s="1717"/>
      <c r="M192" s="1717">
        <f>SUM(M191)</f>
        <v>20000</v>
      </c>
      <c r="N192" s="1717"/>
      <c r="O192" s="1717"/>
      <c r="P192" s="569">
        <f>SUM(I192:O192)</f>
        <v>20000</v>
      </c>
      <c r="Q192" s="562"/>
    </row>
    <row r="193" spans="1:17" ht="19.5" customHeight="1">
      <c r="A193" s="574">
        <v>184</v>
      </c>
      <c r="B193" s="466"/>
      <c r="C193" s="366"/>
      <c r="D193" s="1721" t="s">
        <v>1022</v>
      </c>
      <c r="E193" s="335"/>
      <c r="F193" s="564"/>
      <c r="G193" s="1951"/>
      <c r="H193" s="772"/>
      <c r="I193" s="1717"/>
      <c r="J193" s="1717"/>
      <c r="K193" s="1717"/>
      <c r="L193" s="1717"/>
      <c r="M193" s="1717"/>
      <c r="N193" s="1717"/>
      <c r="O193" s="1717"/>
      <c r="P193" s="1952"/>
      <c r="Q193" s="562"/>
    </row>
    <row r="194" spans="1:17" ht="19.5" customHeight="1">
      <c r="A194" s="574">
        <v>185</v>
      </c>
      <c r="B194" s="466"/>
      <c r="C194" s="366"/>
      <c r="D194" s="1146" t="s">
        <v>725</v>
      </c>
      <c r="E194" s="335"/>
      <c r="F194" s="564"/>
      <c r="G194" s="1951"/>
      <c r="H194" s="772"/>
      <c r="I194" s="1717"/>
      <c r="J194" s="1717"/>
      <c r="K194" s="1717"/>
      <c r="L194" s="1717"/>
      <c r="M194" s="1953">
        <v>64895</v>
      </c>
      <c r="N194" s="1717"/>
      <c r="O194" s="1717"/>
      <c r="P194" s="1307">
        <f>SUM(I194:O194)</f>
        <v>64895</v>
      </c>
      <c r="Q194" s="562"/>
    </row>
    <row r="195" spans="1:17" ht="19.5" customHeight="1">
      <c r="A195" s="574">
        <v>186</v>
      </c>
      <c r="B195" s="466"/>
      <c r="C195" s="366"/>
      <c r="D195" s="260" t="s">
        <v>1091</v>
      </c>
      <c r="E195" s="335"/>
      <c r="F195" s="564"/>
      <c r="G195" s="1951"/>
      <c r="H195" s="772"/>
      <c r="I195" s="1717"/>
      <c r="J195" s="1717"/>
      <c r="K195" s="1717"/>
      <c r="L195" s="1717"/>
      <c r="M195" s="1717">
        <f>SUM(M194)</f>
        <v>64895</v>
      </c>
      <c r="N195" s="1717"/>
      <c r="O195" s="1717"/>
      <c r="P195" s="569">
        <f>SUM(I195:O195)</f>
        <v>64895</v>
      </c>
      <c r="Q195" s="562"/>
    </row>
    <row r="196" spans="1:17" ht="19.5" customHeight="1">
      <c r="A196" s="574">
        <v>187</v>
      </c>
      <c r="B196" s="466"/>
      <c r="C196" s="366"/>
      <c r="D196" s="1721" t="s">
        <v>1023</v>
      </c>
      <c r="E196" s="335"/>
      <c r="F196" s="564"/>
      <c r="G196" s="1951"/>
      <c r="H196" s="772"/>
      <c r="I196" s="1717"/>
      <c r="J196" s="1717"/>
      <c r="K196" s="1717"/>
      <c r="L196" s="1717"/>
      <c r="M196" s="1717"/>
      <c r="N196" s="1717"/>
      <c r="O196" s="1717"/>
      <c r="P196" s="1952"/>
      <c r="Q196" s="562"/>
    </row>
    <row r="197" spans="1:17" ht="19.5" customHeight="1">
      <c r="A197" s="574">
        <v>188</v>
      </c>
      <c r="B197" s="466"/>
      <c r="C197" s="366"/>
      <c r="D197" s="1146" t="s">
        <v>725</v>
      </c>
      <c r="E197" s="335"/>
      <c r="F197" s="564"/>
      <c r="G197" s="1951"/>
      <c r="H197" s="772"/>
      <c r="I197" s="1717"/>
      <c r="J197" s="1717"/>
      <c r="K197" s="1717"/>
      <c r="L197" s="1717"/>
      <c r="M197" s="1953">
        <v>19890</v>
      </c>
      <c r="N197" s="1717"/>
      <c r="O197" s="1717"/>
      <c r="P197" s="1307">
        <f>SUM(I197:O197)</f>
        <v>19890</v>
      </c>
      <c r="Q197" s="562"/>
    </row>
    <row r="198" spans="1:17" ht="19.5" customHeight="1">
      <c r="A198" s="574">
        <v>189</v>
      </c>
      <c r="B198" s="466"/>
      <c r="C198" s="366"/>
      <c r="D198" s="260" t="s">
        <v>1091</v>
      </c>
      <c r="E198" s="335"/>
      <c r="F198" s="564"/>
      <c r="G198" s="1951"/>
      <c r="H198" s="772"/>
      <c r="I198" s="1717"/>
      <c r="J198" s="1717"/>
      <c r="K198" s="1717"/>
      <c r="L198" s="1717"/>
      <c r="M198" s="1717">
        <f>SUM(M197)</f>
        <v>19890</v>
      </c>
      <c r="N198" s="1717"/>
      <c r="O198" s="1717"/>
      <c r="P198" s="569">
        <f>SUM(I198:O198)</f>
        <v>19890</v>
      </c>
      <c r="Q198" s="562"/>
    </row>
    <row r="199" spans="1:17" ht="19.5" customHeight="1">
      <c r="A199" s="574">
        <v>190</v>
      </c>
      <c r="B199" s="466"/>
      <c r="C199" s="366"/>
      <c r="D199" s="1721" t="s">
        <v>1024</v>
      </c>
      <c r="E199" s="335"/>
      <c r="F199" s="564"/>
      <c r="G199" s="1951"/>
      <c r="H199" s="772"/>
      <c r="I199" s="1717"/>
      <c r="J199" s="1717"/>
      <c r="K199" s="1717"/>
      <c r="L199" s="1717"/>
      <c r="M199" s="1717"/>
      <c r="N199" s="1717"/>
      <c r="O199" s="1717"/>
      <c r="P199" s="1952"/>
      <c r="Q199" s="562"/>
    </row>
    <row r="200" spans="1:17" ht="19.5" customHeight="1">
      <c r="A200" s="574">
        <v>191</v>
      </c>
      <c r="B200" s="466"/>
      <c r="C200" s="366"/>
      <c r="D200" s="1146" t="s">
        <v>725</v>
      </c>
      <c r="E200" s="335"/>
      <c r="F200" s="564"/>
      <c r="G200" s="1951"/>
      <c r="H200" s="772"/>
      <c r="I200" s="1717"/>
      <c r="J200" s="1717"/>
      <c r="K200" s="1717"/>
      <c r="L200" s="1717"/>
      <c r="M200" s="1953">
        <v>16500</v>
      </c>
      <c r="N200" s="1717"/>
      <c r="O200" s="1717"/>
      <c r="P200" s="1307">
        <f>SUM(I200:O200)</f>
        <v>16500</v>
      </c>
      <c r="Q200" s="562"/>
    </row>
    <row r="201" spans="1:17" ht="19.5" customHeight="1">
      <c r="A201" s="574">
        <v>192</v>
      </c>
      <c r="B201" s="466"/>
      <c r="C201" s="366"/>
      <c r="D201" s="260" t="s">
        <v>1091</v>
      </c>
      <c r="E201" s="335"/>
      <c r="F201" s="564"/>
      <c r="G201" s="1951"/>
      <c r="H201" s="772"/>
      <c r="I201" s="1717"/>
      <c r="J201" s="1717"/>
      <c r="K201" s="1717"/>
      <c r="L201" s="1717"/>
      <c r="M201" s="1717">
        <f>SUM(M200)</f>
        <v>16500</v>
      </c>
      <c r="N201" s="1717"/>
      <c r="O201" s="1717"/>
      <c r="P201" s="569">
        <f>SUM(I201:O201)</f>
        <v>16500</v>
      </c>
      <c r="Q201" s="562"/>
    </row>
    <row r="202" spans="1:17" ht="19.5" customHeight="1">
      <c r="A202" s="574">
        <v>193</v>
      </c>
      <c r="B202" s="466"/>
      <c r="C202" s="366"/>
      <c r="D202" s="1721" t="s">
        <v>1025</v>
      </c>
      <c r="E202" s="335"/>
      <c r="F202" s="564"/>
      <c r="G202" s="1951"/>
      <c r="H202" s="772"/>
      <c r="I202" s="1717"/>
      <c r="J202" s="1717"/>
      <c r="K202" s="1717"/>
      <c r="L202" s="1717"/>
      <c r="M202" s="1717"/>
      <c r="N202" s="1717"/>
      <c r="O202" s="1717"/>
      <c r="P202" s="1952"/>
      <c r="Q202" s="562"/>
    </row>
    <row r="203" spans="1:17" ht="19.5" customHeight="1">
      <c r="A203" s="574">
        <v>194</v>
      </c>
      <c r="B203" s="466"/>
      <c r="C203" s="366"/>
      <c r="D203" s="1146" t="s">
        <v>725</v>
      </c>
      <c r="E203" s="335"/>
      <c r="F203" s="564"/>
      <c r="G203" s="1951"/>
      <c r="H203" s="772"/>
      <c r="I203" s="1717"/>
      <c r="J203" s="1717"/>
      <c r="K203" s="1717"/>
      <c r="L203" s="1717"/>
      <c r="M203" s="1953">
        <v>20000</v>
      </c>
      <c r="N203" s="1717"/>
      <c r="O203" s="1717"/>
      <c r="P203" s="1307">
        <f>SUM(I203:O203)</f>
        <v>20000</v>
      </c>
      <c r="Q203" s="562"/>
    </row>
    <row r="204" spans="1:17" ht="19.5" customHeight="1">
      <c r="A204" s="574">
        <v>195</v>
      </c>
      <c r="B204" s="466"/>
      <c r="C204" s="366"/>
      <c r="D204" s="260" t="s">
        <v>1091</v>
      </c>
      <c r="E204" s="335"/>
      <c r="F204" s="564"/>
      <c r="G204" s="1951"/>
      <c r="H204" s="772"/>
      <c r="I204" s="1717"/>
      <c r="J204" s="1717"/>
      <c r="K204" s="1717"/>
      <c r="L204" s="1717"/>
      <c r="M204" s="1717">
        <f>SUM(M203)</f>
        <v>20000</v>
      </c>
      <c r="N204" s="1717"/>
      <c r="O204" s="1717"/>
      <c r="P204" s="569">
        <f>SUM(I204:O204)</f>
        <v>20000</v>
      </c>
      <c r="Q204" s="562"/>
    </row>
    <row r="205" spans="1:17" ht="19.5" customHeight="1">
      <c r="A205" s="574">
        <v>196</v>
      </c>
      <c r="B205" s="466"/>
      <c r="C205" s="366"/>
      <c r="D205" s="1721" t="s">
        <v>1026</v>
      </c>
      <c r="E205" s="335"/>
      <c r="F205" s="564"/>
      <c r="G205" s="1951"/>
      <c r="H205" s="772"/>
      <c r="I205" s="1717"/>
      <c r="J205" s="1717"/>
      <c r="K205" s="1717"/>
      <c r="L205" s="1717"/>
      <c r="M205" s="1717"/>
      <c r="N205" s="1717"/>
      <c r="O205" s="1717"/>
      <c r="P205" s="1952"/>
      <c r="Q205" s="562"/>
    </row>
    <row r="206" spans="1:17" ht="19.5" customHeight="1">
      <c r="A206" s="574">
        <v>197</v>
      </c>
      <c r="B206" s="466"/>
      <c r="C206" s="366"/>
      <c r="D206" s="1146" t="s">
        <v>725</v>
      </c>
      <c r="E206" s="335"/>
      <c r="F206" s="564"/>
      <c r="G206" s="1951"/>
      <c r="H206" s="772"/>
      <c r="I206" s="1717"/>
      <c r="J206" s="1717"/>
      <c r="K206" s="1717"/>
      <c r="L206" s="1717"/>
      <c r="M206" s="1953">
        <v>10000</v>
      </c>
      <c r="N206" s="1717"/>
      <c r="O206" s="1717"/>
      <c r="P206" s="1307">
        <f>SUM(I206:O206)</f>
        <v>10000</v>
      </c>
      <c r="Q206" s="562"/>
    </row>
    <row r="207" spans="1:17" ht="19.5" customHeight="1" thickBot="1">
      <c r="A207" s="574">
        <v>198</v>
      </c>
      <c r="B207" s="466"/>
      <c r="C207" s="1353"/>
      <c r="D207" s="1718" t="s">
        <v>1091</v>
      </c>
      <c r="E207" s="1386"/>
      <c r="F207" s="1387"/>
      <c r="G207" s="1715"/>
      <c r="H207" s="1388"/>
      <c r="I207" s="1356"/>
      <c r="J207" s="1356"/>
      <c r="K207" s="1356"/>
      <c r="L207" s="1356"/>
      <c r="M207" s="1356">
        <f>SUM(M206)</f>
        <v>10000</v>
      </c>
      <c r="N207" s="1356"/>
      <c r="O207" s="1356"/>
      <c r="P207" s="1379">
        <f>SUM(I207:O207)</f>
        <v>10000</v>
      </c>
      <c r="Q207" s="1368"/>
    </row>
    <row r="208" spans="1:17" ht="24.75" customHeight="1" thickTop="1">
      <c r="A208" s="574">
        <v>199</v>
      </c>
      <c r="B208" s="466"/>
      <c r="C208" s="809"/>
      <c r="D208" s="1727" t="s">
        <v>1028</v>
      </c>
      <c r="E208" s="1026">
        <f>SUM(E186:E207)</f>
        <v>159785</v>
      </c>
      <c r="F208" s="1026">
        <f>SUM(F186:F207)</f>
        <v>0</v>
      </c>
      <c r="G208" s="1026">
        <f>SUM(G186:G207)</f>
        <v>0</v>
      </c>
      <c r="H208" s="772"/>
      <c r="I208" s="1717"/>
      <c r="J208" s="1717"/>
      <c r="K208" s="1717"/>
      <c r="L208" s="1717"/>
      <c r="M208" s="1717"/>
      <c r="N208" s="1717"/>
      <c r="O208" s="1717"/>
      <c r="P208" s="1952"/>
      <c r="Q208" s="562"/>
    </row>
    <row r="209" spans="1:17" ht="19.5" customHeight="1">
      <c r="A209" s="574">
        <v>200</v>
      </c>
      <c r="B209" s="466"/>
      <c r="C209" s="366"/>
      <c r="D209" s="1146" t="s">
        <v>674</v>
      </c>
      <c r="E209" s="335"/>
      <c r="F209" s="564"/>
      <c r="G209" s="1951"/>
      <c r="H209" s="772"/>
      <c r="I209" s="1953">
        <f>I206+I203+I200+I197+I194+I191+I188</f>
        <v>0</v>
      </c>
      <c r="J209" s="1953">
        <f aca="true" t="shared" si="33" ref="J209:O209">J206+J203+J200+J197+J194+J191+J188</f>
        <v>0</v>
      </c>
      <c r="K209" s="1953">
        <f t="shared" si="33"/>
        <v>5500</v>
      </c>
      <c r="L209" s="1953">
        <f t="shared" si="33"/>
        <v>0</v>
      </c>
      <c r="M209" s="1953">
        <f t="shared" si="33"/>
        <v>151285</v>
      </c>
      <c r="N209" s="1953">
        <f t="shared" si="33"/>
        <v>0</v>
      </c>
      <c r="O209" s="1953">
        <f t="shared" si="33"/>
        <v>0</v>
      </c>
      <c r="P209" s="1307">
        <f>SUM(I209:O209)</f>
        <v>156785</v>
      </c>
      <c r="Q209" s="562"/>
    </row>
    <row r="210" spans="1:17" ht="19.5" customHeight="1" thickBot="1">
      <c r="A210" s="574">
        <v>201</v>
      </c>
      <c r="B210" s="466"/>
      <c r="C210" s="1353"/>
      <c r="D210" s="1157" t="s">
        <v>1091</v>
      </c>
      <c r="E210" s="1386"/>
      <c r="F210" s="1387"/>
      <c r="G210" s="1715"/>
      <c r="H210" s="1388"/>
      <c r="I210" s="1356">
        <f>SUM(I209)</f>
        <v>0</v>
      </c>
      <c r="J210" s="1356">
        <f aca="true" t="shared" si="34" ref="J210:O210">SUM(J209)</f>
        <v>0</v>
      </c>
      <c r="K210" s="1356">
        <f t="shared" si="34"/>
        <v>5500</v>
      </c>
      <c r="L210" s="1356">
        <f t="shared" si="34"/>
        <v>0</v>
      </c>
      <c r="M210" s="1356">
        <f t="shared" si="34"/>
        <v>151285</v>
      </c>
      <c r="N210" s="1356">
        <f t="shared" si="34"/>
        <v>0</v>
      </c>
      <c r="O210" s="1356">
        <f t="shared" si="34"/>
        <v>0</v>
      </c>
      <c r="P210" s="1379">
        <f>SUM(I210:O210)</f>
        <v>156785</v>
      </c>
      <c r="Q210" s="1368"/>
    </row>
    <row r="211" spans="1:17" ht="24.75" customHeight="1" thickTop="1">
      <c r="A211" s="574">
        <v>202</v>
      </c>
      <c r="B211" s="466"/>
      <c r="C211" s="809">
        <v>12</v>
      </c>
      <c r="D211" s="1956" t="s">
        <v>1035</v>
      </c>
      <c r="E211" s="333">
        <f>P232+Q232+5559+945</f>
        <v>244992</v>
      </c>
      <c r="F211" s="331"/>
      <c r="G211" s="1951"/>
      <c r="H211" s="772"/>
      <c r="I211" s="1717"/>
      <c r="J211" s="1717"/>
      <c r="K211" s="1717"/>
      <c r="L211" s="1717"/>
      <c r="M211" s="1717"/>
      <c r="N211" s="1717"/>
      <c r="O211" s="1717"/>
      <c r="P211" s="1952"/>
      <c r="Q211" s="562"/>
    </row>
    <row r="212" spans="1:17" ht="19.5" customHeight="1">
      <c r="A212" s="574">
        <v>203</v>
      </c>
      <c r="B212" s="466"/>
      <c r="C212" s="366"/>
      <c r="D212" s="326" t="s">
        <v>465</v>
      </c>
      <c r="E212" s="335"/>
      <c r="F212" s="564"/>
      <c r="G212" s="1951"/>
      <c r="H212" s="772"/>
      <c r="I212" s="1717"/>
      <c r="J212" s="1717"/>
      <c r="K212" s="1717"/>
      <c r="L212" s="1717"/>
      <c r="M212" s="1717"/>
      <c r="N212" s="1717"/>
      <c r="O212" s="1717"/>
      <c r="P212" s="1952"/>
      <c r="Q212" s="562"/>
    </row>
    <row r="213" spans="1:17" ht="19.5" customHeight="1">
      <c r="A213" s="574">
        <v>204</v>
      </c>
      <c r="B213" s="466"/>
      <c r="C213" s="366"/>
      <c r="D213" s="1146" t="s">
        <v>725</v>
      </c>
      <c r="E213" s="335"/>
      <c r="F213" s="564"/>
      <c r="G213" s="1951"/>
      <c r="H213" s="772"/>
      <c r="I213" s="1717"/>
      <c r="J213" s="1717"/>
      <c r="K213" s="1953">
        <f>135763-18161-26861-19304-46355-21907</f>
        <v>3175</v>
      </c>
      <c r="L213" s="1717"/>
      <c r="M213" s="1717"/>
      <c r="N213" s="1717"/>
      <c r="O213" s="1717"/>
      <c r="P213" s="1307">
        <f>SUM(I213:O213)</f>
        <v>3175</v>
      </c>
      <c r="Q213" s="562"/>
    </row>
    <row r="214" spans="1:17" ht="19.5" customHeight="1">
      <c r="A214" s="574">
        <v>205</v>
      </c>
      <c r="B214" s="466"/>
      <c r="C214" s="366"/>
      <c r="D214" s="260" t="s">
        <v>1091</v>
      </c>
      <c r="E214" s="335"/>
      <c r="F214" s="564"/>
      <c r="G214" s="1951"/>
      <c r="H214" s="772"/>
      <c r="I214" s="1717"/>
      <c r="J214" s="1717"/>
      <c r="K214" s="1717">
        <f>SUM(K213)</f>
        <v>3175</v>
      </c>
      <c r="L214" s="1717"/>
      <c r="M214" s="1717"/>
      <c r="N214" s="1717"/>
      <c r="O214" s="1717"/>
      <c r="P214" s="569">
        <f>SUM(I214:O214)</f>
        <v>3175</v>
      </c>
      <c r="Q214" s="562"/>
    </row>
    <row r="215" spans="1:17" ht="19.5" customHeight="1">
      <c r="A215" s="574">
        <v>206</v>
      </c>
      <c r="B215" s="466"/>
      <c r="C215" s="366"/>
      <c r="D215" s="326" t="s">
        <v>1030</v>
      </c>
      <c r="E215" s="335"/>
      <c r="F215" s="564"/>
      <c r="G215" s="1951"/>
      <c r="H215" s="772"/>
      <c r="I215" s="1717"/>
      <c r="J215" s="1717"/>
      <c r="K215" s="1717"/>
      <c r="L215" s="1717"/>
      <c r="M215" s="1717"/>
      <c r="N215" s="1717"/>
      <c r="O215" s="1717"/>
      <c r="P215" s="1952"/>
      <c r="Q215" s="562"/>
    </row>
    <row r="216" spans="1:17" ht="19.5" customHeight="1">
      <c r="A216" s="574">
        <v>207</v>
      </c>
      <c r="B216" s="466"/>
      <c r="C216" s="366"/>
      <c r="D216" s="1146" t="s">
        <v>725</v>
      </c>
      <c r="E216" s="335"/>
      <c r="F216" s="564"/>
      <c r="G216" s="1951"/>
      <c r="H216" s="772"/>
      <c r="I216" s="1717"/>
      <c r="J216" s="1717"/>
      <c r="K216" s="1953">
        <v>18161</v>
      </c>
      <c r="L216" s="1717"/>
      <c r="M216" s="1953">
        <v>19050</v>
      </c>
      <c r="N216" s="1717"/>
      <c r="O216" s="1717"/>
      <c r="P216" s="1307">
        <f>SUM(I216:O216)</f>
        <v>37211</v>
      </c>
      <c r="Q216" s="562"/>
    </row>
    <row r="217" spans="1:17" ht="19.5" customHeight="1">
      <c r="A217" s="574">
        <v>208</v>
      </c>
      <c r="B217" s="466"/>
      <c r="C217" s="366"/>
      <c r="D217" s="260" t="s">
        <v>1091</v>
      </c>
      <c r="E217" s="335"/>
      <c r="F217" s="564"/>
      <c r="G217" s="1951"/>
      <c r="H217" s="772"/>
      <c r="I217" s="1717"/>
      <c r="J217" s="1717"/>
      <c r="K217" s="1717">
        <f>SUM(K216)</f>
        <v>18161</v>
      </c>
      <c r="L217" s="1717">
        <f>SUM(L216)</f>
        <v>0</v>
      </c>
      <c r="M217" s="1717">
        <f>SUM(M216)</f>
        <v>19050</v>
      </c>
      <c r="N217" s="1717"/>
      <c r="O217" s="1717"/>
      <c r="P217" s="569">
        <f>SUM(I217:O217)</f>
        <v>37211</v>
      </c>
      <c r="Q217" s="562"/>
    </row>
    <row r="218" spans="1:17" ht="19.5" customHeight="1">
      <c r="A218" s="574">
        <v>209</v>
      </c>
      <c r="B218" s="466"/>
      <c r="C218" s="366"/>
      <c r="D218" s="326" t="s">
        <v>1031</v>
      </c>
      <c r="E218" s="335"/>
      <c r="F218" s="564"/>
      <c r="G218" s="1951"/>
      <c r="H218" s="772"/>
      <c r="I218" s="1717"/>
      <c r="J218" s="1717"/>
      <c r="K218" s="1717"/>
      <c r="L218" s="1717"/>
      <c r="M218" s="1717"/>
      <c r="N218" s="1717"/>
      <c r="O218" s="1717"/>
      <c r="P218" s="1952"/>
      <c r="Q218" s="562"/>
    </row>
    <row r="219" spans="1:17" ht="19.5" customHeight="1">
      <c r="A219" s="574">
        <v>210</v>
      </c>
      <c r="B219" s="466"/>
      <c r="C219" s="366"/>
      <c r="D219" s="1146" t="s">
        <v>725</v>
      </c>
      <c r="E219" s="335"/>
      <c r="F219" s="564"/>
      <c r="G219" s="1951"/>
      <c r="H219" s="772"/>
      <c r="I219" s="1717"/>
      <c r="J219" s="1717"/>
      <c r="K219" s="1953">
        <v>26861</v>
      </c>
      <c r="L219" s="1717"/>
      <c r="M219" s="1953">
        <v>27940</v>
      </c>
      <c r="N219" s="1717"/>
      <c r="O219" s="1717"/>
      <c r="P219" s="1307">
        <f>SUM(I219:O219)</f>
        <v>54801</v>
      </c>
      <c r="Q219" s="562"/>
    </row>
    <row r="220" spans="1:17" ht="19.5" customHeight="1">
      <c r="A220" s="574">
        <v>211</v>
      </c>
      <c r="B220" s="466"/>
      <c r="C220" s="366"/>
      <c r="D220" s="260" t="s">
        <v>1091</v>
      </c>
      <c r="E220" s="335"/>
      <c r="F220" s="564"/>
      <c r="G220" s="1951"/>
      <c r="H220" s="772"/>
      <c r="I220" s="1717"/>
      <c r="J220" s="1717"/>
      <c r="K220" s="1717">
        <f>SUM(K219)</f>
        <v>26861</v>
      </c>
      <c r="L220" s="1717">
        <f>SUM(L219)</f>
        <v>0</v>
      </c>
      <c r="M220" s="1717">
        <f>SUM(M219)</f>
        <v>27940</v>
      </c>
      <c r="N220" s="1717"/>
      <c r="O220" s="1717"/>
      <c r="P220" s="569">
        <f>SUM(I220:O220)</f>
        <v>54801</v>
      </c>
      <c r="Q220" s="562"/>
    </row>
    <row r="221" spans="1:17" ht="19.5" customHeight="1">
      <c r="A221" s="574">
        <v>212</v>
      </c>
      <c r="B221" s="466"/>
      <c r="C221" s="366"/>
      <c r="D221" s="326" t="s">
        <v>24</v>
      </c>
      <c r="E221" s="335"/>
      <c r="F221" s="564"/>
      <c r="G221" s="1951"/>
      <c r="H221" s="772"/>
      <c r="I221" s="1717"/>
      <c r="J221" s="1717"/>
      <c r="K221" s="1717"/>
      <c r="L221" s="1717"/>
      <c r="M221" s="1717"/>
      <c r="N221" s="1717"/>
      <c r="O221" s="1717"/>
      <c r="P221" s="1952"/>
      <c r="Q221" s="562"/>
    </row>
    <row r="222" spans="1:17" ht="19.5" customHeight="1">
      <c r="A222" s="574">
        <v>213</v>
      </c>
      <c r="B222" s="466"/>
      <c r="C222" s="366"/>
      <c r="D222" s="1146" t="s">
        <v>725</v>
      </c>
      <c r="E222" s="335"/>
      <c r="F222" s="564"/>
      <c r="G222" s="1951"/>
      <c r="H222" s="772"/>
      <c r="I222" s="1717"/>
      <c r="J222" s="1717"/>
      <c r="K222" s="1953">
        <v>19304</v>
      </c>
      <c r="L222" s="1717"/>
      <c r="M222" s="1953">
        <v>24130</v>
      </c>
      <c r="N222" s="1717"/>
      <c r="O222" s="1717"/>
      <c r="P222" s="1307">
        <f>SUM(I222:O222)</f>
        <v>43434</v>
      </c>
      <c r="Q222" s="562"/>
    </row>
    <row r="223" spans="1:17" ht="19.5" customHeight="1">
      <c r="A223" s="574">
        <v>214</v>
      </c>
      <c r="B223" s="466"/>
      <c r="C223" s="366"/>
      <c r="D223" s="260" t="s">
        <v>1091</v>
      </c>
      <c r="E223" s="335"/>
      <c r="F223" s="564"/>
      <c r="G223" s="1951"/>
      <c r="H223" s="772"/>
      <c r="I223" s="1717"/>
      <c r="J223" s="1717"/>
      <c r="K223" s="1717">
        <f>SUM(K222)</f>
        <v>19304</v>
      </c>
      <c r="L223" s="1717">
        <f>SUM(L222)</f>
        <v>0</v>
      </c>
      <c r="M223" s="1717">
        <f>SUM(M222)</f>
        <v>24130</v>
      </c>
      <c r="N223" s="1717"/>
      <c r="O223" s="1717"/>
      <c r="P223" s="569">
        <f>SUM(I223:O223)</f>
        <v>43434</v>
      </c>
      <c r="Q223" s="562"/>
    </row>
    <row r="224" spans="1:17" ht="19.5" customHeight="1">
      <c r="A224" s="574">
        <v>215</v>
      </c>
      <c r="B224" s="466"/>
      <c r="C224" s="366"/>
      <c r="D224" s="326" t="s">
        <v>1032</v>
      </c>
      <c r="E224" s="335"/>
      <c r="F224" s="564"/>
      <c r="G224" s="1951"/>
      <c r="H224" s="772"/>
      <c r="I224" s="1717"/>
      <c r="J224" s="1717"/>
      <c r="K224" s="1717"/>
      <c r="L224" s="1717"/>
      <c r="M224" s="1717"/>
      <c r="N224" s="1717"/>
      <c r="O224" s="1717"/>
      <c r="P224" s="1952"/>
      <c r="Q224" s="562"/>
    </row>
    <row r="225" spans="1:17" ht="19.5" customHeight="1">
      <c r="A225" s="574">
        <v>216</v>
      </c>
      <c r="B225" s="466"/>
      <c r="C225" s="366"/>
      <c r="D225" s="1146" t="s">
        <v>725</v>
      </c>
      <c r="E225" s="335"/>
      <c r="F225" s="564"/>
      <c r="G225" s="1951"/>
      <c r="H225" s="772"/>
      <c r="I225" s="1717"/>
      <c r="J225" s="1717"/>
      <c r="K225" s="1953">
        <v>46355</v>
      </c>
      <c r="L225" s="1717"/>
      <c r="M225" s="1953">
        <v>14605</v>
      </c>
      <c r="N225" s="1717"/>
      <c r="O225" s="1717"/>
      <c r="P225" s="1307">
        <f>SUM(I225:O225)</f>
        <v>60960</v>
      </c>
      <c r="Q225" s="562"/>
    </row>
    <row r="226" spans="1:17" ht="19.5" customHeight="1">
      <c r="A226" s="574">
        <v>217</v>
      </c>
      <c r="B226" s="466"/>
      <c r="C226" s="366"/>
      <c r="D226" s="260" t="s">
        <v>1091</v>
      </c>
      <c r="E226" s="335"/>
      <c r="F226" s="564"/>
      <c r="G226" s="1951"/>
      <c r="H226" s="772"/>
      <c r="I226" s="1717"/>
      <c r="J226" s="1717"/>
      <c r="K226" s="1717">
        <f>SUM(K225)</f>
        <v>46355</v>
      </c>
      <c r="L226" s="1717">
        <f>SUM(L225)</f>
        <v>0</v>
      </c>
      <c r="M226" s="1717">
        <f>SUM(M225)</f>
        <v>14605</v>
      </c>
      <c r="N226" s="1717"/>
      <c r="O226" s="1717"/>
      <c r="P226" s="569">
        <f>SUM(I226:O226)</f>
        <v>60960</v>
      </c>
      <c r="Q226" s="562"/>
    </row>
    <row r="227" spans="1:17" ht="19.5" customHeight="1">
      <c r="A227" s="574">
        <v>218</v>
      </c>
      <c r="B227" s="466"/>
      <c r="C227" s="366"/>
      <c r="D227" s="326" t="s">
        <v>1033</v>
      </c>
      <c r="E227" s="335"/>
      <c r="F227" s="564"/>
      <c r="G227" s="1951"/>
      <c r="H227" s="772"/>
      <c r="I227" s="1717"/>
      <c r="J227" s="1717"/>
      <c r="K227" s="1717"/>
      <c r="L227" s="1717"/>
      <c r="M227" s="1717"/>
      <c r="N227" s="1717"/>
      <c r="O227" s="1717"/>
      <c r="P227" s="1952"/>
      <c r="Q227" s="562"/>
    </row>
    <row r="228" spans="1:17" ht="19.5" customHeight="1">
      <c r="A228" s="574">
        <v>219</v>
      </c>
      <c r="B228" s="466"/>
      <c r="C228" s="366"/>
      <c r="D228" s="1146" t="s">
        <v>725</v>
      </c>
      <c r="E228" s="335"/>
      <c r="F228" s="564"/>
      <c r="G228" s="1951"/>
      <c r="H228" s="772"/>
      <c r="I228" s="1717"/>
      <c r="J228" s="1717"/>
      <c r="K228" s="1953">
        <v>21907</v>
      </c>
      <c r="L228" s="1717"/>
      <c r="M228" s="1953">
        <v>17000</v>
      </c>
      <c r="N228" s="1717"/>
      <c r="O228" s="1717"/>
      <c r="P228" s="1307">
        <f>SUM(I228:O228)</f>
        <v>38907</v>
      </c>
      <c r="Q228" s="562"/>
    </row>
    <row r="229" spans="1:17" ht="19.5" customHeight="1" thickBot="1">
      <c r="A229" s="574">
        <v>220</v>
      </c>
      <c r="B229" s="1722"/>
      <c r="C229" s="820"/>
      <c r="D229" s="1684" t="s">
        <v>1091</v>
      </c>
      <c r="E229" s="829"/>
      <c r="F229" s="830"/>
      <c r="G229" s="1957"/>
      <c r="H229" s="1301"/>
      <c r="I229" s="1342"/>
      <c r="J229" s="1342"/>
      <c r="K229" s="1342">
        <f>SUM(K228)</f>
        <v>21907</v>
      </c>
      <c r="L229" s="1342">
        <f>SUM(L228)</f>
        <v>0</v>
      </c>
      <c r="M229" s="1342">
        <f>SUM(M228)</f>
        <v>17000</v>
      </c>
      <c r="N229" s="1342"/>
      <c r="O229" s="1342"/>
      <c r="P229" s="1392">
        <f>SUM(I229:O229)</f>
        <v>38907</v>
      </c>
      <c r="Q229" s="1304"/>
    </row>
    <row r="230" spans="1:17" ht="24.75" customHeight="1" thickTop="1">
      <c r="A230" s="574">
        <v>221</v>
      </c>
      <c r="B230" s="1722"/>
      <c r="C230" s="1393"/>
      <c r="D230" s="655" t="s">
        <v>1034</v>
      </c>
      <c r="E230" s="1517">
        <f>SUM(E211:E229)</f>
        <v>244992</v>
      </c>
      <c r="F230" s="1517">
        <f>SUM(F211:F229)</f>
        <v>0</v>
      </c>
      <c r="G230" s="1517">
        <f>SUM(G211:G229)</f>
        <v>0</v>
      </c>
      <c r="H230" s="1395"/>
      <c r="I230" s="1958"/>
      <c r="J230" s="1958"/>
      <c r="K230" s="1958"/>
      <c r="L230" s="1958"/>
      <c r="M230" s="1958"/>
      <c r="N230" s="1958"/>
      <c r="O230" s="1958"/>
      <c r="P230" s="1959"/>
      <c r="Q230" s="1398"/>
    </row>
    <row r="231" spans="1:17" ht="19.5" customHeight="1">
      <c r="A231" s="574">
        <v>222</v>
      </c>
      <c r="B231" s="1722"/>
      <c r="C231" s="820"/>
      <c r="D231" s="1146" t="s">
        <v>674</v>
      </c>
      <c r="E231" s="829"/>
      <c r="F231" s="830"/>
      <c r="G231" s="1951"/>
      <c r="H231" s="772"/>
      <c r="I231" s="1953">
        <f>I228+I225+I222+I219+I216+I213</f>
        <v>0</v>
      </c>
      <c r="J231" s="1953">
        <f aca="true" t="shared" si="35" ref="J231:O231">J228+J225+J222+J219+J216+J213</f>
        <v>0</v>
      </c>
      <c r="K231" s="1953">
        <f t="shared" si="35"/>
        <v>135763</v>
      </c>
      <c r="L231" s="1953">
        <f t="shared" si="35"/>
        <v>0</v>
      </c>
      <c r="M231" s="1953">
        <f t="shared" si="35"/>
        <v>102725</v>
      </c>
      <c r="N231" s="1953">
        <f t="shared" si="35"/>
        <v>0</v>
      </c>
      <c r="O231" s="1953">
        <f t="shared" si="35"/>
        <v>0</v>
      </c>
      <c r="P231" s="1307">
        <f>SUM(I231:O231)</f>
        <v>238488</v>
      </c>
      <c r="Q231" s="562"/>
    </row>
    <row r="232" spans="1:17" ht="19.5" customHeight="1" thickBot="1">
      <c r="A232" s="574">
        <v>223</v>
      </c>
      <c r="B232" s="1728"/>
      <c r="C232" s="1381"/>
      <c r="D232" s="1269" t="s">
        <v>1091</v>
      </c>
      <c r="E232" s="1382"/>
      <c r="F232" s="1383"/>
      <c r="G232" s="1961"/>
      <c r="H232" s="1962"/>
      <c r="I232" s="1963">
        <f>SUM(I231)</f>
        <v>0</v>
      </c>
      <c r="J232" s="1963">
        <f aca="true" t="shared" si="36" ref="J232:O232">SUM(J231)</f>
        <v>0</v>
      </c>
      <c r="K232" s="1963">
        <f t="shared" si="36"/>
        <v>135763</v>
      </c>
      <c r="L232" s="1963">
        <f t="shared" si="36"/>
        <v>0</v>
      </c>
      <c r="M232" s="1963">
        <f t="shared" si="36"/>
        <v>102725</v>
      </c>
      <c r="N232" s="1963">
        <f t="shared" si="36"/>
        <v>0</v>
      </c>
      <c r="O232" s="1963">
        <f t="shared" si="36"/>
        <v>0</v>
      </c>
      <c r="P232" s="1334">
        <f>SUM(I232:O232)</f>
        <v>238488</v>
      </c>
      <c r="Q232" s="1964"/>
    </row>
    <row r="233" spans="1:17" s="330" customFormat="1" ht="19.5" customHeight="1">
      <c r="A233" s="574">
        <v>224</v>
      </c>
      <c r="B233" s="2331" t="s">
        <v>13</v>
      </c>
      <c r="C233" s="2332"/>
      <c r="D233" s="2332"/>
      <c r="E233" s="2332"/>
      <c r="F233" s="2332"/>
      <c r="G233" s="2333"/>
      <c r="H233" s="1531"/>
      <c r="I233" s="1960"/>
      <c r="J233" s="1960"/>
      <c r="K233" s="1960"/>
      <c r="L233" s="1960"/>
      <c r="M233" s="1960"/>
      <c r="N233" s="1960"/>
      <c r="O233" s="1960"/>
      <c r="P233" s="1960"/>
      <c r="Q233" s="1534"/>
    </row>
    <row r="234" spans="1:17" s="330" customFormat="1" ht="19.5" customHeight="1">
      <c r="A234" s="574">
        <v>225</v>
      </c>
      <c r="B234" s="1525"/>
      <c r="C234" s="1526"/>
      <c r="D234" s="2328" t="s">
        <v>283</v>
      </c>
      <c r="E234" s="2329"/>
      <c r="F234" s="2329"/>
      <c r="G234" s="2330"/>
      <c r="H234" s="1531"/>
      <c r="I234" s="1528">
        <f aca="true" t="shared" si="37" ref="I234:P234">I121+I111+I87+I76+I60+I44</f>
        <v>2726</v>
      </c>
      <c r="J234" s="1529">
        <f t="shared" si="37"/>
        <v>386</v>
      </c>
      <c r="K234" s="1529">
        <f t="shared" si="37"/>
        <v>222733</v>
      </c>
      <c r="L234" s="1529">
        <f t="shared" si="37"/>
        <v>78400</v>
      </c>
      <c r="M234" s="1529">
        <f t="shared" si="37"/>
        <v>4493363</v>
      </c>
      <c r="N234" s="1529">
        <f t="shared" si="37"/>
        <v>2500</v>
      </c>
      <c r="O234" s="1529">
        <f t="shared" si="37"/>
        <v>0</v>
      </c>
      <c r="P234" s="1529">
        <f t="shared" si="37"/>
        <v>4800108</v>
      </c>
      <c r="Q234" s="1534"/>
    </row>
    <row r="235" spans="1:17" s="330" customFormat="1" ht="19.5" customHeight="1">
      <c r="A235" s="574">
        <v>226</v>
      </c>
      <c r="B235" s="1525"/>
      <c r="C235" s="1526"/>
      <c r="D235" s="1673" t="s">
        <v>938</v>
      </c>
      <c r="E235" s="1682"/>
      <c r="F235" s="1995"/>
      <c r="G235" s="1996"/>
      <c r="H235" s="1531"/>
      <c r="I235" s="1674">
        <f aca="true" t="shared" si="38" ref="I235:O235">I122+I112+I88+I77+I61+I45+I147+I168</f>
        <v>9970</v>
      </c>
      <c r="J235" s="1674">
        <f t="shared" si="38"/>
        <v>1443</v>
      </c>
      <c r="K235" s="1674">
        <f t="shared" si="38"/>
        <v>542599</v>
      </c>
      <c r="L235" s="1674">
        <f t="shared" si="38"/>
        <v>73500</v>
      </c>
      <c r="M235" s="1674">
        <f t="shared" si="38"/>
        <v>6686162</v>
      </c>
      <c r="N235" s="1674">
        <f t="shared" si="38"/>
        <v>2500</v>
      </c>
      <c r="O235" s="1674">
        <f t="shared" si="38"/>
        <v>236431</v>
      </c>
      <c r="P235" s="569">
        <f>SUM(I235:O235)</f>
        <v>7552605</v>
      </c>
      <c r="Q235" s="1534"/>
    </row>
    <row r="236" spans="1:17" s="330" customFormat="1" ht="19.5" customHeight="1">
      <c r="A236" s="574">
        <v>227</v>
      </c>
      <c r="B236" s="1312"/>
      <c r="C236" s="1310"/>
      <c r="D236" s="2188" t="s">
        <v>674</v>
      </c>
      <c r="E236" s="2189"/>
      <c r="F236" s="2189"/>
      <c r="G236" s="2190"/>
      <c r="H236" s="1321"/>
      <c r="I236" s="1311">
        <f aca="true" t="shared" si="39" ref="I236:P236">I123+I113+I89+I78+I62+I46+I148+I169+I176+I183+I209+I231</f>
        <v>2528</v>
      </c>
      <c r="J236" s="1311">
        <f t="shared" si="39"/>
        <v>353</v>
      </c>
      <c r="K236" s="1311">
        <f t="shared" si="39"/>
        <v>134063</v>
      </c>
      <c r="L236" s="1311">
        <f t="shared" si="39"/>
        <v>0</v>
      </c>
      <c r="M236" s="1311">
        <f t="shared" si="39"/>
        <v>354274</v>
      </c>
      <c r="N236" s="1311">
        <f t="shared" si="39"/>
        <v>0</v>
      </c>
      <c r="O236" s="1311">
        <f t="shared" si="39"/>
        <v>3274</v>
      </c>
      <c r="P236" s="1311">
        <f t="shared" si="39"/>
        <v>494492</v>
      </c>
      <c r="Q236" s="1401"/>
    </row>
    <row r="237" spans="1:17" s="330" customFormat="1" ht="19.5" customHeight="1" thickBot="1">
      <c r="A237" s="574">
        <v>228</v>
      </c>
      <c r="B237" s="1313"/>
      <c r="C237" s="1314"/>
      <c r="D237" s="2185" t="s">
        <v>1091</v>
      </c>
      <c r="E237" s="2186"/>
      <c r="F237" s="2186"/>
      <c r="G237" s="2187"/>
      <c r="H237" s="1322"/>
      <c r="I237" s="1315">
        <f>SUM(I235:I236)</f>
        <v>12498</v>
      </c>
      <c r="J237" s="1315">
        <f aca="true" t="shared" si="40" ref="J237:O237">SUM(J235:J236)</f>
        <v>1796</v>
      </c>
      <c r="K237" s="1315">
        <f t="shared" si="40"/>
        <v>676662</v>
      </c>
      <c r="L237" s="1315">
        <f t="shared" si="40"/>
        <v>73500</v>
      </c>
      <c r="M237" s="1315">
        <f t="shared" si="40"/>
        <v>7040436</v>
      </c>
      <c r="N237" s="1315">
        <f t="shared" si="40"/>
        <v>2500</v>
      </c>
      <c r="O237" s="1315">
        <f t="shared" si="40"/>
        <v>239705</v>
      </c>
      <c r="P237" s="1334">
        <f>SUM(P235:P236)</f>
        <v>8047097</v>
      </c>
      <c r="Q237" s="1402"/>
    </row>
    <row r="238" spans="2:16" ht="18" customHeight="1">
      <c r="B238" s="566" t="s">
        <v>26</v>
      </c>
      <c r="C238" s="567"/>
      <c r="D238" s="566"/>
      <c r="E238" s="337"/>
      <c r="F238" s="338"/>
      <c r="G238" s="337"/>
      <c r="H238" s="553"/>
      <c r="I238" s="337"/>
      <c r="J238" s="337"/>
      <c r="K238" s="337"/>
      <c r="L238" s="337"/>
      <c r="M238" s="337"/>
      <c r="N238" s="337"/>
      <c r="O238" s="337"/>
      <c r="P238" s="576"/>
    </row>
    <row r="239" spans="2:16" ht="18" customHeight="1">
      <c r="B239" s="566" t="s">
        <v>27</v>
      </c>
      <c r="C239" s="567"/>
      <c r="D239" s="566"/>
      <c r="E239" s="470"/>
      <c r="F239" s="338"/>
      <c r="G239" s="337"/>
      <c r="H239" s="553"/>
      <c r="I239" s="337"/>
      <c r="J239" s="337"/>
      <c r="K239" s="337"/>
      <c r="L239" s="337"/>
      <c r="M239" s="337"/>
      <c r="N239" s="337"/>
      <c r="O239" s="337"/>
      <c r="P239" s="576"/>
    </row>
    <row r="240" spans="2:16" ht="18" customHeight="1">
      <c r="B240" s="566" t="s">
        <v>28</v>
      </c>
      <c r="C240" s="567"/>
      <c r="D240" s="566"/>
      <c r="E240" s="470"/>
      <c r="F240" s="338"/>
      <c r="G240" s="337"/>
      <c r="H240" s="553"/>
      <c r="I240" s="337"/>
      <c r="J240" s="337"/>
      <c r="K240" s="337"/>
      <c r="L240" s="337"/>
      <c r="M240" s="337"/>
      <c r="N240" s="337"/>
      <c r="O240" s="337"/>
      <c r="P240" s="576"/>
    </row>
    <row r="241" spans="2:3" ht="17.25">
      <c r="B241" s="334" t="s">
        <v>533</v>
      </c>
      <c r="C241" s="334"/>
    </row>
  </sheetData>
  <sheetProtection/>
  <mergeCells count="21">
    <mergeCell ref="R7:S7"/>
    <mergeCell ref="I8:L8"/>
    <mergeCell ref="M8:O8"/>
    <mergeCell ref="P8:P9"/>
    <mergeCell ref="B233:G233"/>
    <mergeCell ref="I7:P7"/>
    <mergeCell ref="Q7:Q9"/>
    <mergeCell ref="C7:C9"/>
    <mergeCell ref="D7:D9"/>
    <mergeCell ref="E7:E9"/>
    <mergeCell ref="F7:F9"/>
    <mergeCell ref="G7:G9"/>
    <mergeCell ref="H7:H9"/>
    <mergeCell ref="B1:M1"/>
    <mergeCell ref="D234:G234"/>
    <mergeCell ref="D236:G236"/>
    <mergeCell ref="D237:G237"/>
    <mergeCell ref="I2:Q2"/>
    <mergeCell ref="A3:Q3"/>
    <mergeCell ref="A4:Q4"/>
    <mergeCell ref="B7:B9"/>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58" r:id="rId1"/>
  <headerFooter>
    <oddFooter>&amp;C- &amp;P -</oddFooter>
  </headerFooter>
</worksheet>
</file>

<file path=xl/worksheets/sheet15.xml><?xml version="1.0" encoding="utf-8"?>
<worksheet xmlns="http://schemas.openxmlformats.org/spreadsheetml/2006/main" xmlns:r="http://schemas.openxmlformats.org/officeDocument/2006/relationships">
  <dimension ref="A1:AK40"/>
  <sheetViews>
    <sheetView view="pageBreakPreview" zoomScaleNormal="75" zoomScaleSheetLayoutView="100" zoomScalePageLayoutView="0" workbookViewId="0" topLeftCell="A1">
      <selection activeCell="B1" sqref="B1:M1"/>
    </sheetView>
  </sheetViews>
  <sheetFormatPr defaultColWidth="9.125" defaultRowHeight="12.75"/>
  <cols>
    <col min="1" max="1" width="5.75390625" style="104" customWidth="1"/>
    <col min="2" max="2" width="4.75390625" style="339" customWidth="1"/>
    <col min="3" max="3" width="63.75390625" style="106" customWidth="1"/>
    <col min="4" max="5" width="21.75390625" style="2" customWidth="1"/>
    <col min="6" max="6" width="5.75390625" style="339" customWidth="1"/>
    <col min="7" max="7" width="63.75390625" style="106" customWidth="1"/>
    <col min="8" max="8" width="21.75390625" style="2" customWidth="1"/>
    <col min="9" max="9" width="21.75390625" style="106" customWidth="1"/>
    <col min="10" max="16384" width="9.125" style="106" customWidth="1"/>
  </cols>
  <sheetData>
    <row r="1" spans="2:13" ht="17.25">
      <c r="B1" s="2039" t="s">
        <v>1109</v>
      </c>
      <c r="C1" s="2039"/>
      <c r="D1" s="2039"/>
      <c r="E1" s="2039"/>
      <c r="F1" s="2039"/>
      <c r="G1" s="2039"/>
      <c r="H1" s="2039"/>
      <c r="I1" s="2039"/>
      <c r="J1" s="2039"/>
      <c r="K1" s="2039"/>
      <c r="L1" s="2039"/>
      <c r="M1" s="2039"/>
    </row>
    <row r="2" spans="1:8" s="1" customFormat="1" ht="18" customHeight="1">
      <c r="A2" s="157"/>
      <c r="B2" s="2334" t="s">
        <v>736</v>
      </c>
      <c r="C2" s="2334"/>
      <c r="D2" s="367"/>
      <c r="E2" s="367"/>
      <c r="F2" s="368"/>
      <c r="H2" s="367"/>
    </row>
    <row r="3" spans="1:8" s="1" customFormat="1" ht="24.75" customHeight="1">
      <c r="A3" s="157"/>
      <c r="B3" s="2037" t="s">
        <v>200</v>
      </c>
      <c r="C3" s="2037"/>
      <c r="D3" s="2037"/>
      <c r="E3" s="2037"/>
      <c r="F3" s="2037"/>
      <c r="G3" s="2037"/>
      <c r="H3" s="2037"/>
    </row>
    <row r="4" spans="1:8" s="1" customFormat="1" ht="24.75" customHeight="1">
      <c r="A4" s="157"/>
      <c r="B4" s="2037" t="s">
        <v>548</v>
      </c>
      <c r="C4" s="2037"/>
      <c r="D4" s="2037"/>
      <c r="E4" s="2037"/>
      <c r="F4" s="2037"/>
      <c r="G4" s="2037"/>
      <c r="H4" s="2037"/>
    </row>
    <row r="5" spans="1:9" s="778" customFormat="1" ht="18" customHeight="1">
      <c r="A5" s="776"/>
      <c r="B5" s="777"/>
      <c r="C5" s="777"/>
      <c r="D5" s="777"/>
      <c r="E5" s="777"/>
      <c r="F5" s="777"/>
      <c r="G5" s="777"/>
      <c r="I5" s="113" t="s">
        <v>0</v>
      </c>
    </row>
    <row r="6" spans="2:9" s="775" customFormat="1" ht="18" customHeight="1" thickBot="1">
      <c r="B6" s="775" t="s">
        <v>1</v>
      </c>
      <c r="C6" s="775" t="s">
        <v>313</v>
      </c>
      <c r="D6" s="775" t="s">
        <v>2</v>
      </c>
      <c r="E6" s="775" t="s">
        <v>4</v>
      </c>
      <c r="F6" s="775" t="s">
        <v>5</v>
      </c>
      <c r="G6" s="775" t="s">
        <v>15</v>
      </c>
      <c r="H6" s="98" t="s">
        <v>16</v>
      </c>
      <c r="I6" s="775" t="s">
        <v>17</v>
      </c>
    </row>
    <row r="7" spans="1:9" ht="34.5">
      <c r="A7" s="104">
        <v>1</v>
      </c>
      <c r="B7" s="369"/>
      <c r="C7" s="370" t="s">
        <v>201</v>
      </c>
      <c r="D7" s="371" t="s">
        <v>673</v>
      </c>
      <c r="E7" s="1405" t="s">
        <v>1090</v>
      </c>
      <c r="F7" s="372"/>
      <c r="G7" s="373" t="s">
        <v>202</v>
      </c>
      <c r="H7" s="371" t="s">
        <v>673</v>
      </c>
      <c r="I7" s="374" t="s">
        <v>1090</v>
      </c>
    </row>
    <row r="8" spans="1:9" ht="15" customHeight="1">
      <c r="A8" s="104">
        <v>2</v>
      </c>
      <c r="B8" s="97" t="s">
        <v>116</v>
      </c>
      <c r="C8" s="106" t="s">
        <v>203</v>
      </c>
      <c r="D8" s="375">
        <f>'1.Onbe'!J9+'1.Onbe'!J15</f>
        <v>6746424</v>
      </c>
      <c r="E8" s="375">
        <f>'1.Onbe'!M9+'1.Onbe'!M15</f>
        <v>6839403</v>
      </c>
      <c r="F8" s="376" t="s">
        <v>116</v>
      </c>
      <c r="G8" s="106" t="s">
        <v>37</v>
      </c>
      <c r="H8" s="387">
        <f>'4.Inki'!K308+'6.Önk.műk.'!J740+'9.Projekt'!I141+'10.MVP és hazai'!I103+'11.EKF'!I234</f>
        <v>5236018</v>
      </c>
      <c r="I8" s="389">
        <f>'4.Inki'!K311+'6.Önk.műk.'!J743+'9.Projekt'!I144+'10.MVP és hazai'!I106+'11.EKF'!I237</f>
        <v>5713635</v>
      </c>
    </row>
    <row r="9" spans="1:9" ht="15" customHeight="1">
      <c r="A9" s="104">
        <v>3</v>
      </c>
      <c r="B9" s="97" t="s">
        <v>123</v>
      </c>
      <c r="C9" s="106" t="s">
        <v>163</v>
      </c>
      <c r="D9" s="375">
        <f>'1.Onbe'!J16</f>
        <v>6242200</v>
      </c>
      <c r="E9" s="1406">
        <f>'1.Onbe'!M16</f>
        <v>6220200</v>
      </c>
      <c r="F9" s="376" t="s">
        <v>123</v>
      </c>
      <c r="G9" s="106" t="s">
        <v>204</v>
      </c>
      <c r="H9" s="387">
        <f>'4.Inki'!L308+'6.Önk.műk.'!K740+'9.Projekt'!J141+'10.MVP és hazai'!J103+'11.EKF'!J234</f>
        <v>883986</v>
      </c>
      <c r="I9" s="389">
        <f>'4.Inki'!L311+'6.Önk.műk.'!K743+'9.Projekt'!J144+'10.MVP és hazai'!J106+'11.EKF'!J237</f>
        <v>962911</v>
      </c>
    </row>
    <row r="10" spans="1:9" ht="16.5">
      <c r="A10" s="104">
        <v>4</v>
      </c>
      <c r="B10" s="97" t="s">
        <v>124</v>
      </c>
      <c r="C10" s="377" t="s">
        <v>131</v>
      </c>
      <c r="D10" s="375">
        <f>'1.Onbe'!J26+'1.Onbe'!J31</f>
        <v>1809266</v>
      </c>
      <c r="E10" s="1406">
        <f>'1.Onbe'!M26+'1.Onbe'!M31</f>
        <v>1843475</v>
      </c>
      <c r="F10" s="376" t="s">
        <v>124</v>
      </c>
      <c r="G10" s="106" t="s">
        <v>39</v>
      </c>
      <c r="H10" s="387">
        <f>'4.Inki'!M308+'6.Önk.műk.'!L740+'7.Beruh.'!I264+'9.Projekt'!K141+'10.MVP és hazai'!K103+'11.EKF'!K234</f>
        <v>5143386</v>
      </c>
      <c r="I10" s="389">
        <f>'4.Inki'!M311+'6.Önk.műk.'!L743+'7.Beruh.'!I267+'9.Projekt'!K144+'10.MVP és hazai'!K106+'11.EKF'!K237</f>
        <v>6285174</v>
      </c>
    </row>
    <row r="11" spans="1:9" ht="16.5">
      <c r="A11" s="104">
        <v>5</v>
      </c>
      <c r="B11" s="97" t="s">
        <v>125</v>
      </c>
      <c r="C11" s="106" t="s">
        <v>168</v>
      </c>
      <c r="D11" s="375">
        <f>'1.Onbe'!J32+'1.Onbe'!J34</f>
        <v>4569</v>
      </c>
      <c r="E11" s="1406">
        <f>'1.Onbe'!M32+'1.Onbe'!M34</f>
        <v>995908</v>
      </c>
      <c r="F11" s="378" t="s">
        <v>125</v>
      </c>
      <c r="G11" s="106" t="s">
        <v>205</v>
      </c>
      <c r="H11" s="387">
        <f>'4.Inki'!N308+'6.Önk.műk.'!M740</f>
        <v>36460</v>
      </c>
      <c r="I11" s="389">
        <f>'4.Inki'!N311+'6.Önk.műk.'!M743</f>
        <v>49767</v>
      </c>
    </row>
    <row r="12" spans="1:9" ht="16.5">
      <c r="A12" s="104">
        <v>6</v>
      </c>
      <c r="B12" s="97"/>
      <c r="C12" s="377"/>
      <c r="D12" s="375"/>
      <c r="E12" s="1406"/>
      <c r="F12" s="378" t="s">
        <v>126</v>
      </c>
      <c r="G12" s="108" t="s">
        <v>206</v>
      </c>
      <c r="H12" s="387">
        <f>'4.Inki'!O303+'6.Önk.műk.'!N740+'9.Projekt'!L141+'10.MVP és hazai'!L103+'11.EKF'!L234</f>
        <v>3539424</v>
      </c>
      <c r="I12" s="389">
        <f>'4.Inki'!O311+'6.Önk.műk.'!N743+'9.Projekt'!L144+'10.MVP és hazai'!L106+'11.EKF'!L237</f>
        <v>4205088</v>
      </c>
    </row>
    <row r="13" spans="1:9" ht="16.5">
      <c r="A13" s="104">
        <v>7</v>
      </c>
      <c r="B13" s="97"/>
      <c r="C13" s="377"/>
      <c r="D13" s="375"/>
      <c r="E13" s="1406"/>
      <c r="F13" s="378" t="s">
        <v>207</v>
      </c>
      <c r="G13" s="108" t="s">
        <v>394</v>
      </c>
      <c r="H13" s="387">
        <f>'2.Onki'!J17+'2.Onki'!J27</f>
        <v>578014</v>
      </c>
      <c r="I13" s="389">
        <f>'2.Onki'!M17+'2.Onki'!M27</f>
        <v>551304</v>
      </c>
    </row>
    <row r="14" spans="1:9" s="1" customFormat="1" ht="24.75" customHeight="1">
      <c r="A14" s="104">
        <v>8</v>
      </c>
      <c r="B14" s="379"/>
      <c r="C14" s="380" t="s">
        <v>208</v>
      </c>
      <c r="D14" s="381">
        <f>SUM(D8:D13)</f>
        <v>14802459</v>
      </c>
      <c r="E14" s="1407">
        <f>SUM(E8:E13)</f>
        <v>15898986</v>
      </c>
      <c r="F14" s="382"/>
      <c r="G14" s="380" t="s">
        <v>209</v>
      </c>
      <c r="H14" s="1418">
        <f>SUM(H8:H13)</f>
        <v>15417288</v>
      </c>
      <c r="I14" s="383">
        <f>SUM(I8:I13)</f>
        <v>17767879</v>
      </c>
    </row>
    <row r="15" spans="1:9" ht="24.75" customHeight="1">
      <c r="A15" s="104">
        <v>9</v>
      </c>
      <c r="B15" s="384"/>
      <c r="C15" s="141" t="s">
        <v>210</v>
      </c>
      <c r="D15" s="420"/>
      <c r="E15" s="1408"/>
      <c r="F15" s="385"/>
      <c r="G15" s="141" t="s">
        <v>211</v>
      </c>
      <c r="H15" s="1419"/>
      <c r="I15" s="430"/>
    </row>
    <row r="16" spans="1:9" ht="16.5">
      <c r="A16" s="104">
        <v>10</v>
      </c>
      <c r="B16" s="95" t="s">
        <v>116</v>
      </c>
      <c r="C16" s="386" t="s">
        <v>212</v>
      </c>
      <c r="D16" s="387">
        <f>'1.Onbe'!J36+'1.Onbe'!J39</f>
        <v>12126355</v>
      </c>
      <c r="E16" s="1409">
        <f>'1.Onbe'!M36+'1.Onbe'!M39</f>
        <v>13153011</v>
      </c>
      <c r="F16" s="388" t="s">
        <v>116</v>
      </c>
      <c r="G16" s="386" t="s">
        <v>213</v>
      </c>
      <c r="H16" s="387">
        <f>'2.Onki'!J11+'2.Onki'!J29</f>
        <v>30237804</v>
      </c>
      <c r="I16" s="389">
        <f>'2.Onki'!M29+'2.Onki'!M11</f>
        <v>35170685</v>
      </c>
    </row>
    <row r="17" spans="1:9" ht="16.5">
      <c r="A17" s="104">
        <v>11</v>
      </c>
      <c r="B17" s="95" t="s">
        <v>123</v>
      </c>
      <c r="C17" s="386" t="s">
        <v>174</v>
      </c>
      <c r="D17" s="387">
        <f>'1.Onbe'!J40+'1.Onbe'!J42</f>
        <v>920000</v>
      </c>
      <c r="E17" s="1409">
        <f>'1.Onbe'!M40+'1.Onbe'!M42</f>
        <v>920000</v>
      </c>
      <c r="F17" s="388" t="s">
        <v>123</v>
      </c>
      <c r="G17" s="386" t="s">
        <v>149</v>
      </c>
      <c r="H17" s="387">
        <f>'2.Onki'!J30</f>
        <v>60493</v>
      </c>
      <c r="I17" s="389">
        <f>'2.Onki'!M30+'2.Onki'!M12</f>
        <v>360239</v>
      </c>
    </row>
    <row r="18" spans="1:9" ht="16.5">
      <c r="A18" s="104">
        <v>12</v>
      </c>
      <c r="B18" s="95" t="s">
        <v>124</v>
      </c>
      <c r="C18" s="106" t="s">
        <v>177</v>
      </c>
      <c r="D18" s="387">
        <f>'1.Onbe'!J43+'1.Onbe'!J44</f>
        <v>0</v>
      </c>
      <c r="E18" s="1409">
        <f>'1.Onbe'!M43+'1.Onbe'!M44</f>
        <v>3872757</v>
      </c>
      <c r="F18" s="388" t="s">
        <v>124</v>
      </c>
      <c r="G18" s="386" t="s">
        <v>214</v>
      </c>
      <c r="H18" s="387">
        <f>'2.Onki'!J31</f>
        <v>23753</v>
      </c>
      <c r="I18" s="389">
        <f>'2.Onki'!M13+'2.Onki'!M31</f>
        <v>62293</v>
      </c>
    </row>
    <row r="19" spans="1:9" ht="16.5">
      <c r="A19" s="104">
        <v>13</v>
      </c>
      <c r="B19" s="95"/>
      <c r="D19" s="387"/>
      <c r="E19" s="1409"/>
      <c r="F19" s="388" t="s">
        <v>125</v>
      </c>
      <c r="G19" s="386" t="s">
        <v>395</v>
      </c>
      <c r="H19" s="387">
        <f>'2.Onki'!J23</f>
        <v>363655</v>
      </c>
      <c r="I19" s="389">
        <f>'2.Onki'!M23</f>
        <v>406800</v>
      </c>
    </row>
    <row r="20" spans="1:9" s="1" customFormat="1" ht="24.75" customHeight="1" thickBot="1">
      <c r="A20" s="104">
        <v>14</v>
      </c>
      <c r="B20" s="390"/>
      <c r="C20" s="391" t="s">
        <v>215</v>
      </c>
      <c r="D20" s="421">
        <f>SUM(D16:D19)</f>
        <v>13046355</v>
      </c>
      <c r="E20" s="1410">
        <f>SUM(E16:E19)</f>
        <v>17945768</v>
      </c>
      <c r="F20" s="392"/>
      <c r="G20" s="391" t="s">
        <v>216</v>
      </c>
      <c r="H20" s="421">
        <f>SUM(H16:H19)</f>
        <v>30685705</v>
      </c>
      <c r="I20" s="393">
        <f>SUM(I16:I19)</f>
        <v>36000017</v>
      </c>
    </row>
    <row r="21" spans="1:9" s="1" customFormat="1" ht="24.75" customHeight="1" thickBot="1" thickTop="1">
      <c r="A21" s="104">
        <v>15</v>
      </c>
      <c r="B21" s="394"/>
      <c r="C21" s="395" t="s">
        <v>180</v>
      </c>
      <c r="D21" s="1404">
        <f>SUM(D14,D20)</f>
        <v>27848814</v>
      </c>
      <c r="E21" s="422">
        <f>SUM(E14,E20)</f>
        <v>33844754</v>
      </c>
      <c r="F21" s="396"/>
      <c r="G21" s="395" t="s">
        <v>193</v>
      </c>
      <c r="H21" s="1420">
        <f>SUM(H14,H20)</f>
        <v>46102993</v>
      </c>
      <c r="I21" s="431">
        <f>SUM(I14,I20)</f>
        <v>53767896</v>
      </c>
    </row>
    <row r="22" spans="1:9" s="1" customFormat="1" ht="24.75" customHeight="1" thickTop="1">
      <c r="A22" s="104">
        <v>16</v>
      </c>
      <c r="B22" s="397"/>
      <c r="C22" s="141" t="s">
        <v>217</v>
      </c>
      <c r="D22" s="423"/>
      <c r="E22" s="1411"/>
      <c r="F22" s="398"/>
      <c r="G22" s="141" t="s">
        <v>218</v>
      </c>
      <c r="H22" s="423"/>
      <c r="I22" s="432"/>
    </row>
    <row r="23" spans="1:9" s="1" customFormat="1" ht="16.5">
      <c r="A23" s="104">
        <v>17</v>
      </c>
      <c r="B23" s="20" t="s">
        <v>116</v>
      </c>
      <c r="C23" s="1" t="s">
        <v>219</v>
      </c>
      <c r="D23" s="423"/>
      <c r="E23" s="1411"/>
      <c r="F23" s="398" t="s">
        <v>116</v>
      </c>
      <c r="G23" s="1" t="s">
        <v>220</v>
      </c>
      <c r="H23" s="423">
        <v>0</v>
      </c>
      <c r="I23" s="432"/>
    </row>
    <row r="24" spans="1:9" s="1" customFormat="1" ht="16.5">
      <c r="A24" s="104">
        <v>18</v>
      </c>
      <c r="B24" s="20" t="s">
        <v>123</v>
      </c>
      <c r="C24" s="1" t="s">
        <v>282</v>
      </c>
      <c r="D24" s="423">
        <f>'1.Onbe'!J52</f>
        <v>1391913</v>
      </c>
      <c r="E24" s="1411">
        <f>'1.Onbe'!M52</f>
        <v>2897017</v>
      </c>
      <c r="F24" s="398" t="s">
        <v>123</v>
      </c>
      <c r="G24" s="1" t="s">
        <v>246</v>
      </c>
      <c r="H24" s="423">
        <f>'2.Onki'!J38</f>
        <v>180835</v>
      </c>
      <c r="I24" s="432">
        <f>'2.Onki'!M38</f>
        <v>180835</v>
      </c>
    </row>
    <row r="25" spans="1:9" s="1" customFormat="1" ht="16.5">
      <c r="A25" s="104">
        <v>19</v>
      </c>
      <c r="B25" s="20" t="s">
        <v>124</v>
      </c>
      <c r="C25" s="1" t="s">
        <v>245</v>
      </c>
      <c r="D25" s="423">
        <f>'1.Onbe'!J50</f>
        <v>0</v>
      </c>
      <c r="E25" s="1411">
        <f>'1.Onbe'!M50</f>
        <v>0</v>
      </c>
      <c r="F25" s="398"/>
      <c r="H25" s="423"/>
      <c r="I25" s="432"/>
    </row>
    <row r="26" spans="1:9" s="1" customFormat="1" ht="24" customHeight="1">
      <c r="A26" s="104">
        <v>20</v>
      </c>
      <c r="B26" s="397"/>
      <c r="C26" s="141" t="s">
        <v>221</v>
      </c>
      <c r="D26" s="423"/>
      <c r="E26" s="1411"/>
      <c r="F26" s="398"/>
      <c r="G26" s="141" t="s">
        <v>222</v>
      </c>
      <c r="H26" s="423"/>
      <c r="I26" s="432"/>
    </row>
    <row r="27" spans="1:9" s="1" customFormat="1" ht="16.5">
      <c r="A27" s="104">
        <v>21</v>
      </c>
      <c r="B27" s="20" t="s">
        <v>125</v>
      </c>
      <c r="C27" s="1" t="s">
        <v>223</v>
      </c>
      <c r="D27" s="423">
        <f>'1.Onbe'!J63+'1.Onbe'!J62</f>
        <v>1176517</v>
      </c>
      <c r="E27" s="1411">
        <f>'1.Onbe'!M62+'1.Onbe'!M63</f>
        <v>1176517</v>
      </c>
      <c r="F27" s="398" t="s">
        <v>124</v>
      </c>
      <c r="G27" s="1" t="s">
        <v>224</v>
      </c>
      <c r="H27" s="423">
        <f>'2.Onki'!J40</f>
        <v>138187</v>
      </c>
      <c r="I27" s="432">
        <f>'2.Onki'!M40</f>
        <v>138187</v>
      </c>
    </row>
    <row r="28" spans="1:9" s="1" customFormat="1" ht="16.5">
      <c r="A28" s="104">
        <v>22</v>
      </c>
      <c r="B28" s="20" t="s">
        <v>126</v>
      </c>
      <c r="C28" s="1" t="s">
        <v>219</v>
      </c>
      <c r="D28" s="423"/>
      <c r="E28" s="1411"/>
      <c r="F28" s="398" t="s">
        <v>125</v>
      </c>
      <c r="G28" s="1" t="s">
        <v>220</v>
      </c>
      <c r="H28" s="423"/>
      <c r="I28" s="432"/>
    </row>
    <row r="29" spans="1:9" s="1" customFormat="1" ht="16.5">
      <c r="A29" s="104">
        <v>23</v>
      </c>
      <c r="B29" s="20" t="s">
        <v>207</v>
      </c>
      <c r="C29" s="1" t="s">
        <v>282</v>
      </c>
      <c r="D29" s="423">
        <f>'1.Onbe'!J56</f>
        <v>16004771</v>
      </c>
      <c r="E29" s="1411">
        <f>'1.Onbe'!M56</f>
        <v>16168630</v>
      </c>
      <c r="F29" s="398"/>
      <c r="H29" s="423"/>
      <c r="I29" s="432"/>
    </row>
    <row r="30" spans="1:37" s="400" customFormat="1" ht="24.75" customHeight="1" thickBot="1">
      <c r="A30" s="104">
        <v>24</v>
      </c>
      <c r="B30" s="300"/>
      <c r="C30" s="179" t="s">
        <v>225</v>
      </c>
      <c r="D30" s="424">
        <f>SUM(D22:D29)</f>
        <v>18573201</v>
      </c>
      <c r="E30" s="1412">
        <f>SUM(E22:E29)</f>
        <v>20242164</v>
      </c>
      <c r="F30" s="399"/>
      <c r="G30" s="179" t="s">
        <v>226</v>
      </c>
      <c r="H30" s="424">
        <f>SUM(H22:H29)</f>
        <v>319022</v>
      </c>
      <c r="I30" s="433">
        <f>SUM(I22:I29)</f>
        <v>319022</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9" s="1" customFormat="1" ht="30" customHeight="1" thickBot="1" thickTop="1">
      <c r="A31" s="104">
        <v>25</v>
      </c>
      <c r="B31" s="401"/>
      <c r="C31" s="179" t="s">
        <v>227</v>
      </c>
      <c r="D31" s="421">
        <f>SUM(D21,D30)</f>
        <v>46422015</v>
      </c>
      <c r="E31" s="1410">
        <f>SUM(E21,E30)</f>
        <v>54086918</v>
      </c>
      <c r="F31" s="402"/>
      <c r="G31" s="179" t="s">
        <v>228</v>
      </c>
      <c r="H31" s="421">
        <f>SUM(H21,H30)</f>
        <v>46422015</v>
      </c>
      <c r="I31" s="393">
        <f>SUM(I21,I30)</f>
        <v>54086918</v>
      </c>
    </row>
    <row r="32" spans="1:9" s="1" customFormat="1" ht="18" thickTop="1">
      <c r="A32" s="104">
        <v>26</v>
      </c>
      <c r="B32" s="403"/>
      <c r="C32" s="404" t="s">
        <v>181</v>
      </c>
      <c r="D32" s="425">
        <f>+D21-H21</f>
        <v>-18254179</v>
      </c>
      <c r="E32" s="1413">
        <f>+E21-I21</f>
        <v>-19923142</v>
      </c>
      <c r="F32" s="405"/>
      <c r="G32" s="406"/>
      <c r="H32" s="423"/>
      <c r="I32" s="432"/>
    </row>
    <row r="33" spans="1:9" s="1" customFormat="1" ht="17.25">
      <c r="A33" s="104">
        <v>27</v>
      </c>
      <c r="B33" s="407"/>
      <c r="C33" s="408" t="s">
        <v>229</v>
      </c>
      <c r="D33" s="426">
        <f>+D14-H14</f>
        <v>-614829</v>
      </c>
      <c r="E33" s="1414">
        <f>+E14-I14</f>
        <v>-1868893</v>
      </c>
      <c r="F33" s="405"/>
      <c r="G33" s="406"/>
      <c r="H33" s="423"/>
      <c r="I33" s="432"/>
    </row>
    <row r="34" spans="1:9" s="1" customFormat="1" ht="17.25">
      <c r="A34" s="104">
        <v>28</v>
      </c>
      <c r="B34" s="407"/>
      <c r="C34" s="408" t="s">
        <v>230</v>
      </c>
      <c r="D34" s="426">
        <f>+D20-H20</f>
        <v>-17639350</v>
      </c>
      <c r="E34" s="1414">
        <f>+E20-I20</f>
        <v>-18054249</v>
      </c>
      <c r="F34" s="405"/>
      <c r="G34" s="406"/>
      <c r="H34" s="423"/>
      <c r="I34" s="432"/>
    </row>
    <row r="35" spans="1:9" s="1" customFormat="1" ht="17.25">
      <c r="A35" s="104">
        <v>29</v>
      </c>
      <c r="B35" s="407"/>
      <c r="C35" s="409" t="s">
        <v>231</v>
      </c>
      <c r="D35" s="426">
        <f>+D32-H30</f>
        <v>-18573201</v>
      </c>
      <c r="E35" s="1414">
        <f>+E32-I30</f>
        <v>-20242164</v>
      </c>
      <c r="F35" s="405"/>
      <c r="G35" s="406"/>
      <c r="H35" s="423"/>
      <c r="I35" s="432"/>
    </row>
    <row r="36" spans="1:9" s="1" customFormat="1" ht="32.25" customHeight="1">
      <c r="A36" s="104">
        <v>30</v>
      </c>
      <c r="B36" s="407"/>
      <c r="C36" s="410" t="s">
        <v>341</v>
      </c>
      <c r="D36" s="426">
        <f>D29+D24</f>
        <v>17396684</v>
      </c>
      <c r="E36" s="1414">
        <f>E29+E24</f>
        <v>19065647</v>
      </c>
      <c r="F36" s="405"/>
      <c r="G36" s="406"/>
      <c r="H36" s="423"/>
      <c r="I36" s="432"/>
    </row>
    <row r="37" spans="1:9" s="1" customFormat="1" ht="33.75" customHeight="1">
      <c r="A37" s="104">
        <v>31</v>
      </c>
      <c r="B37" s="411"/>
      <c r="C37" s="412" t="s">
        <v>342</v>
      </c>
      <c r="D37" s="427">
        <f>D27</f>
        <v>1176517</v>
      </c>
      <c r="E37" s="1415">
        <f>E27</f>
        <v>1176517</v>
      </c>
      <c r="F37" s="413"/>
      <c r="G37" s="414"/>
      <c r="H37" s="1421"/>
      <c r="I37" s="434"/>
    </row>
    <row r="38" spans="1:9" ht="19.5" customHeight="1">
      <c r="A38" s="104">
        <v>32</v>
      </c>
      <c r="B38" s="415"/>
      <c r="C38" s="106" t="s">
        <v>232</v>
      </c>
      <c r="D38" s="428">
        <f>(D14+D23+D24+D25)/D31</f>
        <v>0.34885112160684967</v>
      </c>
      <c r="E38" s="1416">
        <f>(E14+E23+E24+E25)/E31</f>
        <v>0.34751477242611606</v>
      </c>
      <c r="F38" s="416"/>
      <c r="G38" s="106" t="s">
        <v>233</v>
      </c>
      <c r="H38" s="428">
        <f>(H14+H23+H24)/H31</f>
        <v>0.33600702166849067</v>
      </c>
      <c r="I38" s="435">
        <f>(I14+I23+I24)/I31</f>
        <v>0.3318494501757338</v>
      </c>
    </row>
    <row r="39" spans="1:9" ht="19.5" customHeight="1" thickBot="1">
      <c r="A39" s="104">
        <v>33</v>
      </c>
      <c r="B39" s="417"/>
      <c r="C39" s="418" t="s">
        <v>234</v>
      </c>
      <c r="D39" s="429">
        <f>(D20+D27+D28+D29)/D31</f>
        <v>0.6511488783931503</v>
      </c>
      <c r="E39" s="1417">
        <f>(E20+E27+E28+E29)/E31</f>
        <v>0.6524852275738839</v>
      </c>
      <c r="F39" s="419"/>
      <c r="G39" s="418" t="s">
        <v>235</v>
      </c>
      <c r="H39" s="429">
        <f>(H20+H27+H28)/H31</f>
        <v>0.6639929783315093</v>
      </c>
      <c r="I39" s="436">
        <f>(I20+I27+I28)/I31</f>
        <v>0.6681505498242661</v>
      </c>
    </row>
    <row r="40" ht="16.5">
      <c r="G40" s="106" t="s">
        <v>236</v>
      </c>
    </row>
  </sheetData>
  <sheetProtection/>
  <mergeCells count="4">
    <mergeCell ref="B2:C2"/>
    <mergeCell ref="B3:H3"/>
    <mergeCell ref="B4:H4"/>
    <mergeCell ref="B1:M1"/>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63" r:id="rId1"/>
  <headerFooter alignWithMargins="0">
    <oddFooter>&amp;C-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83"/>
  <sheetViews>
    <sheetView view="pageBreakPreview" zoomScaleSheetLayoutView="100" zoomScalePageLayoutView="0" workbookViewId="0" topLeftCell="A1">
      <selection activeCell="B1" sqref="B1:G1"/>
    </sheetView>
  </sheetViews>
  <sheetFormatPr defaultColWidth="31.25390625" defaultRowHeight="12.75"/>
  <cols>
    <col min="1" max="1" width="3.75390625" style="1615" customWidth="1"/>
    <col min="2" max="2" width="4.75390625" style="1847" customWidth="1"/>
    <col min="3" max="3" width="50.75390625" style="1842" customWidth="1"/>
    <col min="4" max="6" width="13.75390625" style="1852" customWidth="1"/>
    <col min="7" max="7" width="30.75390625" style="1855" customWidth="1"/>
    <col min="8" max="8" width="12.125" style="1838" customWidth="1"/>
    <col min="9" max="9" width="12.875" style="1838" customWidth="1"/>
    <col min="10" max="16384" width="31.25390625" style="1838" customWidth="1"/>
  </cols>
  <sheetData>
    <row r="1" spans="2:13" ht="34.5" customHeight="1">
      <c r="B1" s="2092" t="s">
        <v>1110</v>
      </c>
      <c r="C1" s="2092"/>
      <c r="D1" s="2092"/>
      <c r="E1" s="2092"/>
      <c r="F1" s="2092"/>
      <c r="G1" s="2092"/>
      <c r="H1" s="1064"/>
      <c r="I1" s="1064"/>
      <c r="J1" s="1064"/>
      <c r="K1" s="1064"/>
      <c r="L1" s="1064"/>
      <c r="M1" s="1064"/>
    </row>
    <row r="2" spans="1:7" ht="16.5">
      <c r="A2" s="1840"/>
      <c r="B2" s="2050" t="s">
        <v>971</v>
      </c>
      <c r="C2" s="2050"/>
      <c r="D2" s="2050"/>
      <c r="E2" s="1851"/>
      <c r="G2" s="1853"/>
    </row>
    <row r="3" spans="1:7" ht="24.75" customHeight="1">
      <c r="A3" s="1840"/>
      <c r="C3" s="2049" t="s">
        <v>111</v>
      </c>
      <c r="D3" s="2049"/>
      <c r="E3" s="2049"/>
      <c r="F3" s="2049"/>
      <c r="G3" s="2049"/>
    </row>
    <row r="4" spans="1:7" ht="24.75" customHeight="1">
      <c r="A4" s="1840"/>
      <c r="B4" s="2049" t="s">
        <v>972</v>
      </c>
      <c r="C4" s="2049"/>
      <c r="D4" s="2049"/>
      <c r="E4" s="2049"/>
      <c r="F4" s="2049"/>
      <c r="G4" s="2049"/>
    </row>
    <row r="5" spans="1:7" s="1856" customFormat="1" ht="18" customHeight="1" thickBot="1">
      <c r="A5" s="1615"/>
      <c r="B5" s="1607" t="s">
        <v>1</v>
      </c>
      <c r="C5" s="1854" t="s">
        <v>3</v>
      </c>
      <c r="D5" s="1855" t="s">
        <v>2</v>
      </c>
      <c r="E5" s="1855" t="s">
        <v>4</v>
      </c>
      <c r="F5" s="1855" t="s">
        <v>5</v>
      </c>
      <c r="G5" s="1855" t="s">
        <v>15</v>
      </c>
    </row>
    <row r="6" spans="2:7" ht="72" customHeight="1" thickBot="1">
      <c r="B6" s="1857" t="s">
        <v>18</v>
      </c>
      <c r="C6" s="1858" t="s">
        <v>6</v>
      </c>
      <c r="D6" s="1859" t="s">
        <v>973</v>
      </c>
      <c r="E6" s="1859" t="s">
        <v>112</v>
      </c>
      <c r="F6" s="1859" t="s">
        <v>974</v>
      </c>
      <c r="G6" s="1860" t="s">
        <v>975</v>
      </c>
    </row>
    <row r="7" spans="1:7" s="1618" customFormat="1" ht="21.75" customHeight="1" thickTop="1">
      <c r="A7" s="1607">
        <v>1</v>
      </c>
      <c r="B7" s="1861">
        <v>1</v>
      </c>
      <c r="C7" s="1862" t="s">
        <v>286</v>
      </c>
      <c r="D7" s="1863">
        <v>38</v>
      </c>
      <c r="E7" s="1863"/>
      <c r="F7" s="1863">
        <f aca="true" t="shared" si="0" ref="F7:F25">SUM(D7:E7)</f>
        <v>38</v>
      </c>
      <c r="G7" s="1864"/>
    </row>
    <row r="8" spans="1:7" s="1618" customFormat="1" ht="21.75" customHeight="1">
      <c r="A8" s="1607">
        <v>2</v>
      </c>
      <c r="B8" s="1861">
        <v>2</v>
      </c>
      <c r="C8" s="1862" t="s">
        <v>285</v>
      </c>
      <c r="D8" s="1863">
        <v>70</v>
      </c>
      <c r="E8" s="1863"/>
      <c r="F8" s="1863">
        <f t="shared" si="0"/>
        <v>70</v>
      </c>
      <c r="G8" s="1864"/>
    </row>
    <row r="9" spans="1:7" s="1618" customFormat="1" ht="21.75" customHeight="1">
      <c r="A9" s="1607">
        <v>3</v>
      </c>
      <c r="B9" s="1861">
        <v>3</v>
      </c>
      <c r="C9" s="1862" t="s">
        <v>247</v>
      </c>
      <c r="D9" s="1863">
        <v>83.5</v>
      </c>
      <c r="E9" s="1863"/>
      <c r="F9" s="1863">
        <f t="shared" si="0"/>
        <v>83.5</v>
      </c>
      <c r="G9" s="1864"/>
    </row>
    <row r="10" spans="1:7" s="1618" customFormat="1" ht="21.75" customHeight="1">
      <c r="A10" s="1607">
        <v>4</v>
      </c>
      <c r="B10" s="1861">
        <v>4</v>
      </c>
      <c r="C10" s="1862" t="s">
        <v>248</v>
      </c>
      <c r="D10" s="1863">
        <v>60</v>
      </c>
      <c r="E10" s="1863"/>
      <c r="F10" s="1863">
        <f t="shared" si="0"/>
        <v>60</v>
      </c>
      <c r="G10" s="1864"/>
    </row>
    <row r="11" spans="1:7" s="1618" customFormat="1" ht="21.75" customHeight="1">
      <c r="A11" s="1607">
        <v>5</v>
      </c>
      <c r="B11" s="1861">
        <v>5</v>
      </c>
      <c r="C11" s="1862" t="s">
        <v>249</v>
      </c>
      <c r="D11" s="1863">
        <v>61.5</v>
      </c>
      <c r="E11" s="1863"/>
      <c r="F11" s="1863">
        <f t="shared" si="0"/>
        <v>61.5</v>
      </c>
      <c r="G11" s="1864"/>
    </row>
    <row r="12" spans="1:7" s="1618" customFormat="1" ht="21.75" customHeight="1">
      <c r="A12" s="1607">
        <v>6</v>
      </c>
      <c r="B12" s="1861">
        <v>6</v>
      </c>
      <c r="C12" s="1862" t="s">
        <v>250</v>
      </c>
      <c r="D12" s="1863">
        <v>36</v>
      </c>
      <c r="E12" s="1863"/>
      <c r="F12" s="1863">
        <f t="shared" si="0"/>
        <v>36</v>
      </c>
      <c r="G12" s="1864"/>
    </row>
    <row r="13" spans="1:7" s="1839" customFormat="1" ht="17.25">
      <c r="A13" s="1607">
        <v>7</v>
      </c>
      <c r="B13" s="1865"/>
      <c r="C13" s="1866" t="s">
        <v>976</v>
      </c>
      <c r="D13" s="1867">
        <v>0</v>
      </c>
      <c r="E13" s="1867"/>
      <c r="F13" s="1867">
        <f t="shared" si="0"/>
        <v>0</v>
      </c>
      <c r="G13" s="1868"/>
    </row>
    <row r="14" spans="1:7" s="1618" customFormat="1" ht="33">
      <c r="A14" s="1607">
        <v>8</v>
      </c>
      <c r="B14" s="1861">
        <v>7</v>
      </c>
      <c r="C14" s="1869" t="s">
        <v>296</v>
      </c>
      <c r="D14" s="1863">
        <v>200</v>
      </c>
      <c r="E14" s="1863"/>
      <c r="F14" s="1863">
        <f t="shared" si="0"/>
        <v>200</v>
      </c>
      <c r="G14" s="1870"/>
    </row>
    <row r="15" spans="1:7" ht="33" customHeight="1">
      <c r="A15" s="1607">
        <v>9</v>
      </c>
      <c r="B15" s="1861">
        <v>8</v>
      </c>
      <c r="C15" s="1871" t="s">
        <v>113</v>
      </c>
      <c r="D15" s="1863">
        <v>13.25</v>
      </c>
      <c r="E15" s="1863"/>
      <c r="F15" s="1863">
        <f t="shared" si="0"/>
        <v>13.25</v>
      </c>
      <c r="G15" s="1872"/>
    </row>
    <row r="16" spans="1:7" ht="33" customHeight="1">
      <c r="A16" s="1607">
        <v>10</v>
      </c>
      <c r="B16" s="1861">
        <v>9</v>
      </c>
      <c r="C16" s="1871" t="s">
        <v>376</v>
      </c>
      <c r="D16" s="1863">
        <v>64</v>
      </c>
      <c r="E16" s="1863"/>
      <c r="F16" s="1863">
        <f t="shared" si="0"/>
        <v>64</v>
      </c>
      <c r="G16" s="1872" t="s">
        <v>1052</v>
      </c>
    </row>
    <row r="17" spans="1:7" ht="21.75" customHeight="1">
      <c r="A17" s="1607">
        <v>12</v>
      </c>
      <c r="B17" s="1873">
        <v>10</v>
      </c>
      <c r="C17" s="1874" t="s">
        <v>377</v>
      </c>
      <c r="D17" s="1852">
        <v>24.25</v>
      </c>
      <c r="F17" s="1852">
        <f t="shared" si="0"/>
        <v>24.25</v>
      </c>
      <c r="G17" s="1872"/>
    </row>
    <row r="18" spans="1:7" ht="33" customHeight="1">
      <c r="A18" s="1607">
        <v>13</v>
      </c>
      <c r="B18" s="1861">
        <v>11</v>
      </c>
      <c r="C18" s="1871" t="s">
        <v>370</v>
      </c>
      <c r="D18" s="1852">
        <v>23</v>
      </c>
      <c r="F18" s="1852">
        <f t="shared" si="0"/>
        <v>23</v>
      </c>
      <c r="G18" s="1875" t="s">
        <v>977</v>
      </c>
    </row>
    <row r="19" spans="1:7" s="1618" customFormat="1" ht="21.75" customHeight="1">
      <c r="A19" s="1607">
        <v>14</v>
      </c>
      <c r="B19" s="1873">
        <v>12</v>
      </c>
      <c r="C19" s="1876" t="s">
        <v>24</v>
      </c>
      <c r="D19" s="1863">
        <v>51.5</v>
      </c>
      <c r="E19" s="1863"/>
      <c r="F19" s="1863">
        <f t="shared" si="0"/>
        <v>51.5</v>
      </c>
      <c r="G19" s="1864"/>
    </row>
    <row r="20" spans="1:7" s="1618" customFormat="1" ht="27.75" customHeight="1">
      <c r="A20" s="1607">
        <v>15</v>
      </c>
      <c r="B20" s="1873">
        <v>13</v>
      </c>
      <c r="C20" s="1876" t="s">
        <v>31</v>
      </c>
      <c r="D20" s="1863">
        <v>53</v>
      </c>
      <c r="E20" s="1863"/>
      <c r="F20" s="1863">
        <f t="shared" si="0"/>
        <v>53</v>
      </c>
      <c r="G20" s="1877"/>
    </row>
    <row r="21" spans="1:7" s="1839" customFormat="1" ht="34.5">
      <c r="A21" s="1607">
        <v>16</v>
      </c>
      <c r="B21" s="1861"/>
      <c r="C21" s="1866" t="s">
        <v>978</v>
      </c>
      <c r="D21" s="1863">
        <v>6</v>
      </c>
      <c r="E21" s="1863"/>
      <c r="F21" s="1863">
        <f t="shared" si="0"/>
        <v>6</v>
      </c>
      <c r="G21" s="1878"/>
    </row>
    <row r="22" spans="1:7" ht="28.5">
      <c r="A22" s="1607">
        <v>18</v>
      </c>
      <c r="B22" s="1873">
        <v>14</v>
      </c>
      <c r="C22" s="1874" t="s">
        <v>979</v>
      </c>
      <c r="D22" s="1863">
        <v>20</v>
      </c>
      <c r="E22" s="1863">
        <v>2</v>
      </c>
      <c r="F22" s="1863">
        <f t="shared" si="0"/>
        <v>22</v>
      </c>
      <c r="G22" s="1878" t="s">
        <v>984</v>
      </c>
    </row>
    <row r="23" spans="1:7" s="1839" customFormat="1" ht="21.75" customHeight="1">
      <c r="A23" s="1607">
        <v>19</v>
      </c>
      <c r="B23" s="1861"/>
      <c r="C23" s="1866" t="s">
        <v>976</v>
      </c>
      <c r="D23" s="1867">
        <v>2</v>
      </c>
      <c r="E23" s="1867"/>
      <c r="F23" s="1867">
        <f t="shared" si="0"/>
        <v>2</v>
      </c>
      <c r="G23" s="1868"/>
    </row>
    <row r="24" spans="1:7" s="1618" customFormat="1" ht="21.75" customHeight="1">
      <c r="A24" s="1607">
        <v>20</v>
      </c>
      <c r="B24" s="1873">
        <v>15</v>
      </c>
      <c r="C24" s="1876" t="s">
        <v>142</v>
      </c>
      <c r="D24" s="1863">
        <v>102</v>
      </c>
      <c r="E24" s="1863"/>
      <c r="F24" s="1863">
        <f t="shared" si="0"/>
        <v>102</v>
      </c>
      <c r="G24" s="1864"/>
    </row>
    <row r="25" spans="1:7" ht="21.75" customHeight="1" thickBot="1">
      <c r="A25" s="1607">
        <v>21</v>
      </c>
      <c r="B25" s="1879">
        <v>16</v>
      </c>
      <c r="C25" s="1880" t="s">
        <v>251</v>
      </c>
      <c r="D25" s="1881">
        <v>53.25</v>
      </c>
      <c r="E25" s="1881"/>
      <c r="F25" s="1881">
        <f t="shared" si="0"/>
        <v>53.25</v>
      </c>
      <c r="G25" s="1882"/>
    </row>
    <row r="26" spans="1:7" ht="30" customHeight="1" thickBot="1" thickTop="1">
      <c r="A26" s="1607">
        <v>22</v>
      </c>
      <c r="B26" s="1883"/>
      <c r="C26" s="1884" t="s">
        <v>980</v>
      </c>
      <c r="D26" s="1885">
        <f>SUM(D7:D25)</f>
        <v>961.25</v>
      </c>
      <c r="E26" s="1885">
        <f>SUM(E7:E25)</f>
        <v>2</v>
      </c>
      <c r="F26" s="1885">
        <f>SUM(F7:F25)</f>
        <v>963.25</v>
      </c>
      <c r="G26" s="1886"/>
    </row>
    <row r="27" spans="1:7" ht="21.75" customHeight="1">
      <c r="A27" s="1607">
        <v>23</v>
      </c>
      <c r="B27" s="1873">
        <v>17</v>
      </c>
      <c r="C27" s="1874" t="s">
        <v>25</v>
      </c>
      <c r="D27" s="1852">
        <v>200</v>
      </c>
      <c r="F27" s="1852">
        <f>SUM(D27:E27)</f>
        <v>200</v>
      </c>
      <c r="G27" s="1872"/>
    </row>
    <row r="28" spans="1:7" ht="21.75" customHeight="1">
      <c r="A28" s="1607">
        <v>24</v>
      </c>
      <c r="B28" s="1873">
        <v>18</v>
      </c>
      <c r="C28" s="1874" t="s">
        <v>114</v>
      </c>
      <c r="D28" s="1838"/>
      <c r="E28" s="1838"/>
      <c r="F28" s="1838">
        <f>SUM(D28:E28)</f>
        <v>0</v>
      </c>
      <c r="G28" s="1875" t="s">
        <v>236</v>
      </c>
    </row>
    <row r="29" spans="1:7" ht="21.75" customHeight="1">
      <c r="A29" s="1607">
        <v>25</v>
      </c>
      <c r="B29" s="1887"/>
      <c r="C29" s="1888" t="s">
        <v>981</v>
      </c>
      <c r="D29" s="1852">
        <v>3</v>
      </c>
      <c r="F29" s="1852">
        <f>SUM(D29:E29)</f>
        <v>3</v>
      </c>
      <c r="G29" s="1875"/>
    </row>
    <row r="30" spans="1:7" s="1839" customFormat="1" ht="21.75" customHeight="1" thickBot="1">
      <c r="A30" s="1607">
        <v>26</v>
      </c>
      <c r="B30" s="1861"/>
      <c r="C30" s="1866" t="s">
        <v>982</v>
      </c>
      <c r="D30" s="1867">
        <v>4</v>
      </c>
      <c r="E30" s="1867"/>
      <c r="F30" s="1867">
        <f>SUM(D30:E30)</f>
        <v>4</v>
      </c>
      <c r="G30" s="1877"/>
    </row>
    <row r="31" spans="1:7" ht="30" customHeight="1">
      <c r="A31" s="1607">
        <v>27</v>
      </c>
      <c r="B31" s="1889"/>
      <c r="C31" s="1890" t="s">
        <v>13</v>
      </c>
      <c r="D31" s="1891">
        <f>SUM(D26:D30)</f>
        <v>1168.25</v>
      </c>
      <c r="E31" s="1891">
        <f>SUM(E26:E30)</f>
        <v>2</v>
      </c>
      <c r="F31" s="1891">
        <f>SUM(F26:F30)</f>
        <v>1170.25</v>
      </c>
      <c r="G31" s="1892"/>
    </row>
    <row r="32" spans="1:7" ht="16.5" customHeight="1">
      <c r="A32" s="1607">
        <v>28</v>
      </c>
      <c r="B32" s="1887"/>
      <c r="C32" s="1893" t="s">
        <v>983</v>
      </c>
      <c r="G32" s="1872"/>
    </row>
    <row r="33" spans="1:7" ht="16.5" customHeight="1" thickBot="1">
      <c r="A33" s="1607">
        <v>29</v>
      </c>
      <c r="B33" s="1883"/>
      <c r="C33" s="1894" t="s">
        <v>982</v>
      </c>
      <c r="D33" s="1895">
        <f>SUM(D13,D23,D30)</f>
        <v>6</v>
      </c>
      <c r="E33" s="1895">
        <f>SUM(E13,E23,E30)</f>
        <v>0</v>
      </c>
      <c r="F33" s="1895">
        <f>SUM(F13,F23,F30)</f>
        <v>6</v>
      </c>
      <c r="G33" s="1896"/>
    </row>
    <row r="36" spans="3:6" ht="16.5">
      <c r="C36" s="1897"/>
      <c r="D36" s="1853"/>
      <c r="E36" s="1853"/>
      <c r="F36" s="1853"/>
    </row>
    <row r="37" spans="3:6" ht="16.5">
      <c r="C37" s="1897"/>
      <c r="D37" s="1853"/>
      <c r="E37" s="1853"/>
      <c r="F37" s="1853"/>
    </row>
    <row r="38" spans="3:6" ht="16.5">
      <c r="C38" s="1897"/>
      <c r="D38" s="1853"/>
      <c r="E38" s="1853"/>
      <c r="F38" s="1853"/>
    </row>
    <row r="44" spans="1:7" s="1841" customFormat="1" ht="17.25">
      <c r="A44" s="1898"/>
      <c r="B44" s="1848"/>
      <c r="C44" s="1843"/>
      <c r="D44" s="1899"/>
      <c r="E44" s="1899"/>
      <c r="F44" s="1899"/>
      <c r="G44" s="1900"/>
    </row>
    <row r="46" spans="1:7" s="1841" customFormat="1" ht="17.25">
      <c r="A46" s="1898"/>
      <c r="B46" s="1848"/>
      <c r="C46" s="1843"/>
      <c r="D46" s="1899"/>
      <c r="E46" s="1899"/>
      <c r="F46" s="1899"/>
      <c r="G46" s="1900"/>
    </row>
    <row r="49" spans="1:7" s="1841" customFormat="1" ht="17.25">
      <c r="A49" s="1898"/>
      <c r="B49" s="1848"/>
      <c r="C49" s="1843"/>
      <c r="D49" s="1899"/>
      <c r="E49" s="1899"/>
      <c r="F49" s="1899"/>
      <c r="G49" s="1900"/>
    </row>
    <row r="67" spans="1:7" s="1841" customFormat="1" ht="17.25">
      <c r="A67" s="1898"/>
      <c r="B67" s="1848"/>
      <c r="C67" s="1843"/>
      <c r="D67" s="1899"/>
      <c r="E67" s="1899"/>
      <c r="F67" s="1899"/>
      <c r="G67" s="1900"/>
    </row>
    <row r="76" ht="16.5">
      <c r="D76" s="1901"/>
    </row>
    <row r="77" ht="16.5">
      <c r="D77" s="1901"/>
    </row>
    <row r="78" ht="16.5">
      <c r="D78" s="1901"/>
    </row>
    <row r="79" ht="16.5">
      <c r="D79" s="1901"/>
    </row>
    <row r="80" ht="16.5">
      <c r="D80" s="1901"/>
    </row>
    <row r="81" ht="16.5">
      <c r="D81" s="1901"/>
    </row>
    <row r="82" ht="16.5">
      <c r="D82" s="1901"/>
    </row>
    <row r="83" ht="16.5">
      <c r="D83" s="1901"/>
    </row>
  </sheetData>
  <sheetProtection/>
  <mergeCells count="4">
    <mergeCell ref="B2:D2"/>
    <mergeCell ref="C3:G3"/>
    <mergeCell ref="B4:G4"/>
    <mergeCell ref="B1:G1"/>
  </mergeCells>
  <printOptions horizontalCentered="1"/>
  <pageMargins left="0.1968503937007874" right="0.1968503937007874" top="0.5905511811023623" bottom="0.5905511811023623" header="0.5118110236220472" footer="0.5118110236220472"/>
  <pageSetup fitToHeight="1" fitToWidth="1" horizontalDpi="600" verticalDpi="600" orientation="portrait" paperSize="9" scale="77" r:id="rId1"/>
  <headerFooter alignWithMargins="0">
    <oddFooter>&amp;C- &amp;P -</oddFooter>
  </headerFooter>
</worksheet>
</file>

<file path=xl/worksheets/sheet17.xml><?xml version="1.0" encoding="utf-8"?>
<worksheet xmlns="http://schemas.openxmlformats.org/spreadsheetml/2006/main" xmlns:r="http://schemas.openxmlformats.org/officeDocument/2006/relationships">
  <dimension ref="A1:IP41"/>
  <sheetViews>
    <sheetView view="pageBreakPreview" zoomScaleSheetLayoutView="100" zoomScalePageLayoutView="0" workbookViewId="0" topLeftCell="B1">
      <selection activeCell="B1" sqref="B1:E1"/>
    </sheetView>
  </sheetViews>
  <sheetFormatPr defaultColWidth="3.00390625" defaultRowHeight="12.75"/>
  <cols>
    <col min="1" max="1" width="3.25390625" style="2007" bestFit="1" customWidth="1"/>
    <col min="2" max="2" width="5.125" style="2028" customWidth="1"/>
    <col min="3" max="3" width="4.375" style="2029" customWidth="1"/>
    <col min="4" max="4" width="74.00390625" style="2029" customWidth="1"/>
    <col min="5" max="5" width="20.00390625" style="2013" customWidth="1"/>
    <col min="6" max="248" width="8.00390625" style="2013" customWidth="1"/>
    <col min="249" max="249" width="3.00390625" style="2013" bestFit="1" customWidth="1"/>
    <col min="250" max="16384" width="3.00390625" style="2010" customWidth="1"/>
  </cols>
  <sheetData>
    <row r="1" spans="2:5" ht="33.75" customHeight="1">
      <c r="B1" s="2092" t="s">
        <v>1111</v>
      </c>
      <c r="C1" s="2092"/>
      <c r="D1" s="2092"/>
      <c r="E1" s="2092"/>
    </row>
    <row r="2" spans="2:250" ht="16.5">
      <c r="B2" s="2346" t="s">
        <v>1060</v>
      </c>
      <c r="C2" s="2346"/>
      <c r="D2" s="2347"/>
      <c r="E2" s="2008"/>
      <c r="F2" s="2008"/>
      <c r="G2" s="2008"/>
      <c r="H2" s="2008"/>
      <c r="I2" s="2008"/>
      <c r="J2" s="2008"/>
      <c r="K2" s="2008"/>
      <c r="L2" s="2008"/>
      <c r="M2" s="2008"/>
      <c r="N2" s="2008"/>
      <c r="O2" s="2008"/>
      <c r="P2" s="2008"/>
      <c r="Q2" s="2008"/>
      <c r="R2" s="2008"/>
      <c r="S2" s="2008"/>
      <c r="T2" s="2008"/>
      <c r="U2" s="2008"/>
      <c r="V2" s="2008"/>
      <c r="W2" s="2008"/>
      <c r="X2" s="2008"/>
      <c r="Y2" s="2008"/>
      <c r="Z2" s="2008"/>
      <c r="AA2" s="2008"/>
      <c r="AB2" s="2008"/>
      <c r="AC2" s="2008"/>
      <c r="AD2" s="2008"/>
      <c r="AE2" s="2008"/>
      <c r="AF2" s="2008"/>
      <c r="AG2" s="2008"/>
      <c r="AH2" s="2008"/>
      <c r="AI2" s="2008"/>
      <c r="AJ2" s="2008"/>
      <c r="AK2" s="2008"/>
      <c r="AL2" s="2008"/>
      <c r="AM2" s="2008"/>
      <c r="AN2" s="2008"/>
      <c r="AO2" s="2008"/>
      <c r="AP2" s="2008"/>
      <c r="AQ2" s="2008"/>
      <c r="AR2" s="2008"/>
      <c r="AS2" s="2008"/>
      <c r="AT2" s="2008"/>
      <c r="AU2" s="2008"/>
      <c r="AV2" s="2008"/>
      <c r="AW2" s="2008"/>
      <c r="AX2" s="2008"/>
      <c r="AY2" s="2008"/>
      <c r="AZ2" s="2008"/>
      <c r="BA2" s="2008"/>
      <c r="BB2" s="2008"/>
      <c r="BC2" s="2008"/>
      <c r="BD2" s="2008"/>
      <c r="BE2" s="2008"/>
      <c r="BF2" s="2008"/>
      <c r="BG2" s="2008"/>
      <c r="BH2" s="2008"/>
      <c r="BI2" s="2008"/>
      <c r="BJ2" s="2008"/>
      <c r="BK2" s="2008"/>
      <c r="BL2" s="2008"/>
      <c r="BM2" s="2008"/>
      <c r="BN2" s="2008"/>
      <c r="BO2" s="2008"/>
      <c r="BP2" s="2008"/>
      <c r="BQ2" s="2008"/>
      <c r="BR2" s="2008"/>
      <c r="BS2" s="2008"/>
      <c r="BT2" s="2008"/>
      <c r="BU2" s="2008"/>
      <c r="BV2" s="2008"/>
      <c r="BW2" s="2008"/>
      <c r="BX2" s="2008"/>
      <c r="BY2" s="2008"/>
      <c r="BZ2" s="2008"/>
      <c r="CA2" s="2008"/>
      <c r="CB2" s="2008"/>
      <c r="CC2" s="2008"/>
      <c r="CD2" s="2008"/>
      <c r="CE2" s="2008"/>
      <c r="CF2" s="2008"/>
      <c r="CG2" s="2008"/>
      <c r="CH2" s="2008"/>
      <c r="CI2" s="2008"/>
      <c r="CJ2" s="2008"/>
      <c r="CK2" s="2008"/>
      <c r="CL2" s="2008"/>
      <c r="CM2" s="2008"/>
      <c r="CN2" s="2008"/>
      <c r="CO2" s="2008"/>
      <c r="CP2" s="2008"/>
      <c r="CQ2" s="2008"/>
      <c r="CR2" s="2008"/>
      <c r="CS2" s="2008"/>
      <c r="CT2" s="2008"/>
      <c r="CU2" s="2008"/>
      <c r="CV2" s="2008"/>
      <c r="CW2" s="2008"/>
      <c r="CX2" s="2008"/>
      <c r="CY2" s="2008"/>
      <c r="CZ2" s="2008"/>
      <c r="DA2" s="2008"/>
      <c r="DB2" s="2008"/>
      <c r="DC2" s="2008"/>
      <c r="DD2" s="2008"/>
      <c r="DE2" s="2008"/>
      <c r="DF2" s="2008"/>
      <c r="DG2" s="2008"/>
      <c r="DH2" s="2008"/>
      <c r="DI2" s="2008"/>
      <c r="DJ2" s="2008"/>
      <c r="DK2" s="2008"/>
      <c r="DL2" s="2008"/>
      <c r="DM2" s="2008"/>
      <c r="DN2" s="2008"/>
      <c r="DO2" s="2008"/>
      <c r="DP2" s="2008"/>
      <c r="DQ2" s="2008"/>
      <c r="DR2" s="2008"/>
      <c r="DS2" s="2008"/>
      <c r="DT2" s="2008"/>
      <c r="DU2" s="2008"/>
      <c r="DV2" s="2008"/>
      <c r="DW2" s="2008"/>
      <c r="DX2" s="2008"/>
      <c r="DY2" s="2008"/>
      <c r="DZ2" s="2008"/>
      <c r="EA2" s="2008"/>
      <c r="EB2" s="2008"/>
      <c r="EC2" s="2008"/>
      <c r="ED2" s="2008"/>
      <c r="EE2" s="2008"/>
      <c r="EF2" s="2008"/>
      <c r="EG2" s="2008"/>
      <c r="EH2" s="2008"/>
      <c r="EI2" s="2008"/>
      <c r="EJ2" s="2008"/>
      <c r="EK2" s="2008"/>
      <c r="EL2" s="2008"/>
      <c r="EM2" s="2008"/>
      <c r="EN2" s="2008"/>
      <c r="EO2" s="2008"/>
      <c r="EP2" s="2008"/>
      <c r="EQ2" s="2008"/>
      <c r="ER2" s="2008"/>
      <c r="ES2" s="2008"/>
      <c r="ET2" s="2008"/>
      <c r="EU2" s="2008"/>
      <c r="EV2" s="2008"/>
      <c r="EW2" s="2008"/>
      <c r="EX2" s="2008"/>
      <c r="EY2" s="2008"/>
      <c r="EZ2" s="2008"/>
      <c r="FA2" s="2008"/>
      <c r="FB2" s="2008"/>
      <c r="FC2" s="2008"/>
      <c r="FD2" s="2008"/>
      <c r="FE2" s="2008"/>
      <c r="FF2" s="2008"/>
      <c r="FG2" s="2008"/>
      <c r="FH2" s="2008"/>
      <c r="FI2" s="2008"/>
      <c r="FJ2" s="2008"/>
      <c r="FK2" s="2008"/>
      <c r="FL2" s="2008"/>
      <c r="FM2" s="2008"/>
      <c r="FN2" s="2008"/>
      <c r="FO2" s="2008"/>
      <c r="FP2" s="2008"/>
      <c r="FQ2" s="2008"/>
      <c r="FR2" s="2008"/>
      <c r="FS2" s="2008"/>
      <c r="FT2" s="2008"/>
      <c r="FU2" s="2008"/>
      <c r="FV2" s="2008"/>
      <c r="FW2" s="2008"/>
      <c r="FX2" s="2008"/>
      <c r="FY2" s="2008"/>
      <c r="FZ2" s="2008"/>
      <c r="GA2" s="2008"/>
      <c r="GB2" s="2008"/>
      <c r="GC2" s="2008"/>
      <c r="GD2" s="2008"/>
      <c r="GE2" s="2008"/>
      <c r="GF2" s="2008"/>
      <c r="GG2" s="2008"/>
      <c r="GH2" s="2008"/>
      <c r="GI2" s="2008"/>
      <c r="GJ2" s="2008"/>
      <c r="GK2" s="2008"/>
      <c r="GL2" s="2008"/>
      <c r="GM2" s="2008"/>
      <c r="GN2" s="2008"/>
      <c r="GO2" s="2008"/>
      <c r="GP2" s="2008"/>
      <c r="GQ2" s="2008"/>
      <c r="GR2" s="2008"/>
      <c r="GS2" s="2008"/>
      <c r="GT2" s="2008"/>
      <c r="GU2" s="2008"/>
      <c r="GV2" s="2008"/>
      <c r="GW2" s="2008"/>
      <c r="GX2" s="2008"/>
      <c r="GY2" s="2008"/>
      <c r="GZ2" s="2008"/>
      <c r="HA2" s="2008"/>
      <c r="HB2" s="2008"/>
      <c r="HC2" s="2008"/>
      <c r="HD2" s="2008"/>
      <c r="HE2" s="2008"/>
      <c r="HF2" s="2008"/>
      <c r="HG2" s="2008"/>
      <c r="HH2" s="2008"/>
      <c r="HI2" s="2008"/>
      <c r="HJ2" s="2008"/>
      <c r="HK2" s="2008"/>
      <c r="HL2" s="2008"/>
      <c r="HM2" s="2008"/>
      <c r="HN2" s="2008"/>
      <c r="HO2" s="2008"/>
      <c r="HP2" s="2008"/>
      <c r="HQ2" s="2008"/>
      <c r="HR2" s="2008"/>
      <c r="HS2" s="2008"/>
      <c r="HT2" s="2008"/>
      <c r="HU2" s="2008"/>
      <c r="HV2" s="2008"/>
      <c r="HW2" s="2008"/>
      <c r="HX2" s="2008"/>
      <c r="HY2" s="2008"/>
      <c r="HZ2" s="2008"/>
      <c r="IA2" s="2008"/>
      <c r="IB2" s="2008"/>
      <c r="IC2" s="2008"/>
      <c r="ID2" s="2008"/>
      <c r="IE2" s="2008"/>
      <c r="IF2" s="2008"/>
      <c r="IG2" s="2008"/>
      <c r="IH2" s="2008"/>
      <c r="II2" s="2008"/>
      <c r="IJ2" s="2008"/>
      <c r="IK2" s="2008"/>
      <c r="IL2" s="2008"/>
      <c r="IM2" s="2008"/>
      <c r="IN2" s="2008"/>
      <c r="IO2" s="2008"/>
      <c r="IP2" s="2009"/>
    </row>
    <row r="3" spans="2:250" ht="16.5">
      <c r="B3" s="2011"/>
      <c r="C3" s="2011"/>
      <c r="D3" s="2011"/>
      <c r="E3" s="2008"/>
      <c r="F3" s="2008"/>
      <c r="G3" s="2008"/>
      <c r="H3" s="2008"/>
      <c r="I3" s="2008"/>
      <c r="J3" s="2008"/>
      <c r="K3" s="2008"/>
      <c r="L3" s="2008"/>
      <c r="M3" s="2008"/>
      <c r="N3" s="2008"/>
      <c r="O3" s="2008"/>
      <c r="P3" s="2008"/>
      <c r="Q3" s="2008"/>
      <c r="R3" s="2008"/>
      <c r="S3" s="2008"/>
      <c r="T3" s="2008"/>
      <c r="U3" s="2008"/>
      <c r="V3" s="2008"/>
      <c r="W3" s="2008"/>
      <c r="X3" s="2008"/>
      <c r="Y3" s="2008"/>
      <c r="Z3" s="2008"/>
      <c r="AA3" s="2008"/>
      <c r="AB3" s="2008"/>
      <c r="AC3" s="2008"/>
      <c r="AD3" s="2008"/>
      <c r="AE3" s="2008"/>
      <c r="AF3" s="2008"/>
      <c r="AG3" s="2008"/>
      <c r="AH3" s="2008"/>
      <c r="AI3" s="2008"/>
      <c r="AJ3" s="2008"/>
      <c r="AK3" s="2008"/>
      <c r="AL3" s="2008"/>
      <c r="AM3" s="2008"/>
      <c r="AN3" s="2008"/>
      <c r="AO3" s="2008"/>
      <c r="AP3" s="2008"/>
      <c r="AQ3" s="2008"/>
      <c r="AR3" s="2008"/>
      <c r="AS3" s="2008"/>
      <c r="AT3" s="2008"/>
      <c r="AU3" s="2008"/>
      <c r="AV3" s="2008"/>
      <c r="AW3" s="2008"/>
      <c r="AX3" s="2008"/>
      <c r="AY3" s="2008"/>
      <c r="AZ3" s="2008"/>
      <c r="BA3" s="2008"/>
      <c r="BB3" s="2008"/>
      <c r="BC3" s="2008"/>
      <c r="BD3" s="2008"/>
      <c r="BE3" s="2008"/>
      <c r="BF3" s="2008"/>
      <c r="BG3" s="2008"/>
      <c r="BH3" s="2008"/>
      <c r="BI3" s="2008"/>
      <c r="BJ3" s="2008"/>
      <c r="BK3" s="2008"/>
      <c r="BL3" s="2008"/>
      <c r="BM3" s="2008"/>
      <c r="BN3" s="2008"/>
      <c r="BO3" s="2008"/>
      <c r="BP3" s="2008"/>
      <c r="BQ3" s="2008"/>
      <c r="BR3" s="2008"/>
      <c r="BS3" s="2008"/>
      <c r="BT3" s="2008"/>
      <c r="BU3" s="2008"/>
      <c r="BV3" s="2008"/>
      <c r="BW3" s="2008"/>
      <c r="BX3" s="2008"/>
      <c r="BY3" s="2008"/>
      <c r="BZ3" s="2008"/>
      <c r="CA3" s="2008"/>
      <c r="CB3" s="2008"/>
      <c r="CC3" s="2008"/>
      <c r="CD3" s="2008"/>
      <c r="CE3" s="2008"/>
      <c r="CF3" s="2008"/>
      <c r="CG3" s="2008"/>
      <c r="CH3" s="2008"/>
      <c r="CI3" s="2008"/>
      <c r="CJ3" s="2008"/>
      <c r="CK3" s="2008"/>
      <c r="CL3" s="2008"/>
      <c r="CM3" s="2008"/>
      <c r="CN3" s="2008"/>
      <c r="CO3" s="2008"/>
      <c r="CP3" s="2008"/>
      <c r="CQ3" s="2008"/>
      <c r="CR3" s="2008"/>
      <c r="CS3" s="2008"/>
      <c r="CT3" s="2008"/>
      <c r="CU3" s="2008"/>
      <c r="CV3" s="2008"/>
      <c r="CW3" s="2008"/>
      <c r="CX3" s="2008"/>
      <c r="CY3" s="2008"/>
      <c r="CZ3" s="2008"/>
      <c r="DA3" s="2008"/>
      <c r="DB3" s="2008"/>
      <c r="DC3" s="2008"/>
      <c r="DD3" s="2008"/>
      <c r="DE3" s="2008"/>
      <c r="DF3" s="2008"/>
      <c r="DG3" s="2008"/>
      <c r="DH3" s="2008"/>
      <c r="DI3" s="2008"/>
      <c r="DJ3" s="2008"/>
      <c r="DK3" s="2008"/>
      <c r="DL3" s="2008"/>
      <c r="DM3" s="2008"/>
      <c r="DN3" s="2008"/>
      <c r="DO3" s="2008"/>
      <c r="DP3" s="2008"/>
      <c r="DQ3" s="2008"/>
      <c r="DR3" s="2008"/>
      <c r="DS3" s="2008"/>
      <c r="DT3" s="2008"/>
      <c r="DU3" s="2008"/>
      <c r="DV3" s="2008"/>
      <c r="DW3" s="2008"/>
      <c r="DX3" s="2008"/>
      <c r="DY3" s="2008"/>
      <c r="DZ3" s="2008"/>
      <c r="EA3" s="2008"/>
      <c r="EB3" s="2008"/>
      <c r="EC3" s="2008"/>
      <c r="ED3" s="2008"/>
      <c r="EE3" s="2008"/>
      <c r="EF3" s="2008"/>
      <c r="EG3" s="2008"/>
      <c r="EH3" s="2008"/>
      <c r="EI3" s="2008"/>
      <c r="EJ3" s="2008"/>
      <c r="EK3" s="2008"/>
      <c r="EL3" s="2008"/>
      <c r="EM3" s="2008"/>
      <c r="EN3" s="2008"/>
      <c r="EO3" s="2008"/>
      <c r="EP3" s="2008"/>
      <c r="EQ3" s="2008"/>
      <c r="ER3" s="2008"/>
      <c r="ES3" s="2008"/>
      <c r="ET3" s="2008"/>
      <c r="EU3" s="2008"/>
      <c r="EV3" s="2008"/>
      <c r="EW3" s="2008"/>
      <c r="EX3" s="2008"/>
      <c r="EY3" s="2008"/>
      <c r="EZ3" s="2008"/>
      <c r="FA3" s="2008"/>
      <c r="FB3" s="2008"/>
      <c r="FC3" s="2008"/>
      <c r="FD3" s="2008"/>
      <c r="FE3" s="2008"/>
      <c r="FF3" s="2008"/>
      <c r="FG3" s="2008"/>
      <c r="FH3" s="2008"/>
      <c r="FI3" s="2008"/>
      <c r="FJ3" s="2008"/>
      <c r="FK3" s="2008"/>
      <c r="FL3" s="2008"/>
      <c r="FM3" s="2008"/>
      <c r="FN3" s="2008"/>
      <c r="FO3" s="2008"/>
      <c r="FP3" s="2008"/>
      <c r="FQ3" s="2008"/>
      <c r="FR3" s="2008"/>
      <c r="FS3" s="2008"/>
      <c r="FT3" s="2008"/>
      <c r="FU3" s="2008"/>
      <c r="FV3" s="2008"/>
      <c r="FW3" s="2008"/>
      <c r="FX3" s="2008"/>
      <c r="FY3" s="2008"/>
      <c r="FZ3" s="2008"/>
      <c r="GA3" s="2008"/>
      <c r="GB3" s="2008"/>
      <c r="GC3" s="2008"/>
      <c r="GD3" s="2008"/>
      <c r="GE3" s="2008"/>
      <c r="GF3" s="2008"/>
      <c r="GG3" s="2008"/>
      <c r="GH3" s="2008"/>
      <c r="GI3" s="2008"/>
      <c r="GJ3" s="2008"/>
      <c r="GK3" s="2008"/>
      <c r="GL3" s="2008"/>
      <c r="GM3" s="2008"/>
      <c r="GN3" s="2008"/>
      <c r="GO3" s="2008"/>
      <c r="GP3" s="2008"/>
      <c r="GQ3" s="2008"/>
      <c r="GR3" s="2008"/>
      <c r="GS3" s="2008"/>
      <c r="GT3" s="2008"/>
      <c r="GU3" s="2008"/>
      <c r="GV3" s="2008"/>
      <c r="GW3" s="2008"/>
      <c r="GX3" s="2008"/>
      <c r="GY3" s="2008"/>
      <c r="GZ3" s="2008"/>
      <c r="HA3" s="2008"/>
      <c r="HB3" s="2008"/>
      <c r="HC3" s="2008"/>
      <c r="HD3" s="2008"/>
      <c r="HE3" s="2008"/>
      <c r="HF3" s="2008"/>
      <c r="HG3" s="2008"/>
      <c r="HH3" s="2008"/>
      <c r="HI3" s="2008"/>
      <c r="HJ3" s="2008"/>
      <c r="HK3" s="2008"/>
      <c r="HL3" s="2008"/>
      <c r="HM3" s="2008"/>
      <c r="HN3" s="2008"/>
      <c r="HO3" s="2008"/>
      <c r="HP3" s="2008"/>
      <c r="HQ3" s="2008"/>
      <c r="HR3" s="2008"/>
      <c r="HS3" s="2008"/>
      <c r="HT3" s="2008"/>
      <c r="HU3" s="2008"/>
      <c r="HV3" s="2008"/>
      <c r="HW3" s="2008"/>
      <c r="HX3" s="2008"/>
      <c r="HY3" s="2008"/>
      <c r="HZ3" s="2008"/>
      <c r="IA3" s="2008"/>
      <c r="IB3" s="2008"/>
      <c r="IC3" s="2008"/>
      <c r="ID3" s="2008"/>
      <c r="IE3" s="2008"/>
      <c r="IF3" s="2008"/>
      <c r="IG3" s="2008"/>
      <c r="IH3" s="2008"/>
      <c r="II3" s="2008"/>
      <c r="IJ3" s="2008"/>
      <c r="IK3" s="2008"/>
      <c r="IL3" s="2008"/>
      <c r="IM3" s="2008"/>
      <c r="IN3" s="2008"/>
      <c r="IO3" s="2008"/>
      <c r="IP3" s="2009"/>
    </row>
    <row r="4" spans="2:249" ht="16.5">
      <c r="B4" s="2348" t="s">
        <v>1061</v>
      </c>
      <c r="C4" s="2348"/>
      <c r="D4" s="2348"/>
      <c r="E4" s="2348"/>
      <c r="F4" s="2012"/>
      <c r="G4" s="2012"/>
      <c r="H4" s="2012"/>
      <c r="I4" s="2012"/>
      <c r="J4" s="2012"/>
      <c r="K4" s="2012"/>
      <c r="L4" s="2012"/>
      <c r="M4" s="2012"/>
      <c r="N4" s="2012"/>
      <c r="O4" s="2012"/>
      <c r="P4" s="2012"/>
      <c r="Q4" s="2012"/>
      <c r="R4" s="2012"/>
      <c r="S4" s="2012"/>
      <c r="T4" s="2012"/>
      <c r="U4" s="2012"/>
      <c r="V4" s="2012"/>
      <c r="W4" s="2012"/>
      <c r="X4" s="2012"/>
      <c r="Y4" s="2012"/>
      <c r="Z4" s="2012"/>
      <c r="AA4" s="2012"/>
      <c r="AB4" s="2012"/>
      <c r="AC4" s="2012"/>
      <c r="AD4" s="2012"/>
      <c r="AE4" s="2012"/>
      <c r="AF4" s="2012"/>
      <c r="AG4" s="2012"/>
      <c r="AH4" s="2012"/>
      <c r="AI4" s="2012"/>
      <c r="AJ4" s="2012"/>
      <c r="AK4" s="2012"/>
      <c r="AL4" s="2012"/>
      <c r="AM4" s="2012"/>
      <c r="AN4" s="2012"/>
      <c r="AO4" s="2012"/>
      <c r="AP4" s="2012"/>
      <c r="AQ4" s="2012"/>
      <c r="AR4" s="2012"/>
      <c r="AS4" s="2012"/>
      <c r="AT4" s="2012"/>
      <c r="AU4" s="2012"/>
      <c r="AV4" s="2012"/>
      <c r="AW4" s="2012"/>
      <c r="AX4" s="2012"/>
      <c r="AY4" s="2012"/>
      <c r="AZ4" s="2012"/>
      <c r="BA4" s="2012"/>
      <c r="BB4" s="2012"/>
      <c r="BC4" s="2012"/>
      <c r="BD4" s="2012"/>
      <c r="BE4" s="2012"/>
      <c r="BF4" s="2012"/>
      <c r="BG4" s="2012"/>
      <c r="BH4" s="2012"/>
      <c r="BI4" s="2012"/>
      <c r="BJ4" s="2012"/>
      <c r="BK4" s="2012"/>
      <c r="BL4" s="2012"/>
      <c r="BM4" s="2012"/>
      <c r="BN4" s="2012"/>
      <c r="BO4" s="2012"/>
      <c r="BP4" s="2012"/>
      <c r="BQ4" s="2012"/>
      <c r="BR4" s="2012"/>
      <c r="BS4" s="2012"/>
      <c r="BT4" s="2012"/>
      <c r="BU4" s="2012"/>
      <c r="BV4" s="2012"/>
      <c r="BW4" s="2012"/>
      <c r="BX4" s="2012"/>
      <c r="BY4" s="2012"/>
      <c r="BZ4" s="2012"/>
      <c r="CA4" s="2012"/>
      <c r="CB4" s="2012"/>
      <c r="CC4" s="2012"/>
      <c r="CD4" s="2012"/>
      <c r="CE4" s="2012"/>
      <c r="CF4" s="2012"/>
      <c r="CG4" s="2012"/>
      <c r="CH4" s="2012"/>
      <c r="CI4" s="2012"/>
      <c r="CJ4" s="2012"/>
      <c r="CK4" s="2012"/>
      <c r="CL4" s="2012"/>
      <c r="CM4" s="2012"/>
      <c r="CN4" s="2012"/>
      <c r="CO4" s="2012"/>
      <c r="CP4" s="2012"/>
      <c r="CQ4" s="2012"/>
      <c r="CR4" s="2012"/>
      <c r="CS4" s="2012"/>
      <c r="CT4" s="2012"/>
      <c r="CU4" s="2012"/>
      <c r="CV4" s="2012"/>
      <c r="CW4" s="2012"/>
      <c r="CX4" s="2012"/>
      <c r="CY4" s="2012"/>
      <c r="CZ4" s="2012"/>
      <c r="DA4" s="2012"/>
      <c r="DB4" s="2012"/>
      <c r="DC4" s="2012"/>
      <c r="DD4" s="2012"/>
      <c r="DE4" s="2012"/>
      <c r="DF4" s="2012"/>
      <c r="DG4" s="2012"/>
      <c r="DH4" s="2012"/>
      <c r="DI4" s="2012"/>
      <c r="DJ4" s="2012"/>
      <c r="DK4" s="2012"/>
      <c r="DL4" s="2012"/>
      <c r="DM4" s="2012"/>
      <c r="DN4" s="2012"/>
      <c r="DO4" s="2012"/>
      <c r="DP4" s="2012"/>
      <c r="DQ4" s="2012"/>
      <c r="DR4" s="2012"/>
      <c r="DS4" s="2012"/>
      <c r="DT4" s="2012"/>
      <c r="DU4" s="2012"/>
      <c r="DV4" s="2012"/>
      <c r="DW4" s="2012"/>
      <c r="DX4" s="2012"/>
      <c r="DY4" s="2012"/>
      <c r="DZ4" s="2012"/>
      <c r="EA4" s="2012"/>
      <c r="EB4" s="2012"/>
      <c r="EC4" s="2012"/>
      <c r="ED4" s="2012"/>
      <c r="EE4" s="2012"/>
      <c r="EF4" s="2012"/>
      <c r="EG4" s="2012"/>
      <c r="EH4" s="2012"/>
      <c r="EI4" s="2012"/>
      <c r="EJ4" s="2012"/>
      <c r="EK4" s="2012"/>
      <c r="EL4" s="2012"/>
      <c r="EM4" s="2012"/>
      <c r="EN4" s="2012"/>
      <c r="EO4" s="2012"/>
      <c r="EP4" s="2012"/>
      <c r="EQ4" s="2012"/>
      <c r="ER4" s="2012"/>
      <c r="ES4" s="2012"/>
      <c r="ET4" s="2012"/>
      <c r="EU4" s="2012"/>
      <c r="EV4" s="2012"/>
      <c r="EW4" s="2012"/>
      <c r="EX4" s="2012"/>
      <c r="EY4" s="2012"/>
      <c r="EZ4" s="2012"/>
      <c r="FA4" s="2012"/>
      <c r="FB4" s="2012"/>
      <c r="FC4" s="2012"/>
      <c r="FD4" s="2012"/>
      <c r="FE4" s="2012"/>
      <c r="FF4" s="2012"/>
      <c r="FG4" s="2012"/>
      <c r="FH4" s="2012"/>
      <c r="FI4" s="2012"/>
      <c r="FJ4" s="2012"/>
      <c r="FK4" s="2012"/>
      <c r="FL4" s="2012"/>
      <c r="FM4" s="2012"/>
      <c r="FN4" s="2012"/>
      <c r="FO4" s="2012"/>
      <c r="FP4" s="2012"/>
      <c r="FQ4" s="2012"/>
      <c r="FR4" s="2012"/>
      <c r="FS4" s="2012"/>
      <c r="FT4" s="2012"/>
      <c r="FU4" s="2012"/>
      <c r="FV4" s="2012"/>
      <c r="FW4" s="2012"/>
      <c r="FX4" s="2012"/>
      <c r="FY4" s="2012"/>
      <c r="FZ4" s="2012"/>
      <c r="GA4" s="2012"/>
      <c r="GB4" s="2012"/>
      <c r="GC4" s="2012"/>
      <c r="GD4" s="2012"/>
      <c r="GE4" s="2012"/>
      <c r="GF4" s="2012"/>
      <c r="GG4" s="2012"/>
      <c r="GH4" s="2012"/>
      <c r="GI4" s="2012"/>
      <c r="GJ4" s="2012"/>
      <c r="GK4" s="2012"/>
      <c r="GL4" s="2012"/>
      <c r="GM4" s="2012"/>
      <c r="GN4" s="2012"/>
      <c r="GO4" s="2012"/>
      <c r="GP4" s="2012"/>
      <c r="GQ4" s="2012"/>
      <c r="GR4" s="2012"/>
      <c r="GS4" s="2012"/>
      <c r="GT4" s="2012"/>
      <c r="GU4" s="2012"/>
      <c r="GV4" s="2012"/>
      <c r="GW4" s="2012"/>
      <c r="GX4" s="2012"/>
      <c r="GY4" s="2012"/>
      <c r="GZ4" s="2012"/>
      <c r="HA4" s="2012"/>
      <c r="HB4" s="2012"/>
      <c r="HC4" s="2012"/>
      <c r="HD4" s="2012"/>
      <c r="HE4" s="2012"/>
      <c r="HF4" s="2012"/>
      <c r="HG4" s="2012"/>
      <c r="HH4" s="2012"/>
      <c r="HI4" s="2012"/>
      <c r="HJ4" s="2012"/>
      <c r="HK4" s="2012"/>
      <c r="HL4" s="2012"/>
      <c r="HM4" s="2012"/>
      <c r="HN4" s="2012"/>
      <c r="HO4" s="2012"/>
      <c r="HP4" s="2012"/>
      <c r="HQ4" s="2012"/>
      <c r="HR4" s="2012"/>
      <c r="HS4" s="2012"/>
      <c r="HT4" s="2012"/>
      <c r="HU4" s="2012"/>
      <c r="HV4" s="2012"/>
      <c r="HW4" s="2012"/>
      <c r="HX4" s="2012"/>
      <c r="HY4" s="2012"/>
      <c r="HZ4" s="2012"/>
      <c r="IA4" s="2012"/>
      <c r="IB4" s="2012"/>
      <c r="IC4" s="2012"/>
      <c r="ID4" s="2012"/>
      <c r="IE4" s="2012"/>
      <c r="IF4" s="2012"/>
      <c r="IG4" s="2012"/>
      <c r="IH4" s="2012"/>
      <c r="II4" s="2012"/>
      <c r="IJ4" s="2012"/>
      <c r="IK4" s="2012"/>
      <c r="IL4" s="2012"/>
      <c r="IM4" s="2012"/>
      <c r="IN4" s="2012"/>
      <c r="IO4" s="2012"/>
    </row>
    <row r="5" spans="2:5" ht="16.5">
      <c r="B5" s="2348"/>
      <c r="C5" s="2348"/>
      <c r="D5" s="2348"/>
      <c r="E5" s="2348"/>
    </row>
    <row r="6" spans="2:5" ht="17.25">
      <c r="B6" s="2014"/>
      <c r="C6" s="2014"/>
      <c r="D6" s="2014"/>
      <c r="E6" s="2014"/>
    </row>
    <row r="7" spans="2:5" ht="17.25">
      <c r="B7" s="2014"/>
      <c r="C7" s="2014"/>
      <c r="D7" s="2014"/>
      <c r="E7" s="2015" t="s">
        <v>0</v>
      </c>
    </row>
    <row r="8" spans="2:5" ht="17.25" thickBot="1">
      <c r="B8" s="2349" t="s">
        <v>1</v>
      </c>
      <c r="C8" s="2349"/>
      <c r="D8" s="2349"/>
      <c r="E8" s="2016" t="s">
        <v>3</v>
      </c>
    </row>
    <row r="9" spans="1:249" ht="18" thickBot="1">
      <c r="A9" s="2017">
        <v>1</v>
      </c>
      <c r="B9" s="2350" t="s">
        <v>1062</v>
      </c>
      <c r="C9" s="2351"/>
      <c r="D9" s="2352"/>
      <c r="E9" s="2018" t="s">
        <v>1063</v>
      </c>
      <c r="F9" s="2016"/>
      <c r="G9" s="2016"/>
      <c r="H9" s="2016"/>
      <c r="I9" s="2016"/>
      <c r="J9" s="2016"/>
      <c r="K9" s="2016"/>
      <c r="L9" s="2016"/>
      <c r="M9" s="2016"/>
      <c r="N9" s="2016"/>
      <c r="O9" s="2016"/>
      <c r="P9" s="2016"/>
      <c r="Q9" s="2016"/>
      <c r="R9" s="2016"/>
      <c r="S9" s="2016"/>
      <c r="T9" s="2016"/>
      <c r="U9" s="2016"/>
      <c r="V9" s="2016"/>
      <c r="W9" s="2016"/>
      <c r="X9" s="2016"/>
      <c r="Y9" s="2016"/>
      <c r="Z9" s="2016"/>
      <c r="AA9" s="2016"/>
      <c r="AB9" s="2016"/>
      <c r="AC9" s="2016"/>
      <c r="AD9" s="2016"/>
      <c r="AE9" s="2016"/>
      <c r="AF9" s="2016"/>
      <c r="AG9" s="2016"/>
      <c r="AH9" s="2016"/>
      <c r="AI9" s="2016"/>
      <c r="AJ9" s="2016"/>
      <c r="AK9" s="2016"/>
      <c r="AL9" s="2016"/>
      <c r="AM9" s="2016"/>
      <c r="AN9" s="2016"/>
      <c r="AO9" s="2016"/>
      <c r="AP9" s="2016"/>
      <c r="AQ9" s="2016"/>
      <c r="AR9" s="2016"/>
      <c r="AS9" s="2016"/>
      <c r="AT9" s="2016"/>
      <c r="AU9" s="2016"/>
      <c r="AV9" s="2016"/>
      <c r="AW9" s="2016"/>
      <c r="AX9" s="2016"/>
      <c r="AY9" s="2016"/>
      <c r="AZ9" s="2016"/>
      <c r="BA9" s="2016"/>
      <c r="BB9" s="2016"/>
      <c r="BC9" s="2016"/>
      <c r="BD9" s="2016"/>
      <c r="BE9" s="2016"/>
      <c r="BF9" s="2016"/>
      <c r="BG9" s="2016"/>
      <c r="BH9" s="2016"/>
      <c r="BI9" s="2016"/>
      <c r="BJ9" s="2016"/>
      <c r="BK9" s="2016"/>
      <c r="BL9" s="2016"/>
      <c r="BM9" s="2016"/>
      <c r="BN9" s="2016"/>
      <c r="BO9" s="2016"/>
      <c r="BP9" s="2016"/>
      <c r="BQ9" s="2016"/>
      <c r="BR9" s="2016"/>
      <c r="BS9" s="2016"/>
      <c r="BT9" s="2016"/>
      <c r="BU9" s="2016"/>
      <c r="BV9" s="2016"/>
      <c r="BW9" s="2016"/>
      <c r="BX9" s="2016"/>
      <c r="BY9" s="2016"/>
      <c r="BZ9" s="2016"/>
      <c r="CA9" s="2016"/>
      <c r="CB9" s="2016"/>
      <c r="CC9" s="2016"/>
      <c r="CD9" s="2016"/>
      <c r="CE9" s="2016"/>
      <c r="CF9" s="2016"/>
      <c r="CG9" s="2016"/>
      <c r="CH9" s="2016"/>
      <c r="CI9" s="2016"/>
      <c r="CJ9" s="2016"/>
      <c r="CK9" s="2016"/>
      <c r="CL9" s="2016"/>
      <c r="CM9" s="2016"/>
      <c r="CN9" s="2016"/>
      <c r="CO9" s="2016"/>
      <c r="CP9" s="2016"/>
      <c r="CQ9" s="2016"/>
      <c r="CR9" s="2016"/>
      <c r="CS9" s="2016"/>
      <c r="CT9" s="2016"/>
      <c r="CU9" s="2016"/>
      <c r="CV9" s="2016"/>
      <c r="CW9" s="2016"/>
      <c r="CX9" s="2016"/>
      <c r="CY9" s="2016"/>
      <c r="CZ9" s="2016"/>
      <c r="DA9" s="2016"/>
      <c r="DB9" s="2016"/>
      <c r="DC9" s="2016"/>
      <c r="DD9" s="2016"/>
      <c r="DE9" s="2016"/>
      <c r="DF9" s="2016"/>
      <c r="DG9" s="2016"/>
      <c r="DH9" s="2016"/>
      <c r="DI9" s="2016"/>
      <c r="DJ9" s="2016"/>
      <c r="DK9" s="2016"/>
      <c r="DL9" s="2016"/>
      <c r="DM9" s="2016"/>
      <c r="DN9" s="2016"/>
      <c r="DO9" s="2016"/>
      <c r="DP9" s="2016"/>
      <c r="DQ9" s="2016"/>
      <c r="DR9" s="2016"/>
      <c r="DS9" s="2016"/>
      <c r="DT9" s="2016"/>
      <c r="DU9" s="2016"/>
      <c r="DV9" s="2016"/>
      <c r="DW9" s="2016"/>
      <c r="DX9" s="2016"/>
      <c r="DY9" s="2016"/>
      <c r="DZ9" s="2016"/>
      <c r="EA9" s="2016"/>
      <c r="EB9" s="2016"/>
      <c r="EC9" s="2016"/>
      <c r="ED9" s="2016"/>
      <c r="EE9" s="2016"/>
      <c r="EF9" s="2016"/>
      <c r="EG9" s="2016"/>
      <c r="EH9" s="2016"/>
      <c r="EI9" s="2016"/>
      <c r="EJ9" s="2016"/>
      <c r="EK9" s="2016"/>
      <c r="EL9" s="2016"/>
      <c r="EM9" s="2016"/>
      <c r="EN9" s="2016"/>
      <c r="EO9" s="2016"/>
      <c r="EP9" s="2016"/>
      <c r="EQ9" s="2016"/>
      <c r="ER9" s="2016"/>
      <c r="ES9" s="2016"/>
      <c r="ET9" s="2016"/>
      <c r="EU9" s="2016"/>
      <c r="EV9" s="2016"/>
      <c r="EW9" s="2016"/>
      <c r="EX9" s="2016"/>
      <c r="EY9" s="2016"/>
      <c r="EZ9" s="2016"/>
      <c r="FA9" s="2016"/>
      <c r="FB9" s="2016"/>
      <c r="FC9" s="2016"/>
      <c r="FD9" s="2016"/>
      <c r="FE9" s="2016"/>
      <c r="FF9" s="2016"/>
      <c r="FG9" s="2016"/>
      <c r="FH9" s="2016"/>
      <c r="FI9" s="2016"/>
      <c r="FJ9" s="2016"/>
      <c r="FK9" s="2016"/>
      <c r="FL9" s="2016"/>
      <c r="FM9" s="2016"/>
      <c r="FN9" s="2016"/>
      <c r="FO9" s="2016"/>
      <c r="FP9" s="2016"/>
      <c r="FQ9" s="2016"/>
      <c r="FR9" s="2016"/>
      <c r="FS9" s="2016"/>
      <c r="FT9" s="2016"/>
      <c r="FU9" s="2016"/>
      <c r="FV9" s="2016"/>
      <c r="FW9" s="2016"/>
      <c r="FX9" s="2016"/>
      <c r="FY9" s="2016"/>
      <c r="FZ9" s="2016"/>
      <c r="GA9" s="2016"/>
      <c r="GB9" s="2016"/>
      <c r="GC9" s="2016"/>
      <c r="GD9" s="2016"/>
      <c r="GE9" s="2016"/>
      <c r="GF9" s="2016"/>
      <c r="GG9" s="2016"/>
      <c r="GH9" s="2016"/>
      <c r="GI9" s="2016"/>
      <c r="GJ9" s="2016"/>
      <c r="GK9" s="2016"/>
      <c r="GL9" s="2016"/>
      <c r="GM9" s="2016"/>
      <c r="GN9" s="2016"/>
      <c r="GO9" s="2016"/>
      <c r="GP9" s="2016"/>
      <c r="GQ9" s="2016"/>
      <c r="GR9" s="2016"/>
      <c r="GS9" s="2016"/>
      <c r="GT9" s="2016"/>
      <c r="GU9" s="2016"/>
      <c r="GV9" s="2016"/>
      <c r="GW9" s="2016"/>
      <c r="GX9" s="2016"/>
      <c r="GY9" s="2016"/>
      <c r="GZ9" s="2016"/>
      <c r="HA9" s="2016"/>
      <c r="HB9" s="2016"/>
      <c r="HC9" s="2016"/>
      <c r="HD9" s="2016"/>
      <c r="HE9" s="2016"/>
      <c r="HF9" s="2016"/>
      <c r="HG9" s="2016"/>
      <c r="HH9" s="2016"/>
      <c r="HI9" s="2016"/>
      <c r="HJ9" s="2016"/>
      <c r="HK9" s="2016"/>
      <c r="HL9" s="2016"/>
      <c r="HM9" s="2016"/>
      <c r="HN9" s="2016"/>
      <c r="HO9" s="2016"/>
      <c r="HP9" s="2016"/>
      <c r="HQ9" s="2016"/>
      <c r="HR9" s="2016"/>
      <c r="HS9" s="2016"/>
      <c r="HT9" s="2016"/>
      <c r="HU9" s="2016"/>
      <c r="HV9" s="2016"/>
      <c r="HW9" s="2016"/>
      <c r="HX9" s="2016"/>
      <c r="HY9" s="2016"/>
      <c r="HZ9" s="2016"/>
      <c r="IA9" s="2016"/>
      <c r="IB9" s="2016"/>
      <c r="IC9" s="2016"/>
      <c r="ID9" s="2016"/>
      <c r="IE9" s="2016"/>
      <c r="IF9" s="2016"/>
      <c r="IG9" s="2016"/>
      <c r="IH9" s="2016"/>
      <c r="II9" s="2016"/>
      <c r="IJ9" s="2016"/>
      <c r="IK9" s="2016"/>
      <c r="IL9" s="2016"/>
      <c r="IM9" s="2016"/>
      <c r="IN9" s="2016"/>
      <c r="IO9" s="2016"/>
    </row>
    <row r="10" spans="1:5" ht="57.75" customHeight="1">
      <c r="A10" s="2336">
        <v>2</v>
      </c>
      <c r="B10" s="2337">
        <v>1</v>
      </c>
      <c r="C10" s="2343" t="s">
        <v>1064</v>
      </c>
      <c r="D10" s="2340"/>
      <c r="E10" s="2341">
        <v>23783</v>
      </c>
    </row>
    <row r="11" spans="1:249" ht="17.25" thickBot="1">
      <c r="A11" s="2336"/>
      <c r="B11" s="2345"/>
      <c r="C11" s="2019"/>
      <c r="D11" s="2020" t="s">
        <v>1065</v>
      </c>
      <c r="E11" s="2342"/>
      <c r="F11" s="2012"/>
      <c r="G11" s="2012"/>
      <c r="H11" s="2012"/>
      <c r="I11" s="2012"/>
      <c r="J11" s="2012"/>
      <c r="K11" s="2012"/>
      <c r="L11" s="2012"/>
      <c r="M11" s="2012"/>
      <c r="N11" s="2012"/>
      <c r="O11" s="2012"/>
      <c r="P11" s="2012"/>
      <c r="Q11" s="2012"/>
      <c r="R11" s="2012"/>
      <c r="S11" s="2012"/>
      <c r="T11" s="2012"/>
      <c r="U11" s="2012"/>
      <c r="V11" s="2012"/>
      <c r="W11" s="2012"/>
      <c r="X11" s="2012"/>
      <c r="Y11" s="2012"/>
      <c r="Z11" s="2012"/>
      <c r="AA11" s="2012"/>
      <c r="AB11" s="2012"/>
      <c r="AC11" s="2012"/>
      <c r="AD11" s="2012"/>
      <c r="AE11" s="2012"/>
      <c r="AF11" s="2012"/>
      <c r="AG11" s="2012"/>
      <c r="AH11" s="2012"/>
      <c r="AI11" s="2012"/>
      <c r="AJ11" s="2012"/>
      <c r="AK11" s="2012"/>
      <c r="AL11" s="2012"/>
      <c r="AM11" s="2012"/>
      <c r="AN11" s="2012"/>
      <c r="AO11" s="2012"/>
      <c r="AP11" s="2012"/>
      <c r="AQ11" s="2012"/>
      <c r="AR11" s="2012"/>
      <c r="AS11" s="2012"/>
      <c r="AT11" s="2012"/>
      <c r="AU11" s="2012"/>
      <c r="AV11" s="2012"/>
      <c r="AW11" s="2012"/>
      <c r="AX11" s="2012"/>
      <c r="AY11" s="2012"/>
      <c r="AZ11" s="2012"/>
      <c r="BA11" s="2012"/>
      <c r="BB11" s="2012"/>
      <c r="BC11" s="2012"/>
      <c r="BD11" s="2012"/>
      <c r="BE11" s="2012"/>
      <c r="BF11" s="2012"/>
      <c r="BG11" s="2012"/>
      <c r="BH11" s="2012"/>
      <c r="BI11" s="2012"/>
      <c r="BJ11" s="2012"/>
      <c r="BK11" s="2012"/>
      <c r="BL11" s="2012"/>
      <c r="BM11" s="2012"/>
      <c r="BN11" s="2012"/>
      <c r="BO11" s="2012"/>
      <c r="BP11" s="2012"/>
      <c r="BQ11" s="2012"/>
      <c r="BR11" s="2012"/>
      <c r="BS11" s="2012"/>
      <c r="BT11" s="2012"/>
      <c r="BU11" s="2012"/>
      <c r="BV11" s="2012"/>
      <c r="BW11" s="2012"/>
      <c r="BX11" s="2012"/>
      <c r="BY11" s="2012"/>
      <c r="BZ11" s="2012"/>
      <c r="CA11" s="2012"/>
      <c r="CB11" s="2012"/>
      <c r="CC11" s="2012"/>
      <c r="CD11" s="2012"/>
      <c r="CE11" s="2012"/>
      <c r="CF11" s="2012"/>
      <c r="CG11" s="2012"/>
      <c r="CH11" s="2012"/>
      <c r="CI11" s="2012"/>
      <c r="CJ11" s="2012"/>
      <c r="CK11" s="2012"/>
      <c r="CL11" s="2012"/>
      <c r="CM11" s="2012"/>
      <c r="CN11" s="2012"/>
      <c r="CO11" s="2012"/>
      <c r="CP11" s="2012"/>
      <c r="CQ11" s="2012"/>
      <c r="CR11" s="2012"/>
      <c r="CS11" s="2012"/>
      <c r="CT11" s="2012"/>
      <c r="CU11" s="2012"/>
      <c r="CV11" s="2012"/>
      <c r="CW11" s="2012"/>
      <c r="CX11" s="2012"/>
      <c r="CY11" s="2012"/>
      <c r="CZ11" s="2012"/>
      <c r="DA11" s="2012"/>
      <c r="DB11" s="2012"/>
      <c r="DC11" s="2012"/>
      <c r="DD11" s="2012"/>
      <c r="DE11" s="2012"/>
      <c r="DF11" s="2012"/>
      <c r="DG11" s="2012"/>
      <c r="DH11" s="2012"/>
      <c r="DI11" s="2012"/>
      <c r="DJ11" s="2012"/>
      <c r="DK11" s="2012"/>
      <c r="DL11" s="2012"/>
      <c r="DM11" s="2012"/>
      <c r="DN11" s="2012"/>
      <c r="DO11" s="2012"/>
      <c r="DP11" s="2012"/>
      <c r="DQ11" s="2012"/>
      <c r="DR11" s="2012"/>
      <c r="DS11" s="2012"/>
      <c r="DT11" s="2012"/>
      <c r="DU11" s="2012"/>
      <c r="DV11" s="2012"/>
      <c r="DW11" s="2012"/>
      <c r="DX11" s="2012"/>
      <c r="DY11" s="2012"/>
      <c r="DZ11" s="2012"/>
      <c r="EA11" s="2012"/>
      <c r="EB11" s="2012"/>
      <c r="EC11" s="2012"/>
      <c r="ED11" s="2012"/>
      <c r="EE11" s="2012"/>
      <c r="EF11" s="2012"/>
      <c r="EG11" s="2012"/>
      <c r="EH11" s="2012"/>
      <c r="EI11" s="2012"/>
      <c r="EJ11" s="2012"/>
      <c r="EK11" s="2012"/>
      <c r="EL11" s="2012"/>
      <c r="EM11" s="2012"/>
      <c r="EN11" s="2012"/>
      <c r="EO11" s="2012"/>
      <c r="EP11" s="2012"/>
      <c r="EQ11" s="2012"/>
      <c r="ER11" s="2012"/>
      <c r="ES11" s="2012"/>
      <c r="ET11" s="2012"/>
      <c r="EU11" s="2012"/>
      <c r="EV11" s="2012"/>
      <c r="EW11" s="2012"/>
      <c r="EX11" s="2012"/>
      <c r="EY11" s="2012"/>
      <c r="EZ11" s="2012"/>
      <c r="FA11" s="2012"/>
      <c r="FB11" s="2012"/>
      <c r="FC11" s="2012"/>
      <c r="FD11" s="2012"/>
      <c r="FE11" s="2012"/>
      <c r="FF11" s="2012"/>
      <c r="FG11" s="2012"/>
      <c r="FH11" s="2012"/>
      <c r="FI11" s="2012"/>
      <c r="FJ11" s="2012"/>
      <c r="FK11" s="2012"/>
      <c r="FL11" s="2012"/>
      <c r="FM11" s="2012"/>
      <c r="FN11" s="2012"/>
      <c r="FO11" s="2012"/>
      <c r="FP11" s="2012"/>
      <c r="FQ11" s="2012"/>
      <c r="FR11" s="2012"/>
      <c r="FS11" s="2012"/>
      <c r="FT11" s="2012"/>
      <c r="FU11" s="2012"/>
      <c r="FV11" s="2012"/>
      <c r="FW11" s="2012"/>
      <c r="FX11" s="2012"/>
      <c r="FY11" s="2012"/>
      <c r="FZ11" s="2012"/>
      <c r="GA11" s="2012"/>
      <c r="GB11" s="2012"/>
      <c r="GC11" s="2012"/>
      <c r="GD11" s="2012"/>
      <c r="GE11" s="2012"/>
      <c r="GF11" s="2012"/>
      <c r="GG11" s="2012"/>
      <c r="GH11" s="2012"/>
      <c r="GI11" s="2012"/>
      <c r="GJ11" s="2012"/>
      <c r="GK11" s="2012"/>
      <c r="GL11" s="2012"/>
      <c r="GM11" s="2012"/>
      <c r="GN11" s="2012"/>
      <c r="GO11" s="2012"/>
      <c r="GP11" s="2012"/>
      <c r="GQ11" s="2012"/>
      <c r="GR11" s="2012"/>
      <c r="GS11" s="2012"/>
      <c r="GT11" s="2012"/>
      <c r="GU11" s="2012"/>
      <c r="GV11" s="2012"/>
      <c r="GW11" s="2012"/>
      <c r="GX11" s="2012"/>
      <c r="GY11" s="2012"/>
      <c r="GZ11" s="2012"/>
      <c r="HA11" s="2012"/>
      <c r="HB11" s="2012"/>
      <c r="HC11" s="2012"/>
      <c r="HD11" s="2012"/>
      <c r="HE11" s="2012"/>
      <c r="HF11" s="2012"/>
      <c r="HG11" s="2012"/>
      <c r="HH11" s="2012"/>
      <c r="HI11" s="2012"/>
      <c r="HJ11" s="2012"/>
      <c r="HK11" s="2012"/>
      <c r="HL11" s="2012"/>
      <c r="HM11" s="2012"/>
      <c r="HN11" s="2012"/>
      <c r="HO11" s="2012"/>
      <c r="HP11" s="2012"/>
      <c r="HQ11" s="2012"/>
      <c r="HR11" s="2012"/>
      <c r="HS11" s="2012"/>
      <c r="HT11" s="2012"/>
      <c r="HU11" s="2012"/>
      <c r="HV11" s="2012"/>
      <c r="HW11" s="2012"/>
      <c r="HX11" s="2012"/>
      <c r="HY11" s="2012"/>
      <c r="HZ11" s="2012"/>
      <c r="IA11" s="2012"/>
      <c r="IB11" s="2012"/>
      <c r="IC11" s="2012"/>
      <c r="ID11" s="2012"/>
      <c r="IE11" s="2012"/>
      <c r="IF11" s="2012"/>
      <c r="IG11" s="2012"/>
      <c r="IH11" s="2012"/>
      <c r="II11" s="2012"/>
      <c r="IJ11" s="2012"/>
      <c r="IK11" s="2012"/>
      <c r="IL11" s="2012"/>
      <c r="IM11" s="2012"/>
      <c r="IN11" s="2012"/>
      <c r="IO11" s="2012"/>
    </row>
    <row r="12" spans="1:249" ht="39" customHeight="1">
      <c r="A12" s="2336">
        <v>3</v>
      </c>
      <c r="B12" s="2337">
        <v>2</v>
      </c>
      <c r="C12" s="2343" t="s">
        <v>1066</v>
      </c>
      <c r="D12" s="2340"/>
      <c r="E12" s="2341">
        <v>0</v>
      </c>
      <c r="F12" s="2012"/>
      <c r="G12" s="2012"/>
      <c r="H12" s="2012"/>
      <c r="I12" s="2012"/>
      <c r="J12" s="2012"/>
      <c r="K12" s="2012"/>
      <c r="L12" s="2012" t="s">
        <v>236</v>
      </c>
      <c r="M12" s="2012"/>
      <c r="N12" s="2012"/>
      <c r="O12" s="2012"/>
      <c r="P12" s="2012"/>
      <c r="Q12" s="2012"/>
      <c r="R12" s="2012"/>
      <c r="S12" s="2012"/>
      <c r="T12" s="2012"/>
      <c r="U12" s="2012"/>
      <c r="V12" s="2012"/>
      <c r="W12" s="2012"/>
      <c r="X12" s="2012"/>
      <c r="Y12" s="2012"/>
      <c r="Z12" s="2012"/>
      <c r="AA12" s="2012"/>
      <c r="AB12" s="2012"/>
      <c r="AC12" s="2012"/>
      <c r="AD12" s="2012"/>
      <c r="AE12" s="2012"/>
      <c r="AF12" s="2012"/>
      <c r="AG12" s="2012"/>
      <c r="AH12" s="2012"/>
      <c r="AI12" s="2012"/>
      <c r="AJ12" s="2012"/>
      <c r="AK12" s="2012"/>
      <c r="AL12" s="2012"/>
      <c r="AM12" s="2012"/>
      <c r="AN12" s="2012"/>
      <c r="AO12" s="2012"/>
      <c r="AP12" s="2012"/>
      <c r="AQ12" s="2012"/>
      <c r="AR12" s="2012"/>
      <c r="AS12" s="2012"/>
      <c r="AT12" s="2012"/>
      <c r="AU12" s="2012"/>
      <c r="AV12" s="2012"/>
      <c r="AW12" s="2012"/>
      <c r="AX12" s="2012"/>
      <c r="AY12" s="2012"/>
      <c r="AZ12" s="2012"/>
      <c r="BA12" s="2012"/>
      <c r="BB12" s="2012"/>
      <c r="BC12" s="2012"/>
      <c r="BD12" s="2012"/>
      <c r="BE12" s="2012"/>
      <c r="BF12" s="2012"/>
      <c r="BG12" s="2012"/>
      <c r="BH12" s="2012"/>
      <c r="BI12" s="2012"/>
      <c r="BJ12" s="2012"/>
      <c r="BK12" s="2012"/>
      <c r="BL12" s="2012"/>
      <c r="BM12" s="2012"/>
      <c r="BN12" s="2012"/>
      <c r="BO12" s="2012"/>
      <c r="BP12" s="2012"/>
      <c r="BQ12" s="2012"/>
      <c r="BR12" s="2012"/>
      <c r="BS12" s="2012"/>
      <c r="BT12" s="2012"/>
      <c r="BU12" s="2012"/>
      <c r="BV12" s="2012"/>
      <c r="BW12" s="2012"/>
      <c r="BX12" s="2012"/>
      <c r="BY12" s="2012"/>
      <c r="BZ12" s="2012"/>
      <c r="CA12" s="2012"/>
      <c r="CB12" s="2012"/>
      <c r="CC12" s="2012"/>
      <c r="CD12" s="2012"/>
      <c r="CE12" s="2012"/>
      <c r="CF12" s="2012"/>
      <c r="CG12" s="2012"/>
      <c r="CH12" s="2012"/>
      <c r="CI12" s="2012"/>
      <c r="CJ12" s="2012"/>
      <c r="CK12" s="2012"/>
      <c r="CL12" s="2012"/>
      <c r="CM12" s="2012"/>
      <c r="CN12" s="2012"/>
      <c r="CO12" s="2012"/>
      <c r="CP12" s="2012"/>
      <c r="CQ12" s="2012"/>
      <c r="CR12" s="2012"/>
      <c r="CS12" s="2012"/>
      <c r="CT12" s="2012"/>
      <c r="CU12" s="2012"/>
      <c r="CV12" s="2012"/>
      <c r="CW12" s="2012"/>
      <c r="CX12" s="2012"/>
      <c r="CY12" s="2012"/>
      <c r="CZ12" s="2012"/>
      <c r="DA12" s="2012"/>
      <c r="DB12" s="2012"/>
      <c r="DC12" s="2012"/>
      <c r="DD12" s="2012"/>
      <c r="DE12" s="2012"/>
      <c r="DF12" s="2012"/>
      <c r="DG12" s="2012"/>
      <c r="DH12" s="2012"/>
      <c r="DI12" s="2012"/>
      <c r="DJ12" s="2012"/>
      <c r="DK12" s="2012"/>
      <c r="DL12" s="2012"/>
      <c r="DM12" s="2012"/>
      <c r="DN12" s="2012"/>
      <c r="DO12" s="2012"/>
      <c r="DP12" s="2012"/>
      <c r="DQ12" s="2012"/>
      <c r="DR12" s="2012"/>
      <c r="DS12" s="2012"/>
      <c r="DT12" s="2012"/>
      <c r="DU12" s="2012"/>
      <c r="DV12" s="2012"/>
      <c r="DW12" s="2012"/>
      <c r="DX12" s="2012"/>
      <c r="DY12" s="2012"/>
      <c r="DZ12" s="2012"/>
      <c r="EA12" s="2012"/>
      <c r="EB12" s="2012"/>
      <c r="EC12" s="2012"/>
      <c r="ED12" s="2012"/>
      <c r="EE12" s="2012"/>
      <c r="EF12" s="2012"/>
      <c r="EG12" s="2012"/>
      <c r="EH12" s="2012"/>
      <c r="EI12" s="2012"/>
      <c r="EJ12" s="2012"/>
      <c r="EK12" s="2012"/>
      <c r="EL12" s="2012"/>
      <c r="EM12" s="2012"/>
      <c r="EN12" s="2012"/>
      <c r="EO12" s="2012"/>
      <c r="EP12" s="2012"/>
      <c r="EQ12" s="2012"/>
      <c r="ER12" s="2012"/>
      <c r="ES12" s="2012"/>
      <c r="ET12" s="2012"/>
      <c r="EU12" s="2012"/>
      <c r="EV12" s="2012"/>
      <c r="EW12" s="2012"/>
      <c r="EX12" s="2012"/>
      <c r="EY12" s="2012"/>
      <c r="EZ12" s="2012"/>
      <c r="FA12" s="2012"/>
      <c r="FB12" s="2012"/>
      <c r="FC12" s="2012"/>
      <c r="FD12" s="2012"/>
      <c r="FE12" s="2012"/>
      <c r="FF12" s="2012"/>
      <c r="FG12" s="2012"/>
      <c r="FH12" s="2012"/>
      <c r="FI12" s="2012"/>
      <c r="FJ12" s="2012"/>
      <c r="FK12" s="2012"/>
      <c r="FL12" s="2012"/>
      <c r="FM12" s="2012"/>
      <c r="FN12" s="2012"/>
      <c r="FO12" s="2012"/>
      <c r="FP12" s="2012"/>
      <c r="FQ12" s="2012"/>
      <c r="FR12" s="2012"/>
      <c r="FS12" s="2012"/>
      <c r="FT12" s="2012"/>
      <c r="FU12" s="2012"/>
      <c r="FV12" s="2012"/>
      <c r="FW12" s="2012"/>
      <c r="FX12" s="2012"/>
      <c r="FY12" s="2012"/>
      <c r="FZ12" s="2012"/>
      <c r="GA12" s="2012"/>
      <c r="GB12" s="2012"/>
      <c r="GC12" s="2012"/>
      <c r="GD12" s="2012"/>
      <c r="GE12" s="2012"/>
      <c r="GF12" s="2012"/>
      <c r="GG12" s="2012"/>
      <c r="GH12" s="2012"/>
      <c r="GI12" s="2012"/>
      <c r="GJ12" s="2012"/>
      <c r="GK12" s="2012"/>
      <c r="GL12" s="2012"/>
      <c r="GM12" s="2012"/>
      <c r="GN12" s="2012"/>
      <c r="GO12" s="2012"/>
      <c r="GP12" s="2012"/>
      <c r="GQ12" s="2012"/>
      <c r="GR12" s="2012"/>
      <c r="GS12" s="2012"/>
      <c r="GT12" s="2012"/>
      <c r="GU12" s="2012"/>
      <c r="GV12" s="2012"/>
      <c r="GW12" s="2012"/>
      <c r="GX12" s="2012"/>
      <c r="GY12" s="2012"/>
      <c r="GZ12" s="2012"/>
      <c r="HA12" s="2012"/>
      <c r="HB12" s="2012"/>
      <c r="HC12" s="2012"/>
      <c r="HD12" s="2012"/>
      <c r="HE12" s="2012"/>
      <c r="HF12" s="2012"/>
      <c r="HG12" s="2012"/>
      <c r="HH12" s="2012"/>
      <c r="HI12" s="2012"/>
      <c r="HJ12" s="2012"/>
      <c r="HK12" s="2012"/>
      <c r="HL12" s="2012"/>
      <c r="HM12" s="2012"/>
      <c r="HN12" s="2012"/>
      <c r="HO12" s="2012"/>
      <c r="HP12" s="2012"/>
      <c r="HQ12" s="2012"/>
      <c r="HR12" s="2012"/>
      <c r="HS12" s="2012"/>
      <c r="HT12" s="2012"/>
      <c r="HU12" s="2012"/>
      <c r="HV12" s="2012"/>
      <c r="HW12" s="2012"/>
      <c r="HX12" s="2012"/>
      <c r="HY12" s="2012"/>
      <c r="HZ12" s="2012"/>
      <c r="IA12" s="2012"/>
      <c r="IB12" s="2012"/>
      <c r="IC12" s="2012"/>
      <c r="ID12" s="2012"/>
      <c r="IE12" s="2012"/>
      <c r="IF12" s="2012"/>
      <c r="IG12" s="2012"/>
      <c r="IH12" s="2012"/>
      <c r="II12" s="2012"/>
      <c r="IJ12" s="2012"/>
      <c r="IK12" s="2012"/>
      <c r="IL12" s="2012"/>
      <c r="IM12" s="2012"/>
      <c r="IN12" s="2012"/>
      <c r="IO12" s="2012"/>
    </row>
    <row r="13" spans="1:249" ht="16.5">
      <c r="A13" s="2336"/>
      <c r="B13" s="2338"/>
      <c r="C13" s="2021"/>
      <c r="D13" s="2022" t="s">
        <v>1067</v>
      </c>
      <c r="E13" s="2342"/>
      <c r="F13" s="2012"/>
      <c r="G13" s="2012"/>
      <c r="H13" s="2012"/>
      <c r="I13" s="2012"/>
      <c r="J13" s="2012"/>
      <c r="K13" s="2012"/>
      <c r="L13" s="2012"/>
      <c r="M13" s="2012"/>
      <c r="N13" s="2012"/>
      <c r="O13" s="2012"/>
      <c r="P13" s="2012"/>
      <c r="Q13" s="2012"/>
      <c r="R13" s="2012"/>
      <c r="S13" s="2012"/>
      <c r="T13" s="2012"/>
      <c r="U13" s="2012"/>
      <c r="V13" s="2012"/>
      <c r="W13" s="2012"/>
      <c r="X13" s="2012"/>
      <c r="Y13" s="2012"/>
      <c r="Z13" s="2012"/>
      <c r="AA13" s="2012"/>
      <c r="AB13" s="2012"/>
      <c r="AC13" s="2012"/>
      <c r="AD13" s="2012"/>
      <c r="AE13" s="2012"/>
      <c r="AF13" s="2012"/>
      <c r="AG13" s="2012"/>
      <c r="AH13" s="2012"/>
      <c r="AI13" s="2012"/>
      <c r="AJ13" s="2012"/>
      <c r="AK13" s="2012"/>
      <c r="AL13" s="2012"/>
      <c r="AM13" s="2012"/>
      <c r="AN13" s="2012"/>
      <c r="AO13" s="2012"/>
      <c r="AP13" s="2012"/>
      <c r="AQ13" s="2012"/>
      <c r="AR13" s="2012"/>
      <c r="AS13" s="2012"/>
      <c r="AT13" s="2012"/>
      <c r="AU13" s="2012"/>
      <c r="AV13" s="2012"/>
      <c r="AW13" s="2012"/>
      <c r="AX13" s="2012"/>
      <c r="AY13" s="2012"/>
      <c r="AZ13" s="2012"/>
      <c r="BA13" s="2012"/>
      <c r="BB13" s="2012"/>
      <c r="BC13" s="2012"/>
      <c r="BD13" s="2012"/>
      <c r="BE13" s="2012"/>
      <c r="BF13" s="2012"/>
      <c r="BG13" s="2012"/>
      <c r="BH13" s="2012"/>
      <c r="BI13" s="2012"/>
      <c r="BJ13" s="2012"/>
      <c r="BK13" s="2012"/>
      <c r="BL13" s="2012"/>
      <c r="BM13" s="2012"/>
      <c r="BN13" s="2012"/>
      <c r="BO13" s="2012"/>
      <c r="BP13" s="2012"/>
      <c r="BQ13" s="2012"/>
      <c r="BR13" s="2012"/>
      <c r="BS13" s="2012"/>
      <c r="BT13" s="2012"/>
      <c r="BU13" s="2012"/>
      <c r="BV13" s="2012"/>
      <c r="BW13" s="2012"/>
      <c r="BX13" s="2012"/>
      <c r="BY13" s="2012"/>
      <c r="BZ13" s="2012"/>
      <c r="CA13" s="2012"/>
      <c r="CB13" s="2012"/>
      <c r="CC13" s="2012"/>
      <c r="CD13" s="2012"/>
      <c r="CE13" s="2012"/>
      <c r="CF13" s="2012"/>
      <c r="CG13" s="2012"/>
      <c r="CH13" s="2012"/>
      <c r="CI13" s="2012"/>
      <c r="CJ13" s="2012"/>
      <c r="CK13" s="2012"/>
      <c r="CL13" s="2012"/>
      <c r="CM13" s="2012"/>
      <c r="CN13" s="2012"/>
      <c r="CO13" s="2012"/>
      <c r="CP13" s="2012"/>
      <c r="CQ13" s="2012"/>
      <c r="CR13" s="2012"/>
      <c r="CS13" s="2012"/>
      <c r="CT13" s="2012"/>
      <c r="CU13" s="2012"/>
      <c r="CV13" s="2012"/>
      <c r="CW13" s="2012"/>
      <c r="CX13" s="2012"/>
      <c r="CY13" s="2012"/>
      <c r="CZ13" s="2012"/>
      <c r="DA13" s="2012"/>
      <c r="DB13" s="2012"/>
      <c r="DC13" s="2012"/>
      <c r="DD13" s="2012"/>
      <c r="DE13" s="2012"/>
      <c r="DF13" s="2012"/>
      <c r="DG13" s="2012"/>
      <c r="DH13" s="2012"/>
      <c r="DI13" s="2012"/>
      <c r="DJ13" s="2012"/>
      <c r="DK13" s="2012"/>
      <c r="DL13" s="2012"/>
      <c r="DM13" s="2012"/>
      <c r="DN13" s="2012"/>
      <c r="DO13" s="2012"/>
      <c r="DP13" s="2012"/>
      <c r="DQ13" s="2012"/>
      <c r="DR13" s="2012"/>
      <c r="DS13" s="2012"/>
      <c r="DT13" s="2012"/>
      <c r="DU13" s="2012"/>
      <c r="DV13" s="2012"/>
      <c r="DW13" s="2012"/>
      <c r="DX13" s="2012"/>
      <c r="DY13" s="2012"/>
      <c r="DZ13" s="2012"/>
      <c r="EA13" s="2012"/>
      <c r="EB13" s="2012"/>
      <c r="EC13" s="2012"/>
      <c r="ED13" s="2012"/>
      <c r="EE13" s="2012"/>
      <c r="EF13" s="2012"/>
      <c r="EG13" s="2012"/>
      <c r="EH13" s="2012"/>
      <c r="EI13" s="2012"/>
      <c r="EJ13" s="2012"/>
      <c r="EK13" s="2012"/>
      <c r="EL13" s="2012"/>
      <c r="EM13" s="2012"/>
      <c r="EN13" s="2012"/>
      <c r="EO13" s="2012"/>
      <c r="EP13" s="2012"/>
      <c r="EQ13" s="2012"/>
      <c r="ER13" s="2012"/>
      <c r="ES13" s="2012"/>
      <c r="ET13" s="2012"/>
      <c r="EU13" s="2012"/>
      <c r="EV13" s="2012"/>
      <c r="EW13" s="2012"/>
      <c r="EX13" s="2012"/>
      <c r="EY13" s="2012"/>
      <c r="EZ13" s="2012"/>
      <c r="FA13" s="2012"/>
      <c r="FB13" s="2012"/>
      <c r="FC13" s="2012"/>
      <c r="FD13" s="2012"/>
      <c r="FE13" s="2012"/>
      <c r="FF13" s="2012"/>
      <c r="FG13" s="2012"/>
      <c r="FH13" s="2012"/>
      <c r="FI13" s="2012"/>
      <c r="FJ13" s="2012"/>
      <c r="FK13" s="2012"/>
      <c r="FL13" s="2012"/>
      <c r="FM13" s="2012"/>
      <c r="FN13" s="2012"/>
      <c r="FO13" s="2012"/>
      <c r="FP13" s="2012"/>
      <c r="FQ13" s="2012"/>
      <c r="FR13" s="2012"/>
      <c r="FS13" s="2012"/>
      <c r="FT13" s="2012"/>
      <c r="FU13" s="2012"/>
      <c r="FV13" s="2012"/>
      <c r="FW13" s="2012"/>
      <c r="FX13" s="2012"/>
      <c r="FY13" s="2012"/>
      <c r="FZ13" s="2012"/>
      <c r="GA13" s="2012"/>
      <c r="GB13" s="2012"/>
      <c r="GC13" s="2012"/>
      <c r="GD13" s="2012"/>
      <c r="GE13" s="2012"/>
      <c r="GF13" s="2012"/>
      <c r="GG13" s="2012"/>
      <c r="GH13" s="2012"/>
      <c r="GI13" s="2012"/>
      <c r="GJ13" s="2012"/>
      <c r="GK13" s="2012"/>
      <c r="GL13" s="2012"/>
      <c r="GM13" s="2012"/>
      <c r="GN13" s="2012"/>
      <c r="GO13" s="2012"/>
      <c r="GP13" s="2012"/>
      <c r="GQ13" s="2012"/>
      <c r="GR13" s="2012"/>
      <c r="GS13" s="2012"/>
      <c r="GT13" s="2012"/>
      <c r="GU13" s="2012"/>
      <c r="GV13" s="2012"/>
      <c r="GW13" s="2012"/>
      <c r="GX13" s="2012"/>
      <c r="GY13" s="2012"/>
      <c r="GZ13" s="2012"/>
      <c r="HA13" s="2012"/>
      <c r="HB13" s="2012"/>
      <c r="HC13" s="2012"/>
      <c r="HD13" s="2012"/>
      <c r="HE13" s="2012"/>
      <c r="HF13" s="2012"/>
      <c r="HG13" s="2012"/>
      <c r="HH13" s="2012"/>
      <c r="HI13" s="2012"/>
      <c r="HJ13" s="2012"/>
      <c r="HK13" s="2012"/>
      <c r="HL13" s="2012"/>
      <c r="HM13" s="2012"/>
      <c r="HN13" s="2012"/>
      <c r="HO13" s="2012"/>
      <c r="HP13" s="2012"/>
      <c r="HQ13" s="2012"/>
      <c r="HR13" s="2012"/>
      <c r="HS13" s="2012"/>
      <c r="HT13" s="2012"/>
      <c r="HU13" s="2012"/>
      <c r="HV13" s="2012"/>
      <c r="HW13" s="2012"/>
      <c r="HX13" s="2012"/>
      <c r="HY13" s="2012"/>
      <c r="HZ13" s="2012"/>
      <c r="IA13" s="2012"/>
      <c r="IB13" s="2012"/>
      <c r="IC13" s="2012"/>
      <c r="ID13" s="2012"/>
      <c r="IE13" s="2012"/>
      <c r="IF13" s="2012"/>
      <c r="IG13" s="2012"/>
      <c r="IH13" s="2012"/>
      <c r="II13" s="2012"/>
      <c r="IJ13" s="2012"/>
      <c r="IK13" s="2012"/>
      <c r="IL13" s="2012"/>
      <c r="IM13" s="2012"/>
      <c r="IN13" s="2012"/>
      <c r="IO13" s="2012"/>
    </row>
    <row r="14" spans="1:249" ht="17.25" thickBot="1">
      <c r="A14" s="2336"/>
      <c r="B14" s="2345"/>
      <c r="C14" s="2019"/>
      <c r="D14" s="2020" t="s">
        <v>1068</v>
      </c>
      <c r="E14" s="2344"/>
      <c r="IJ14" s="2010"/>
      <c r="IK14" s="2010"/>
      <c r="IL14" s="2010"/>
      <c r="IM14" s="2010"/>
      <c r="IN14" s="2010"/>
      <c r="IO14" s="2010"/>
    </row>
    <row r="15" spans="1:5" ht="41.25" customHeight="1">
      <c r="A15" s="2336">
        <v>4</v>
      </c>
      <c r="B15" s="2337">
        <v>3</v>
      </c>
      <c r="C15" s="2339" t="s">
        <v>1069</v>
      </c>
      <c r="D15" s="2340"/>
      <c r="E15" s="2341">
        <f>301000-54455</f>
        <v>246545</v>
      </c>
    </row>
    <row r="16" spans="1:5" ht="33">
      <c r="A16" s="2336"/>
      <c r="B16" s="2338"/>
      <c r="C16" s="2021"/>
      <c r="D16" s="2022" t="s">
        <v>1070</v>
      </c>
      <c r="E16" s="2342"/>
    </row>
    <row r="17" spans="1:5" ht="33">
      <c r="A17" s="2336"/>
      <c r="B17" s="2338"/>
      <c r="C17" s="2021"/>
      <c r="D17" s="2022" t="s">
        <v>1071</v>
      </c>
      <c r="E17" s="2342"/>
    </row>
    <row r="18" spans="1:250" s="2013" customFormat="1" ht="16.5">
      <c r="A18" s="2336"/>
      <c r="B18" s="2338"/>
      <c r="C18" s="2021"/>
      <c r="D18" s="2030" t="s">
        <v>923</v>
      </c>
      <c r="E18" s="2342"/>
      <c r="IP18" s="2010"/>
    </row>
    <row r="19" spans="1:250" s="2013" customFormat="1" ht="16.5">
      <c r="A19" s="2336"/>
      <c r="B19" s="2338"/>
      <c r="C19" s="2021"/>
      <c r="D19" s="2031" t="s">
        <v>1072</v>
      </c>
      <c r="E19" s="2342"/>
      <c r="IP19" s="2010"/>
    </row>
    <row r="20" spans="1:250" s="2013" customFormat="1" ht="33">
      <c r="A20" s="2336"/>
      <c r="B20" s="2338"/>
      <c r="C20" s="2021"/>
      <c r="D20" s="2031" t="s">
        <v>1055</v>
      </c>
      <c r="E20" s="2342"/>
      <c r="IP20" s="2010"/>
    </row>
    <row r="21" spans="1:250" s="2013" customFormat="1" ht="16.5">
      <c r="A21" s="2336"/>
      <c r="B21" s="2338"/>
      <c r="C21" s="2021"/>
      <c r="D21" s="2031" t="s">
        <v>1073</v>
      </c>
      <c r="E21" s="2342"/>
      <c r="IP21" s="2010"/>
    </row>
    <row r="22" spans="1:250" s="2013" customFormat="1" ht="16.5">
      <c r="A22" s="2336"/>
      <c r="B22" s="2338"/>
      <c r="C22" s="2021"/>
      <c r="D22" s="2031" t="s">
        <v>1074</v>
      </c>
      <c r="E22" s="2342"/>
      <c r="IP22" s="2010"/>
    </row>
    <row r="23" spans="1:250" s="2013" customFormat="1" ht="17.25" thickBot="1">
      <c r="A23" s="2336"/>
      <c r="B23" s="2345"/>
      <c r="C23" s="2019"/>
      <c r="D23" s="2020" t="s">
        <v>1075</v>
      </c>
      <c r="E23" s="2344"/>
      <c r="IP23" s="2010"/>
    </row>
    <row r="24" spans="1:250" s="2013" customFormat="1" ht="46.5" customHeight="1">
      <c r="A24" s="2336">
        <v>5</v>
      </c>
      <c r="B24" s="2337">
        <v>4</v>
      </c>
      <c r="C24" s="2339" t="s">
        <v>1076</v>
      </c>
      <c r="D24" s="2340"/>
      <c r="E24" s="2341">
        <f>44000+54455</f>
        <v>98455</v>
      </c>
      <c r="IP24" s="2010"/>
    </row>
    <row r="25" spans="1:250" s="2013" customFormat="1" ht="16.5">
      <c r="A25" s="2336"/>
      <c r="B25" s="2338"/>
      <c r="C25" s="2021"/>
      <c r="D25" s="2022" t="s">
        <v>1077</v>
      </c>
      <c r="E25" s="2342"/>
      <c r="IP25" s="2010"/>
    </row>
    <row r="26" spans="1:250" s="2013" customFormat="1" ht="16.5">
      <c r="A26" s="2336"/>
      <c r="B26" s="2338"/>
      <c r="C26" s="2021"/>
      <c r="D26" s="2031" t="s">
        <v>1056</v>
      </c>
      <c r="E26" s="2342"/>
      <c r="IP26" s="2010"/>
    </row>
    <row r="27" spans="1:250" s="2013" customFormat="1" ht="16.5">
      <c r="A27" s="2336"/>
      <c r="B27" s="2338"/>
      <c r="C27" s="2021"/>
      <c r="D27" s="2031" t="s">
        <v>1078</v>
      </c>
      <c r="E27" s="2342"/>
      <c r="IP27" s="2010"/>
    </row>
    <row r="28" spans="1:250" s="2013" customFormat="1" ht="17.25" thickBot="1">
      <c r="A28" s="2336"/>
      <c r="B28" s="2338"/>
      <c r="C28" s="2019"/>
      <c r="D28" s="2032" t="s">
        <v>1079</v>
      </c>
      <c r="E28" s="2342"/>
      <c r="IP28" s="2010"/>
    </row>
    <row r="29" spans="1:250" s="2013" customFormat="1" ht="57.75" customHeight="1">
      <c r="A29" s="2336">
        <v>6</v>
      </c>
      <c r="B29" s="2337">
        <v>5</v>
      </c>
      <c r="C29" s="2343" t="s">
        <v>1080</v>
      </c>
      <c r="D29" s="2340"/>
      <c r="E29" s="2341">
        <v>245843</v>
      </c>
      <c r="IP29" s="2010"/>
    </row>
    <row r="30" spans="1:250" s="2013" customFormat="1" ht="16.5">
      <c r="A30" s="2336"/>
      <c r="B30" s="2338"/>
      <c r="C30" s="2023"/>
      <c r="D30" s="2024" t="s">
        <v>1081</v>
      </c>
      <c r="E30" s="2342"/>
      <c r="IP30" s="2010"/>
    </row>
    <row r="31" spans="1:250" s="2013" customFormat="1" ht="33">
      <c r="A31" s="2336"/>
      <c r="B31" s="2338"/>
      <c r="C31" s="2023"/>
      <c r="D31" s="2024" t="s">
        <v>467</v>
      </c>
      <c r="E31" s="2342"/>
      <c r="IP31" s="2010"/>
    </row>
    <row r="32" spans="1:250" s="2013" customFormat="1" ht="16.5">
      <c r="A32" s="2336"/>
      <c r="B32" s="2338"/>
      <c r="C32" s="2023"/>
      <c r="D32" s="2024" t="s">
        <v>1082</v>
      </c>
      <c r="E32" s="2342"/>
      <c r="IP32" s="2010"/>
    </row>
    <row r="33" spans="1:250" s="2013" customFormat="1" ht="16.5">
      <c r="A33" s="2336"/>
      <c r="B33" s="2338"/>
      <c r="C33" s="2023"/>
      <c r="D33" s="2024" t="s">
        <v>1083</v>
      </c>
      <c r="E33" s="2342"/>
      <c r="IP33" s="2010"/>
    </row>
    <row r="34" spans="1:250" s="2013" customFormat="1" ht="16.5">
      <c r="A34" s="2336"/>
      <c r="B34" s="2338"/>
      <c r="C34" s="2023"/>
      <c r="D34" s="2024" t="s">
        <v>1084</v>
      </c>
      <c r="E34" s="2342"/>
      <c r="IP34" s="2010"/>
    </row>
    <row r="35" spans="1:250" s="2013" customFormat="1" ht="16.5">
      <c r="A35" s="2336"/>
      <c r="B35" s="2338"/>
      <c r="C35" s="2023"/>
      <c r="D35" s="2033" t="s">
        <v>1085</v>
      </c>
      <c r="E35" s="2342"/>
      <c r="IP35" s="2010"/>
    </row>
    <row r="36" spans="1:250" s="2013" customFormat="1" ht="16.5">
      <c r="A36" s="2336"/>
      <c r="B36" s="2338"/>
      <c r="C36" s="2023"/>
      <c r="D36" s="2024" t="s">
        <v>1086</v>
      </c>
      <c r="E36" s="2342"/>
      <c r="IP36" s="2010"/>
    </row>
    <row r="37" spans="1:250" s="2013" customFormat="1" ht="16.5">
      <c r="A37" s="2336"/>
      <c r="B37" s="2338"/>
      <c r="C37" s="2023"/>
      <c r="D37" s="2024" t="s">
        <v>1087</v>
      </c>
      <c r="E37" s="2342"/>
      <c r="IP37" s="2010"/>
    </row>
    <row r="38" spans="1:250" s="2013" customFormat="1" ht="16.5">
      <c r="A38" s="2336"/>
      <c r="B38" s="2338"/>
      <c r="C38" s="2023"/>
      <c r="D38" s="2024" t="s">
        <v>1088</v>
      </c>
      <c r="E38" s="2342"/>
      <c r="IP38" s="2010"/>
    </row>
    <row r="39" spans="1:250" s="2013" customFormat="1" ht="17.25" thickBot="1">
      <c r="A39" s="2336"/>
      <c r="B39" s="2338"/>
      <c r="C39" s="2025"/>
      <c r="D39" s="2026" t="s">
        <v>440</v>
      </c>
      <c r="E39" s="2344"/>
      <c r="IP39" s="2010"/>
    </row>
    <row r="40" spans="1:250" s="2013" customFormat="1" ht="18" thickBot="1">
      <c r="A40" s="2017">
        <v>7</v>
      </c>
      <c r="B40" s="2353" t="s">
        <v>115</v>
      </c>
      <c r="C40" s="2354"/>
      <c r="D40" s="2355"/>
      <c r="E40" s="2027">
        <f>SUM(E10:E39)</f>
        <v>614626</v>
      </c>
      <c r="IP40" s="2010"/>
    </row>
    <row r="41" spans="1:250" s="2013" customFormat="1" ht="74.25" customHeight="1">
      <c r="A41" s="2007"/>
      <c r="B41" s="2335" t="s">
        <v>1089</v>
      </c>
      <c r="C41" s="2335"/>
      <c r="D41" s="2335"/>
      <c r="E41" s="2335"/>
      <c r="IP41" s="2010"/>
    </row>
  </sheetData>
  <sheetProtection/>
  <mergeCells count="27">
    <mergeCell ref="B4:E5"/>
    <mergeCell ref="B8:D8"/>
    <mergeCell ref="B9:D9"/>
    <mergeCell ref="B40:D40"/>
    <mergeCell ref="A10:A11"/>
    <mergeCell ref="B10:B11"/>
    <mergeCell ref="C10:D10"/>
    <mergeCell ref="E10:E11"/>
    <mergeCell ref="B15:B23"/>
    <mergeCell ref="C15:D15"/>
    <mergeCell ref="E15:E23"/>
    <mergeCell ref="B41:E41"/>
    <mergeCell ref="B1:E1"/>
    <mergeCell ref="A24:A28"/>
    <mergeCell ref="B24:B28"/>
    <mergeCell ref="C24:D24"/>
    <mergeCell ref="E24:E28"/>
    <mergeCell ref="A29:A39"/>
    <mergeCell ref="B29:B39"/>
    <mergeCell ref="C29:D29"/>
    <mergeCell ref="E29:E39"/>
    <mergeCell ref="A12:A14"/>
    <mergeCell ref="B12:B14"/>
    <mergeCell ref="C12:D12"/>
    <mergeCell ref="E12:E14"/>
    <mergeCell ref="A15:A23"/>
    <mergeCell ref="B2:D2"/>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1"/>
  <headerFooter>
    <oddFooter>&amp;C- &amp;P -</oddFooter>
  </headerFooter>
  <colBreaks count="1" manualBreakCount="1">
    <brk id="5"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X57"/>
  <sheetViews>
    <sheetView tabSelected="1" view="pageBreakPreview" zoomScaleSheetLayoutView="100" zoomScalePageLayoutView="0" workbookViewId="0" topLeftCell="I1">
      <selection activeCell="G15" sqref="G15"/>
    </sheetView>
  </sheetViews>
  <sheetFormatPr defaultColWidth="10.375" defaultRowHeight="12.75"/>
  <cols>
    <col min="1" max="1" width="3.75390625" style="780" customWidth="1"/>
    <col min="2" max="3" width="5.75390625" style="210" customWidth="1"/>
    <col min="4" max="4" width="51.75390625" style="975" customWidth="1"/>
    <col min="5" max="5" width="19.75390625" style="211" customWidth="1"/>
    <col min="6" max="6" width="3.00390625" style="209" customWidth="1"/>
    <col min="7" max="8" width="13.75390625" style="209" customWidth="1"/>
    <col min="9" max="11" width="12.25390625" style="209" customWidth="1"/>
    <col min="12" max="15" width="13.75390625" style="209" customWidth="1"/>
    <col min="16" max="16" width="15.75390625" style="209" customWidth="1"/>
    <col min="17" max="19" width="12.25390625" style="209" customWidth="1"/>
    <col min="20" max="23" width="13.75390625" style="209" customWidth="1"/>
    <col min="24" max="24" width="15.75390625" style="209" customWidth="1"/>
    <col min="25" max="16384" width="10.375" style="209" customWidth="1"/>
  </cols>
  <sheetData>
    <row r="1" spans="2:7" ht="17.25">
      <c r="B1" s="2092" t="s">
        <v>1092</v>
      </c>
      <c r="C1" s="2092"/>
      <c r="D1" s="2092"/>
      <c r="E1" s="2092"/>
      <c r="F1" s="2092"/>
      <c r="G1" s="2092"/>
    </row>
    <row r="2" spans="1:24" ht="16.5">
      <c r="A2" s="985"/>
      <c r="B2" s="2362" t="s">
        <v>807</v>
      </c>
      <c r="C2" s="2362"/>
      <c r="D2" s="2362"/>
      <c r="E2" s="2362"/>
      <c r="F2" s="2362"/>
      <c r="G2" s="2362"/>
      <c r="H2" s="2362"/>
      <c r="I2" s="2362"/>
      <c r="J2" s="2362"/>
      <c r="K2" s="2362"/>
      <c r="L2" s="2362"/>
      <c r="M2" s="2362"/>
      <c r="N2" s="2362"/>
      <c r="O2" s="2362"/>
      <c r="P2" s="2362"/>
      <c r="Q2" s="2362"/>
      <c r="R2" s="2362"/>
      <c r="S2" s="2362"/>
      <c r="T2" s="2362"/>
      <c r="U2" s="2362"/>
      <c r="V2" s="1012"/>
      <c r="W2" s="1012"/>
      <c r="X2" s="1012"/>
    </row>
    <row r="3" spans="2:24" ht="24.75" customHeight="1">
      <c r="B3" s="2356" t="s">
        <v>111</v>
      </c>
      <c r="C3" s="2356"/>
      <c r="D3" s="2356"/>
      <c r="E3" s="2356"/>
      <c r="F3" s="2356"/>
      <c r="G3" s="2356"/>
      <c r="H3" s="2356"/>
      <c r="I3" s="2356"/>
      <c r="J3" s="2356"/>
      <c r="K3" s="2356"/>
      <c r="L3" s="2356"/>
      <c r="M3" s="2356"/>
      <c r="N3" s="2356"/>
      <c r="O3" s="2356"/>
      <c r="P3" s="2356"/>
      <c r="Q3" s="2356"/>
      <c r="R3" s="2356"/>
      <c r="S3" s="2356"/>
      <c r="T3" s="2356"/>
      <c r="U3" s="2356"/>
      <c r="V3" s="2356"/>
      <c r="W3" s="2356"/>
      <c r="X3" s="2356"/>
    </row>
    <row r="4" spans="2:24" ht="24.75" customHeight="1">
      <c r="B4" s="2356" t="s">
        <v>319</v>
      </c>
      <c r="C4" s="2356"/>
      <c r="D4" s="2356"/>
      <c r="E4" s="2356"/>
      <c r="F4" s="2356"/>
      <c r="G4" s="2356"/>
      <c r="H4" s="2356"/>
      <c r="I4" s="2356"/>
      <c r="J4" s="2356"/>
      <c r="K4" s="2356"/>
      <c r="L4" s="2356"/>
      <c r="M4" s="2356"/>
      <c r="N4" s="2356"/>
      <c r="O4" s="2356"/>
      <c r="P4" s="2356"/>
      <c r="Q4" s="2356"/>
      <c r="R4" s="2356"/>
      <c r="S4" s="2356"/>
      <c r="T4" s="2356"/>
      <c r="U4" s="2356"/>
      <c r="V4" s="2356"/>
      <c r="W4" s="2356"/>
      <c r="X4" s="2356"/>
    </row>
    <row r="5" spans="2:24" ht="24.75" customHeight="1">
      <c r="B5" s="2356" t="s">
        <v>302</v>
      </c>
      <c r="C5" s="2356"/>
      <c r="D5" s="2356"/>
      <c r="E5" s="2356"/>
      <c r="F5" s="2356"/>
      <c r="G5" s="2356"/>
      <c r="H5" s="2356"/>
      <c r="I5" s="2356"/>
      <c r="J5" s="2356"/>
      <c r="K5" s="2356"/>
      <c r="L5" s="2356"/>
      <c r="M5" s="2356"/>
      <c r="N5" s="2356"/>
      <c r="O5" s="2356"/>
      <c r="P5" s="2356"/>
      <c r="Q5" s="2356"/>
      <c r="R5" s="2356"/>
      <c r="S5" s="2356"/>
      <c r="T5" s="2356"/>
      <c r="U5" s="2356"/>
      <c r="V5" s="2356"/>
      <c r="W5" s="2356"/>
      <c r="X5" s="2356"/>
    </row>
    <row r="6" spans="1:24" s="779" customFormat="1" ht="15">
      <c r="A6" s="780"/>
      <c r="B6" s="780"/>
      <c r="C6" s="780"/>
      <c r="D6" s="781"/>
      <c r="E6" s="782"/>
      <c r="W6" s="2357" t="s">
        <v>0</v>
      </c>
      <c r="X6" s="2357"/>
    </row>
    <row r="7" spans="2:24" s="780" customFormat="1" ht="15.75" thickBot="1">
      <c r="B7" s="780" t="s">
        <v>511</v>
      </c>
      <c r="C7" s="780" t="s">
        <v>3</v>
      </c>
      <c r="D7" s="836" t="s">
        <v>2</v>
      </c>
      <c r="E7" s="782" t="s">
        <v>4</v>
      </c>
      <c r="G7" s="780" t="s">
        <v>5</v>
      </c>
      <c r="H7" s="780" t="s">
        <v>15</v>
      </c>
      <c r="I7" s="780" t="s">
        <v>16</v>
      </c>
      <c r="J7" s="780" t="s">
        <v>17</v>
      </c>
      <c r="K7" s="780" t="s">
        <v>33</v>
      </c>
      <c r="L7" s="780" t="s">
        <v>29</v>
      </c>
      <c r="M7" s="780" t="s">
        <v>22</v>
      </c>
      <c r="N7" s="780" t="s">
        <v>34</v>
      </c>
      <c r="O7" s="780" t="s">
        <v>35</v>
      </c>
      <c r="P7" s="780" t="s">
        <v>145</v>
      </c>
      <c r="Q7" s="780" t="s">
        <v>146</v>
      </c>
      <c r="R7" s="780" t="s">
        <v>147</v>
      </c>
      <c r="S7" s="780" t="s">
        <v>295</v>
      </c>
      <c r="T7" s="837" t="s">
        <v>398</v>
      </c>
      <c r="U7" s="837" t="s">
        <v>399</v>
      </c>
      <c r="V7" s="837" t="s">
        <v>512</v>
      </c>
      <c r="W7" s="837" t="s">
        <v>1058</v>
      </c>
      <c r="X7" s="837" t="s">
        <v>1059</v>
      </c>
    </row>
    <row r="8" spans="1:24" s="212" customFormat="1" ht="24.75" customHeight="1">
      <c r="A8" s="838"/>
      <c r="B8" s="2373" t="s">
        <v>18</v>
      </c>
      <c r="C8" s="2376" t="s">
        <v>19</v>
      </c>
      <c r="D8" s="2379" t="s">
        <v>303</v>
      </c>
      <c r="E8" s="2382" t="s">
        <v>304</v>
      </c>
      <c r="F8" s="839"/>
      <c r="G8" s="2385" t="s">
        <v>314</v>
      </c>
      <c r="H8" s="2385"/>
      <c r="I8" s="2386"/>
      <c r="J8" s="2386"/>
      <c r="K8" s="2386"/>
      <c r="L8" s="2386"/>
      <c r="M8" s="2386"/>
      <c r="N8" s="2386"/>
      <c r="O8" s="2386"/>
      <c r="P8" s="2387"/>
      <c r="Q8" s="2388" t="s">
        <v>315</v>
      </c>
      <c r="R8" s="2386"/>
      <c r="S8" s="2386"/>
      <c r="T8" s="2386"/>
      <c r="U8" s="2386"/>
      <c r="V8" s="2386"/>
      <c r="W8" s="2386"/>
      <c r="X8" s="2363" t="s">
        <v>401</v>
      </c>
    </row>
    <row r="9" spans="1:24" s="212" customFormat="1" ht="24.75" customHeight="1">
      <c r="A9" s="838"/>
      <c r="B9" s="2374"/>
      <c r="C9" s="2377"/>
      <c r="D9" s="2380"/>
      <c r="E9" s="2383"/>
      <c r="F9" s="840"/>
      <c r="G9" s="2366" t="s">
        <v>305</v>
      </c>
      <c r="H9" s="2368" t="s">
        <v>526</v>
      </c>
      <c r="I9" s="2370" t="s">
        <v>307</v>
      </c>
      <c r="J9" s="2370"/>
      <c r="K9" s="2370"/>
      <c r="L9" s="2370"/>
      <c r="M9" s="2370"/>
      <c r="N9" s="2370"/>
      <c r="O9" s="2370"/>
      <c r="P9" s="2371" t="s">
        <v>306</v>
      </c>
      <c r="Q9" s="2389"/>
      <c r="R9" s="2390"/>
      <c r="S9" s="2390"/>
      <c r="T9" s="2390"/>
      <c r="U9" s="2390"/>
      <c r="V9" s="2390"/>
      <c r="W9" s="2390"/>
      <c r="X9" s="2364"/>
    </row>
    <row r="10" spans="1:24" s="212" customFormat="1" ht="60.75" customHeight="1" thickBot="1">
      <c r="A10" s="838"/>
      <c r="B10" s="2375"/>
      <c r="C10" s="2378"/>
      <c r="D10" s="2381"/>
      <c r="E10" s="2384"/>
      <c r="F10" s="840"/>
      <c r="G10" s="2367"/>
      <c r="H10" s="2369"/>
      <c r="I10" s="288" t="s">
        <v>316</v>
      </c>
      <c r="J10" s="288" t="s">
        <v>372</v>
      </c>
      <c r="K10" s="288" t="s">
        <v>407</v>
      </c>
      <c r="L10" s="288" t="s">
        <v>513</v>
      </c>
      <c r="M10" s="288" t="s">
        <v>614</v>
      </c>
      <c r="N10" s="288" t="s">
        <v>615</v>
      </c>
      <c r="O10" s="288" t="s">
        <v>616</v>
      </c>
      <c r="P10" s="2372"/>
      <c r="Q10" s="289" t="s">
        <v>317</v>
      </c>
      <c r="R10" s="290" t="s">
        <v>372</v>
      </c>
      <c r="S10" s="290" t="s">
        <v>407</v>
      </c>
      <c r="T10" s="290" t="s">
        <v>513</v>
      </c>
      <c r="U10" s="290" t="s">
        <v>614</v>
      </c>
      <c r="V10" s="290" t="s">
        <v>615</v>
      </c>
      <c r="W10" s="290" t="s">
        <v>616</v>
      </c>
      <c r="X10" s="2365"/>
    </row>
    <row r="11" spans="1:24" s="212" customFormat="1" ht="33" customHeight="1">
      <c r="A11" s="841">
        <v>1</v>
      </c>
      <c r="B11" s="842">
        <v>18</v>
      </c>
      <c r="C11" s="843" t="s">
        <v>14</v>
      </c>
      <c r="D11" s="844"/>
      <c r="E11" s="845"/>
      <c r="F11" s="846"/>
      <c r="G11" s="847"/>
      <c r="H11" s="848"/>
      <c r="I11" s="849"/>
      <c r="J11" s="849"/>
      <c r="K11" s="849"/>
      <c r="L11" s="849"/>
      <c r="M11" s="849"/>
      <c r="N11" s="849"/>
      <c r="O11" s="849"/>
      <c r="P11" s="850"/>
      <c r="Q11" s="847"/>
      <c r="R11" s="851"/>
      <c r="S11" s="851"/>
      <c r="T11" s="851"/>
      <c r="U11" s="851"/>
      <c r="V11" s="851"/>
      <c r="W11" s="851"/>
      <c r="X11" s="852"/>
    </row>
    <row r="12" spans="1:24" ht="33" customHeight="1">
      <c r="A12" s="841">
        <v>2</v>
      </c>
      <c r="B12" s="472"/>
      <c r="C12" s="859">
        <v>1</v>
      </c>
      <c r="D12" s="1747" t="s">
        <v>361</v>
      </c>
      <c r="E12" s="854" t="s">
        <v>515</v>
      </c>
      <c r="F12" s="214"/>
      <c r="G12" s="855">
        <f aca="true" t="shared" si="0" ref="G12:G34">+X12-P12-H12</f>
        <v>0</v>
      </c>
      <c r="H12" s="856"/>
      <c r="I12" s="857"/>
      <c r="J12" s="857"/>
      <c r="K12" s="857">
        <v>17017</v>
      </c>
      <c r="L12" s="857">
        <v>8958</v>
      </c>
      <c r="M12" s="986"/>
      <c r="N12" s="986"/>
      <c r="O12" s="857"/>
      <c r="P12" s="858">
        <f aca="true" t="shared" si="1" ref="P12:P34">SUM(I12:O12)</f>
        <v>25975</v>
      </c>
      <c r="Q12" s="1748"/>
      <c r="R12" s="1749"/>
      <c r="S12" s="1749">
        <v>12413</v>
      </c>
      <c r="T12" s="1749">
        <f>2345+10041</f>
        <v>12386</v>
      </c>
      <c r="U12" s="1749">
        <f>74+40+302</f>
        <v>416</v>
      </c>
      <c r="V12" s="1749">
        <v>760</v>
      </c>
      <c r="W12" s="857"/>
      <c r="X12" s="1746">
        <f aca="true" t="shared" si="2" ref="X12:X34">SUM(Q12:W12)</f>
        <v>25975</v>
      </c>
    </row>
    <row r="13" spans="1:24" ht="33" customHeight="1">
      <c r="A13" s="841">
        <v>3</v>
      </c>
      <c r="B13" s="472"/>
      <c r="C13" s="859">
        <v>2</v>
      </c>
      <c r="D13" s="853" t="s">
        <v>436</v>
      </c>
      <c r="E13" s="854" t="s">
        <v>514</v>
      </c>
      <c r="F13" s="214"/>
      <c r="G13" s="860">
        <f t="shared" si="0"/>
        <v>96476</v>
      </c>
      <c r="H13" s="861"/>
      <c r="I13" s="857"/>
      <c r="J13" s="857"/>
      <c r="K13" s="857"/>
      <c r="L13" s="857"/>
      <c r="M13" s="857">
        <v>223100</v>
      </c>
      <c r="N13" s="857"/>
      <c r="O13" s="857"/>
      <c r="P13" s="858">
        <f t="shared" si="1"/>
        <v>223100</v>
      </c>
      <c r="Q13" s="1748"/>
      <c r="R13" s="1749">
        <v>6699</v>
      </c>
      <c r="S13" s="1749"/>
      <c r="T13" s="1749"/>
      <c r="U13" s="1749"/>
      <c r="V13" s="1749">
        <f>275877+37000</f>
        <v>312877</v>
      </c>
      <c r="W13" s="857"/>
      <c r="X13" s="1746">
        <f t="shared" si="2"/>
        <v>319576</v>
      </c>
    </row>
    <row r="14" spans="1:24" s="212" customFormat="1" ht="33">
      <c r="A14" s="841">
        <v>4</v>
      </c>
      <c r="B14" s="472"/>
      <c r="C14" s="859">
        <v>3</v>
      </c>
      <c r="D14" s="328" t="s">
        <v>403</v>
      </c>
      <c r="E14" s="854" t="s">
        <v>514</v>
      </c>
      <c r="F14" s="473"/>
      <c r="G14" s="860">
        <f t="shared" si="0"/>
        <v>29474</v>
      </c>
      <c r="H14" s="861"/>
      <c r="I14" s="857"/>
      <c r="J14" s="857"/>
      <c r="K14" s="857"/>
      <c r="L14" s="857">
        <v>134273</v>
      </c>
      <c r="M14" s="857">
        <v>-134273</v>
      </c>
      <c r="N14" s="857">
        <v>134273</v>
      </c>
      <c r="O14" s="857"/>
      <c r="P14" s="858">
        <f t="shared" si="1"/>
        <v>134273</v>
      </c>
      <c r="Q14" s="855">
        <v>2921</v>
      </c>
      <c r="R14" s="857">
        <v>3620</v>
      </c>
      <c r="S14" s="857"/>
      <c r="T14" s="857"/>
      <c r="U14" s="857">
        <f>40</f>
        <v>40</v>
      </c>
      <c r="V14" s="857">
        <f>342+165574+3250-12000</f>
        <v>157166</v>
      </c>
      <c r="W14" s="857"/>
      <c r="X14" s="1746">
        <f t="shared" si="2"/>
        <v>163747</v>
      </c>
    </row>
    <row r="15" spans="1:24" ht="33" customHeight="1">
      <c r="A15" s="841">
        <v>5</v>
      </c>
      <c r="B15" s="472"/>
      <c r="C15" s="859">
        <v>4</v>
      </c>
      <c r="D15" s="853" t="s">
        <v>438</v>
      </c>
      <c r="E15" s="854" t="s">
        <v>516</v>
      </c>
      <c r="F15" s="214"/>
      <c r="G15" s="860">
        <f t="shared" si="0"/>
        <v>13154</v>
      </c>
      <c r="H15" s="861"/>
      <c r="I15" s="857"/>
      <c r="J15" s="857"/>
      <c r="K15" s="857"/>
      <c r="L15" s="857">
        <v>19069</v>
      </c>
      <c r="M15" s="857"/>
      <c r="N15" s="857">
        <v>17569</v>
      </c>
      <c r="O15" s="857"/>
      <c r="P15" s="858">
        <f t="shared" si="1"/>
        <v>36638</v>
      </c>
      <c r="Q15" s="855"/>
      <c r="R15" s="857"/>
      <c r="S15" s="857">
        <v>1956</v>
      </c>
      <c r="T15" s="857"/>
      <c r="U15" s="857"/>
      <c r="V15" s="857">
        <f>62836-10000-5000</f>
        <v>47836</v>
      </c>
      <c r="W15" s="857"/>
      <c r="X15" s="1746">
        <f t="shared" si="2"/>
        <v>49792</v>
      </c>
    </row>
    <row r="16" spans="1:24" ht="33" customHeight="1">
      <c r="A16" s="841">
        <v>6</v>
      </c>
      <c r="B16" s="472"/>
      <c r="C16" s="859">
        <v>5</v>
      </c>
      <c r="D16" s="853" t="s">
        <v>439</v>
      </c>
      <c r="E16" s="854" t="s">
        <v>516</v>
      </c>
      <c r="F16" s="214"/>
      <c r="G16" s="860">
        <f t="shared" si="0"/>
        <v>2557</v>
      </c>
      <c r="H16" s="861"/>
      <c r="I16" s="857"/>
      <c r="J16" s="857"/>
      <c r="K16" s="857"/>
      <c r="L16" s="857">
        <v>27673</v>
      </c>
      <c r="M16" s="857"/>
      <c r="N16" s="857">
        <f>25819+23629</f>
        <v>49448</v>
      </c>
      <c r="O16" s="857"/>
      <c r="P16" s="858">
        <f t="shared" si="1"/>
        <v>77121</v>
      </c>
      <c r="Q16" s="855"/>
      <c r="R16" s="857"/>
      <c r="S16" s="857">
        <v>2459</v>
      </c>
      <c r="T16" s="857"/>
      <c r="U16" s="857">
        <v>140</v>
      </c>
      <c r="V16" s="857">
        <f>170+76280+629</f>
        <v>77079</v>
      </c>
      <c r="W16" s="857"/>
      <c r="X16" s="1746">
        <f t="shared" si="2"/>
        <v>79678</v>
      </c>
    </row>
    <row r="17" spans="1:24" s="212" customFormat="1" ht="66">
      <c r="A17" s="841">
        <v>7</v>
      </c>
      <c r="B17" s="472"/>
      <c r="C17" s="859">
        <v>6</v>
      </c>
      <c r="D17" s="328" t="s">
        <v>617</v>
      </c>
      <c r="E17" s="854" t="s">
        <v>618</v>
      </c>
      <c r="F17" s="473"/>
      <c r="G17" s="860">
        <f t="shared" si="0"/>
        <v>750</v>
      </c>
      <c r="H17" s="861"/>
      <c r="I17" s="857"/>
      <c r="J17" s="857"/>
      <c r="K17" s="857"/>
      <c r="L17" s="857"/>
      <c r="M17" s="857">
        <v>307086</v>
      </c>
      <c r="N17" s="857"/>
      <c r="O17" s="857"/>
      <c r="P17" s="858">
        <f t="shared" si="1"/>
        <v>307086</v>
      </c>
      <c r="Q17" s="855"/>
      <c r="R17" s="857"/>
      <c r="S17" s="857">
        <f>984+40</f>
        <v>1024</v>
      </c>
      <c r="T17" s="857">
        <v>40</v>
      </c>
      <c r="U17" s="857">
        <f>108+800</f>
        <v>908</v>
      </c>
      <c r="V17" s="857">
        <f>474+305390</f>
        <v>305864</v>
      </c>
      <c r="W17" s="857"/>
      <c r="X17" s="1746">
        <f t="shared" si="2"/>
        <v>307836</v>
      </c>
    </row>
    <row r="18" spans="1:24" ht="33" customHeight="1">
      <c r="A18" s="841">
        <v>8</v>
      </c>
      <c r="B18" s="472"/>
      <c r="C18" s="993">
        <v>7</v>
      </c>
      <c r="D18" s="1747" t="s">
        <v>437</v>
      </c>
      <c r="E18" s="1752" t="s">
        <v>514</v>
      </c>
      <c r="F18" s="989"/>
      <c r="G18" s="1750">
        <f t="shared" si="0"/>
        <v>78151</v>
      </c>
      <c r="H18" s="1751"/>
      <c r="I18" s="1749"/>
      <c r="J18" s="1749"/>
      <c r="K18" s="1749"/>
      <c r="L18" s="1749">
        <v>173975</v>
      </c>
      <c r="M18" s="1749"/>
      <c r="N18" s="1749">
        <v>51325</v>
      </c>
      <c r="O18" s="1749"/>
      <c r="P18" s="990">
        <f t="shared" si="1"/>
        <v>225300</v>
      </c>
      <c r="Q18" s="1748"/>
      <c r="R18" s="1749"/>
      <c r="S18" s="1749">
        <v>6401</v>
      </c>
      <c r="T18" s="1749">
        <v>100</v>
      </c>
      <c r="U18" s="1749">
        <f>128</f>
        <v>128</v>
      </c>
      <c r="V18" s="1749">
        <f>150+328202-32000+51325-50855</f>
        <v>296822</v>
      </c>
      <c r="W18" s="1749"/>
      <c r="X18" s="1746">
        <f t="shared" si="2"/>
        <v>303451</v>
      </c>
    </row>
    <row r="19" spans="1:24" ht="33" customHeight="1">
      <c r="A19" s="841">
        <v>9</v>
      </c>
      <c r="B19" s="472"/>
      <c r="C19" s="859">
        <v>8</v>
      </c>
      <c r="D19" s="853" t="s">
        <v>440</v>
      </c>
      <c r="E19" s="854" t="s">
        <v>517</v>
      </c>
      <c r="F19" s="214"/>
      <c r="G19" s="860">
        <f t="shared" si="0"/>
        <v>383000</v>
      </c>
      <c r="H19" s="861"/>
      <c r="I19" s="857"/>
      <c r="J19" s="857"/>
      <c r="K19" s="857">
        <v>2092161</v>
      </c>
      <c r="L19" s="857"/>
      <c r="M19" s="857">
        <f>1107839-607839</f>
        <v>500000</v>
      </c>
      <c r="N19" s="857">
        <v>607839</v>
      </c>
      <c r="O19" s="857"/>
      <c r="P19" s="858">
        <f t="shared" si="1"/>
        <v>3200000</v>
      </c>
      <c r="Q19" s="855">
        <v>40063</v>
      </c>
      <c r="R19" s="857">
        <v>83854</v>
      </c>
      <c r="S19" s="857">
        <v>327034</v>
      </c>
      <c r="T19" s="857">
        <v>1231269</v>
      </c>
      <c r="U19" s="857">
        <f>710+1172933</f>
        <v>1173643</v>
      </c>
      <c r="V19" s="857">
        <f>712+740425-14000</f>
        <v>727137</v>
      </c>
      <c r="W19" s="857"/>
      <c r="X19" s="1746">
        <f t="shared" si="2"/>
        <v>3583000</v>
      </c>
    </row>
    <row r="20" spans="1:24" ht="33" customHeight="1">
      <c r="A20" s="841">
        <v>10</v>
      </c>
      <c r="B20" s="472"/>
      <c r="C20" s="859">
        <v>9</v>
      </c>
      <c r="D20" s="853" t="s">
        <v>591</v>
      </c>
      <c r="E20" s="854" t="s">
        <v>518</v>
      </c>
      <c r="F20" s="214"/>
      <c r="G20" s="860">
        <f t="shared" si="0"/>
        <v>183</v>
      </c>
      <c r="H20" s="861"/>
      <c r="I20" s="857"/>
      <c r="J20" s="857"/>
      <c r="K20" s="857">
        <v>19671</v>
      </c>
      <c r="L20" s="857"/>
      <c r="M20" s="857"/>
      <c r="N20" s="857">
        <v>220329</v>
      </c>
      <c r="O20" s="857"/>
      <c r="P20" s="858">
        <f t="shared" si="1"/>
        <v>240000</v>
      </c>
      <c r="Q20" s="855"/>
      <c r="R20" s="857"/>
      <c r="S20" s="857">
        <v>9749</v>
      </c>
      <c r="T20" s="857">
        <v>3835</v>
      </c>
      <c r="U20" s="857">
        <f>1005+6692</f>
        <v>7697</v>
      </c>
      <c r="V20" s="857">
        <f>2010+217401+6000+183-6692</f>
        <v>218902</v>
      </c>
      <c r="W20" s="857"/>
      <c r="X20" s="1746">
        <f t="shared" si="2"/>
        <v>240183</v>
      </c>
    </row>
    <row r="21" spans="1:24" s="212" customFormat="1" ht="33">
      <c r="A21" s="841">
        <v>11</v>
      </c>
      <c r="B21" s="472"/>
      <c r="C21" s="859">
        <v>10</v>
      </c>
      <c r="D21" s="853" t="s">
        <v>441</v>
      </c>
      <c r="E21" s="854" t="s">
        <v>519</v>
      </c>
      <c r="F21" s="473"/>
      <c r="G21" s="860">
        <f t="shared" si="0"/>
        <v>0</v>
      </c>
      <c r="H21" s="861"/>
      <c r="I21" s="857"/>
      <c r="J21" s="857"/>
      <c r="K21" s="857"/>
      <c r="L21" s="857">
        <v>480600</v>
      </c>
      <c r="M21" s="857"/>
      <c r="N21" s="857">
        <v>21000</v>
      </c>
      <c r="O21" s="857"/>
      <c r="P21" s="858">
        <f t="shared" si="1"/>
        <v>501600</v>
      </c>
      <c r="Q21" s="855"/>
      <c r="R21" s="857"/>
      <c r="S21" s="857">
        <v>326</v>
      </c>
      <c r="T21" s="857">
        <v>17127</v>
      </c>
      <c r="U21" s="857">
        <f>1549+2433</f>
        <v>3982</v>
      </c>
      <c r="V21" s="857">
        <f>8311+459854+12000</f>
        <v>480165</v>
      </c>
      <c r="W21" s="857"/>
      <c r="X21" s="1746">
        <f t="shared" si="2"/>
        <v>501600</v>
      </c>
    </row>
    <row r="22" spans="1:24" s="212" customFormat="1" ht="55.5" customHeight="1">
      <c r="A22" s="841">
        <v>12</v>
      </c>
      <c r="B22" s="472"/>
      <c r="C22" s="859">
        <v>11</v>
      </c>
      <c r="D22" s="853" t="s">
        <v>375</v>
      </c>
      <c r="E22" s="854" t="s">
        <v>520</v>
      </c>
      <c r="F22" s="473"/>
      <c r="G22" s="860">
        <f t="shared" si="0"/>
        <v>143176</v>
      </c>
      <c r="H22" s="861"/>
      <c r="I22" s="857">
        <v>977327</v>
      </c>
      <c r="J22" s="857"/>
      <c r="K22" s="857"/>
      <c r="L22" s="857"/>
      <c r="M22" s="857">
        <v>27091</v>
      </c>
      <c r="N22" s="857"/>
      <c r="O22" s="857"/>
      <c r="P22" s="858">
        <f t="shared" si="1"/>
        <v>1004418</v>
      </c>
      <c r="Q22" s="855">
        <v>25062</v>
      </c>
      <c r="R22" s="857">
        <v>32060</v>
      </c>
      <c r="S22" s="857">
        <v>393153</v>
      </c>
      <c r="T22" s="857">
        <f>688437</f>
        <v>688437</v>
      </c>
      <c r="U22" s="857">
        <v>260</v>
      </c>
      <c r="V22" s="857">
        <v>8622</v>
      </c>
      <c r="W22" s="857"/>
      <c r="X22" s="1746">
        <f>SUM(Q22:W22)</f>
        <v>1147594</v>
      </c>
    </row>
    <row r="23" spans="1:24" s="212" customFormat="1" ht="55.5" customHeight="1">
      <c r="A23" s="841">
        <v>13</v>
      </c>
      <c r="B23" s="472"/>
      <c r="C23" s="859">
        <v>12</v>
      </c>
      <c r="D23" s="853" t="s">
        <v>619</v>
      </c>
      <c r="E23" s="854" t="s">
        <v>521</v>
      </c>
      <c r="F23" s="473"/>
      <c r="G23" s="860">
        <f t="shared" si="0"/>
        <v>0</v>
      </c>
      <c r="H23" s="861"/>
      <c r="I23" s="857"/>
      <c r="J23" s="857"/>
      <c r="K23" s="857"/>
      <c r="L23" s="857"/>
      <c r="M23" s="857"/>
      <c r="N23" s="857">
        <v>906000</v>
      </c>
      <c r="O23" s="857"/>
      <c r="P23" s="858">
        <f t="shared" si="1"/>
        <v>906000</v>
      </c>
      <c r="Q23" s="855"/>
      <c r="R23" s="857"/>
      <c r="S23" s="857"/>
      <c r="T23" s="857"/>
      <c r="U23" s="857">
        <v>5906</v>
      </c>
      <c r="V23" s="857">
        <f>906000-5906</f>
        <v>900094</v>
      </c>
      <c r="W23" s="857"/>
      <c r="X23" s="1746">
        <f>SUM(Q23:W23)</f>
        <v>906000</v>
      </c>
    </row>
    <row r="24" spans="1:24" ht="34.5" customHeight="1">
      <c r="A24" s="841">
        <v>14</v>
      </c>
      <c r="B24" s="472"/>
      <c r="C24" s="859">
        <v>13</v>
      </c>
      <c r="D24" s="853" t="s">
        <v>360</v>
      </c>
      <c r="E24" s="854" t="s">
        <v>515</v>
      </c>
      <c r="F24" s="214"/>
      <c r="G24" s="860">
        <f t="shared" si="0"/>
        <v>62406</v>
      </c>
      <c r="H24" s="861"/>
      <c r="I24" s="857"/>
      <c r="J24" s="857"/>
      <c r="K24" s="857">
        <v>227554</v>
      </c>
      <c r="L24" s="857"/>
      <c r="M24" s="857">
        <v>10916</v>
      </c>
      <c r="N24" s="857"/>
      <c r="O24" s="857"/>
      <c r="P24" s="858">
        <f t="shared" si="1"/>
        <v>238470</v>
      </c>
      <c r="Q24" s="855"/>
      <c r="R24" s="857"/>
      <c r="S24" s="857">
        <v>4460</v>
      </c>
      <c r="T24" s="1749">
        <v>267453</v>
      </c>
      <c r="U24" s="1749">
        <v>0</v>
      </c>
      <c r="V24" s="1749">
        <f>1087+21914+5962</f>
        <v>28963</v>
      </c>
      <c r="W24" s="857"/>
      <c r="X24" s="1746">
        <f t="shared" si="2"/>
        <v>300876</v>
      </c>
    </row>
    <row r="25" spans="1:24" s="992" customFormat="1" ht="33" customHeight="1">
      <c r="A25" s="841">
        <v>15</v>
      </c>
      <c r="B25" s="987"/>
      <c r="C25" s="988">
        <v>14</v>
      </c>
      <c r="D25" s="863" t="s">
        <v>620</v>
      </c>
      <c r="E25" s="1752" t="s">
        <v>621</v>
      </c>
      <c r="F25" s="989"/>
      <c r="G25" s="1750">
        <f t="shared" si="0"/>
        <v>0</v>
      </c>
      <c r="H25" s="1751"/>
      <c r="I25" s="1749"/>
      <c r="J25" s="1749"/>
      <c r="K25" s="1749"/>
      <c r="L25" s="1749"/>
      <c r="M25" s="1749"/>
      <c r="N25" s="1749">
        <v>2787362</v>
      </c>
      <c r="O25" s="1749">
        <v>118938</v>
      </c>
      <c r="P25" s="990">
        <f t="shared" si="1"/>
        <v>2906300</v>
      </c>
      <c r="Q25" s="1748"/>
      <c r="R25" s="1749"/>
      <c r="S25" s="1749"/>
      <c r="T25" s="1749"/>
      <c r="U25" s="991"/>
      <c r="V25" s="1749">
        <v>2787362</v>
      </c>
      <c r="W25" s="1749">
        <v>118938</v>
      </c>
      <c r="X25" s="1746">
        <f t="shared" si="2"/>
        <v>2906300</v>
      </c>
    </row>
    <row r="26" spans="1:24" ht="33" customHeight="1">
      <c r="A26" s="841">
        <v>16</v>
      </c>
      <c r="B26" s="472"/>
      <c r="C26" s="859">
        <v>15</v>
      </c>
      <c r="D26" s="853" t="s">
        <v>624</v>
      </c>
      <c r="E26" s="854" t="s">
        <v>519</v>
      </c>
      <c r="F26" s="214"/>
      <c r="G26" s="1750">
        <f t="shared" si="0"/>
        <v>0</v>
      </c>
      <c r="H26" s="1751">
        <v>277946</v>
      </c>
      <c r="I26" s="857"/>
      <c r="J26" s="857"/>
      <c r="K26" s="857">
        <v>558299</v>
      </c>
      <c r="L26" s="857"/>
      <c r="M26" s="857"/>
      <c r="N26" s="857">
        <v>793085</v>
      </c>
      <c r="O26" s="857"/>
      <c r="P26" s="858">
        <f t="shared" si="1"/>
        <v>1351384</v>
      </c>
      <c r="Q26" s="1748"/>
      <c r="R26" s="1749"/>
      <c r="S26" s="1749">
        <v>28000</v>
      </c>
      <c r="T26" s="1749">
        <v>26441</v>
      </c>
      <c r="U26" s="1749">
        <v>46228</v>
      </c>
      <c r="V26" s="1749">
        <v>1528661</v>
      </c>
      <c r="W26" s="857"/>
      <c r="X26" s="1746">
        <f t="shared" si="2"/>
        <v>1629330</v>
      </c>
    </row>
    <row r="27" spans="1:24" ht="49.5">
      <c r="A27" s="841">
        <v>17</v>
      </c>
      <c r="B27" s="472"/>
      <c r="C27" s="859">
        <v>16</v>
      </c>
      <c r="D27" s="864" t="s">
        <v>443</v>
      </c>
      <c r="E27" s="854" t="s">
        <v>521</v>
      </c>
      <c r="F27" s="214"/>
      <c r="G27" s="860">
        <f t="shared" si="0"/>
        <v>300126</v>
      </c>
      <c r="H27" s="861"/>
      <c r="I27" s="857"/>
      <c r="J27" s="857"/>
      <c r="K27" s="857"/>
      <c r="L27" s="857">
        <v>243150</v>
      </c>
      <c r="M27" s="857"/>
      <c r="N27" s="857">
        <v>11850</v>
      </c>
      <c r="O27" s="857"/>
      <c r="P27" s="858">
        <f t="shared" si="1"/>
        <v>255000</v>
      </c>
      <c r="Q27" s="855"/>
      <c r="R27" s="857"/>
      <c r="S27" s="857">
        <v>4379</v>
      </c>
      <c r="T27" s="857">
        <v>12827</v>
      </c>
      <c r="U27" s="857"/>
      <c r="V27" s="857">
        <f>249920+288000</f>
        <v>537920</v>
      </c>
      <c r="W27" s="857"/>
      <c r="X27" s="1746">
        <f t="shared" si="2"/>
        <v>555126</v>
      </c>
    </row>
    <row r="28" spans="1:24" s="992" customFormat="1" ht="33" customHeight="1">
      <c r="A28" s="841">
        <v>18</v>
      </c>
      <c r="B28" s="987"/>
      <c r="C28" s="993">
        <v>17</v>
      </c>
      <c r="D28" s="1747" t="s">
        <v>510</v>
      </c>
      <c r="E28" s="1752" t="s">
        <v>522</v>
      </c>
      <c r="F28" s="989"/>
      <c r="G28" s="1750">
        <f t="shared" si="0"/>
        <v>0</v>
      </c>
      <c r="H28" s="1751"/>
      <c r="I28" s="1749"/>
      <c r="J28" s="1749"/>
      <c r="K28" s="1749"/>
      <c r="L28" s="1749">
        <f>23652+14397</f>
        <v>38049</v>
      </c>
      <c r="M28" s="1749">
        <f>29993+15185+6342</f>
        <v>51520</v>
      </c>
      <c r="N28" s="1749">
        <f>1812+55770+36849</f>
        <v>94431</v>
      </c>
      <c r="O28" s="1749"/>
      <c r="P28" s="990">
        <f t="shared" si="1"/>
        <v>184000</v>
      </c>
      <c r="Q28" s="1748"/>
      <c r="R28" s="1749"/>
      <c r="S28" s="1749">
        <v>9200</v>
      </c>
      <c r="T28" s="1749">
        <f>3350+5228+2097</f>
        <v>10675</v>
      </c>
      <c r="U28" s="1749">
        <f>13739+5801</f>
        <v>19540</v>
      </c>
      <c r="V28" s="1749">
        <f>19255+75640+49690</f>
        <v>144585</v>
      </c>
      <c r="W28" s="1749"/>
      <c r="X28" s="1746">
        <f t="shared" si="2"/>
        <v>184000</v>
      </c>
    </row>
    <row r="29" spans="1:24" ht="49.5">
      <c r="A29" s="841">
        <v>19</v>
      </c>
      <c r="B29" s="472"/>
      <c r="C29" s="859">
        <v>18</v>
      </c>
      <c r="D29" s="853" t="s">
        <v>374</v>
      </c>
      <c r="E29" s="854" t="s">
        <v>519</v>
      </c>
      <c r="F29" s="214"/>
      <c r="G29" s="860">
        <f t="shared" si="0"/>
        <v>695</v>
      </c>
      <c r="H29" s="861"/>
      <c r="I29" s="857"/>
      <c r="J29" s="857"/>
      <c r="K29" s="857">
        <v>24175</v>
      </c>
      <c r="L29" s="857"/>
      <c r="M29" s="857">
        <v>26185</v>
      </c>
      <c r="N29" s="857"/>
      <c r="O29" s="857"/>
      <c r="P29" s="858">
        <f t="shared" si="1"/>
        <v>50360</v>
      </c>
      <c r="Q29" s="1748"/>
      <c r="R29" s="1749"/>
      <c r="S29" s="1749">
        <v>1176</v>
      </c>
      <c r="T29" s="1749">
        <v>23808</v>
      </c>
      <c r="U29" s="1749">
        <f>744+333+7845</f>
        <v>8922</v>
      </c>
      <c r="V29" s="1749">
        <v>17149</v>
      </c>
      <c r="W29" s="857"/>
      <c r="X29" s="1746">
        <f t="shared" si="2"/>
        <v>51055</v>
      </c>
    </row>
    <row r="30" spans="1:24" ht="33" customHeight="1">
      <c r="A30" s="841">
        <v>20</v>
      </c>
      <c r="B30" s="472"/>
      <c r="C30" s="862">
        <v>19</v>
      </c>
      <c r="D30" s="853" t="s">
        <v>523</v>
      </c>
      <c r="E30" s="854" t="s">
        <v>521</v>
      </c>
      <c r="F30" s="214"/>
      <c r="G30" s="860">
        <f t="shared" si="0"/>
        <v>6866</v>
      </c>
      <c r="H30" s="861"/>
      <c r="I30" s="857"/>
      <c r="J30" s="857"/>
      <c r="K30" s="857"/>
      <c r="L30" s="857"/>
      <c r="M30" s="857">
        <v>4371</v>
      </c>
      <c r="N30" s="857">
        <v>12634</v>
      </c>
      <c r="O30" s="857"/>
      <c r="P30" s="858">
        <f t="shared" si="1"/>
        <v>17005</v>
      </c>
      <c r="Q30" s="855"/>
      <c r="R30" s="857"/>
      <c r="S30" s="857"/>
      <c r="T30" s="857">
        <v>8399</v>
      </c>
      <c r="U30" s="857">
        <f>2398+427+2216+2237</f>
        <v>7278</v>
      </c>
      <c r="V30" s="857">
        <f>9358+76+2781+415-4436</f>
        <v>8194</v>
      </c>
      <c r="W30" s="857"/>
      <c r="X30" s="1746">
        <f t="shared" si="2"/>
        <v>23871</v>
      </c>
    </row>
    <row r="31" spans="1:24" ht="33" customHeight="1">
      <c r="A31" s="841">
        <v>21</v>
      </c>
      <c r="B31" s="994"/>
      <c r="C31" s="988">
        <v>20</v>
      </c>
      <c r="D31" s="995" t="s">
        <v>447</v>
      </c>
      <c r="E31" s="1752" t="s">
        <v>521</v>
      </c>
      <c r="F31" s="996"/>
      <c r="G31" s="860">
        <f t="shared" si="0"/>
        <v>15000</v>
      </c>
      <c r="H31" s="857"/>
      <c r="I31" s="857"/>
      <c r="J31" s="857"/>
      <c r="K31" s="857"/>
      <c r="L31" s="857"/>
      <c r="M31" s="857">
        <v>0</v>
      </c>
      <c r="N31" s="857">
        <v>40000</v>
      </c>
      <c r="O31" s="857"/>
      <c r="P31" s="858">
        <f t="shared" si="1"/>
        <v>40000</v>
      </c>
      <c r="Q31" s="855"/>
      <c r="R31" s="857"/>
      <c r="S31" s="857"/>
      <c r="T31" s="857"/>
      <c r="U31" s="857">
        <v>1680</v>
      </c>
      <c r="V31" s="857">
        <f>295+38025+15000</f>
        <v>53320</v>
      </c>
      <c r="W31" s="857"/>
      <c r="X31" s="1746">
        <f t="shared" si="2"/>
        <v>55000</v>
      </c>
    </row>
    <row r="32" spans="1:24" ht="53.25" customHeight="1">
      <c r="A32" s="841">
        <v>22</v>
      </c>
      <c r="B32" s="994"/>
      <c r="C32" s="997">
        <v>21</v>
      </c>
      <c r="D32" s="792" t="s">
        <v>448</v>
      </c>
      <c r="E32" s="1752" t="s">
        <v>521</v>
      </c>
      <c r="F32" s="998"/>
      <c r="G32" s="860">
        <f t="shared" si="0"/>
        <v>0</v>
      </c>
      <c r="H32" s="861"/>
      <c r="I32" s="999"/>
      <c r="J32" s="999"/>
      <c r="K32" s="999"/>
      <c r="L32" s="999"/>
      <c r="M32" s="999">
        <v>19985</v>
      </c>
      <c r="N32" s="999"/>
      <c r="O32" s="999"/>
      <c r="P32" s="858">
        <f t="shared" si="1"/>
        <v>19985</v>
      </c>
      <c r="Q32" s="860"/>
      <c r="R32" s="999"/>
      <c r="S32" s="999"/>
      <c r="T32" s="999"/>
      <c r="U32" s="999"/>
      <c r="V32" s="999">
        <v>19985</v>
      </c>
      <c r="W32" s="999"/>
      <c r="X32" s="1746">
        <f t="shared" si="2"/>
        <v>19985</v>
      </c>
    </row>
    <row r="33" spans="1:24" ht="33" customHeight="1">
      <c r="A33" s="841">
        <v>23</v>
      </c>
      <c r="B33" s="987"/>
      <c r="C33" s="997">
        <v>22</v>
      </c>
      <c r="D33" s="1737" t="s">
        <v>446</v>
      </c>
      <c r="E33" s="1738" t="s">
        <v>622</v>
      </c>
      <c r="F33" s="1003"/>
      <c r="G33" s="860">
        <f t="shared" si="0"/>
        <v>1796</v>
      </c>
      <c r="H33" s="861"/>
      <c r="I33" s="999"/>
      <c r="J33" s="999"/>
      <c r="K33" s="999"/>
      <c r="L33" s="999"/>
      <c r="M33" s="999"/>
      <c r="N33" s="999">
        <v>15756</v>
      </c>
      <c r="O33" s="999">
        <v>18368</v>
      </c>
      <c r="P33" s="858">
        <f t="shared" si="1"/>
        <v>34124</v>
      </c>
      <c r="Q33" s="860"/>
      <c r="R33" s="999"/>
      <c r="S33" s="999"/>
      <c r="T33" s="999"/>
      <c r="U33" s="999">
        <v>2593</v>
      </c>
      <c r="V33" s="999">
        <f>16262+6289</f>
        <v>22551</v>
      </c>
      <c r="W33" s="999">
        <v>10776</v>
      </c>
      <c r="X33" s="1746">
        <f t="shared" si="2"/>
        <v>35920</v>
      </c>
    </row>
    <row r="34" spans="1:24" ht="41.25" customHeight="1">
      <c r="A34" s="841">
        <v>24</v>
      </c>
      <c r="B34" s="987"/>
      <c r="C34" s="988">
        <v>23</v>
      </c>
      <c r="D34" s="792" t="s">
        <v>898</v>
      </c>
      <c r="E34" s="1758" t="s">
        <v>621</v>
      </c>
      <c r="F34" s="1759"/>
      <c r="G34" s="1750">
        <f t="shared" si="0"/>
        <v>8495</v>
      </c>
      <c r="H34" s="1751"/>
      <c r="I34" s="1760"/>
      <c r="J34" s="1760"/>
      <c r="K34" s="1760"/>
      <c r="L34" s="1760"/>
      <c r="M34" s="1760"/>
      <c r="N34" s="1760"/>
      <c r="O34" s="1760">
        <v>19822</v>
      </c>
      <c r="P34" s="990">
        <f t="shared" si="1"/>
        <v>19822</v>
      </c>
      <c r="Q34" s="1748"/>
      <c r="R34" s="1749"/>
      <c r="S34" s="1749"/>
      <c r="T34" s="1749"/>
      <c r="U34" s="1749"/>
      <c r="V34" s="1749">
        <f>4000+4436</f>
        <v>8436</v>
      </c>
      <c r="W34" s="1749">
        <v>19881</v>
      </c>
      <c r="X34" s="1746">
        <f t="shared" si="2"/>
        <v>28317</v>
      </c>
    </row>
    <row r="35" spans="1:24" s="212" customFormat="1" ht="33" customHeight="1">
      <c r="A35" s="841">
        <v>25</v>
      </c>
      <c r="B35" s="842">
        <v>14</v>
      </c>
      <c r="C35" s="843" t="s">
        <v>371</v>
      </c>
      <c r="D35" s="844"/>
      <c r="E35" s="1000"/>
      <c r="F35" s="846"/>
      <c r="G35" s="868"/>
      <c r="H35" s="865"/>
      <c r="I35" s="866"/>
      <c r="J35" s="866"/>
      <c r="K35" s="866"/>
      <c r="L35" s="866"/>
      <c r="M35" s="866"/>
      <c r="N35" s="866"/>
      <c r="O35" s="866"/>
      <c r="P35" s="867"/>
      <c r="Q35" s="868"/>
      <c r="R35" s="869"/>
      <c r="S35" s="869"/>
      <c r="T35" s="869"/>
      <c r="U35" s="869"/>
      <c r="V35" s="869"/>
      <c r="W35" s="869"/>
      <c r="X35" s="870"/>
    </row>
    <row r="36" spans="1:24" ht="33" customHeight="1">
      <c r="A36" s="841">
        <v>26</v>
      </c>
      <c r="B36" s="1001"/>
      <c r="C36" s="862">
        <v>2</v>
      </c>
      <c r="D36" s="853" t="s">
        <v>539</v>
      </c>
      <c r="E36" s="1002" t="s">
        <v>622</v>
      </c>
      <c r="F36" s="1003"/>
      <c r="G36" s="1004">
        <f aca="true" t="shared" si="3" ref="G36:G47">+X36-P36-H36</f>
        <v>142</v>
      </c>
      <c r="H36" s="1005"/>
      <c r="I36" s="1006"/>
      <c r="J36" s="1006"/>
      <c r="K36" s="1006"/>
      <c r="L36" s="1006"/>
      <c r="M36" s="1006">
        <v>2602</v>
      </c>
      <c r="N36" s="1073">
        <v>4099</v>
      </c>
      <c r="O36" s="1006"/>
      <c r="P36" s="1007">
        <f>SUM(I36:O36)</f>
        <v>6701</v>
      </c>
      <c r="Q36" s="1004"/>
      <c r="R36" s="1006"/>
      <c r="S36" s="1006"/>
      <c r="T36" s="1006"/>
      <c r="U36" s="1006"/>
      <c r="V36" s="1006">
        <v>6843</v>
      </c>
      <c r="W36" s="1006"/>
      <c r="X36" s="1008">
        <f>SUM(Q36:W36)</f>
        <v>6843</v>
      </c>
    </row>
    <row r="37" spans="1:24" ht="56.25" customHeight="1">
      <c r="A37" s="841">
        <v>27</v>
      </c>
      <c r="B37" s="1001"/>
      <c r="C37" s="862">
        <v>3</v>
      </c>
      <c r="D37" s="853" t="s">
        <v>985</v>
      </c>
      <c r="E37" s="1002" t="s">
        <v>622</v>
      </c>
      <c r="F37" s="1003"/>
      <c r="G37" s="1004">
        <f t="shared" si="3"/>
        <v>2564</v>
      </c>
      <c r="H37" s="1005">
        <v>1312</v>
      </c>
      <c r="I37" s="1006"/>
      <c r="J37" s="1006"/>
      <c r="K37" s="1006"/>
      <c r="L37" s="1006"/>
      <c r="M37" s="1006"/>
      <c r="N37" s="1073">
        <v>15000</v>
      </c>
      <c r="O37" s="1006"/>
      <c r="P37" s="1007">
        <f>SUM(I37:O37)</f>
        <v>15000</v>
      </c>
      <c r="Q37" s="1004"/>
      <c r="R37" s="1006"/>
      <c r="S37" s="1006"/>
      <c r="T37" s="1006"/>
      <c r="U37" s="1006"/>
      <c r="V37" s="1006">
        <v>18876</v>
      </c>
      <c r="W37" s="1006"/>
      <c r="X37" s="1008">
        <f>SUM(Q37:W37)</f>
        <v>18876</v>
      </c>
    </row>
    <row r="38" spans="1:24" ht="33" customHeight="1">
      <c r="A38" s="841">
        <v>28</v>
      </c>
      <c r="B38" s="1767">
        <v>13</v>
      </c>
      <c r="C38" s="843" t="s">
        <v>31</v>
      </c>
      <c r="D38" s="1009"/>
      <c r="E38" s="1002"/>
      <c r="F38" s="1003"/>
      <c r="G38" s="1004"/>
      <c r="H38" s="1005"/>
      <c r="I38" s="1006"/>
      <c r="J38" s="1006"/>
      <c r="K38" s="1006"/>
      <c r="L38" s="1006"/>
      <c r="M38" s="1006"/>
      <c r="N38" s="1006"/>
      <c r="O38" s="1006"/>
      <c r="P38" s="1007"/>
      <c r="Q38" s="1004"/>
      <c r="R38" s="1006"/>
      <c r="S38" s="1006"/>
      <c r="T38" s="1006"/>
      <c r="U38" s="1006"/>
      <c r="V38" s="1006"/>
      <c r="W38" s="1006"/>
      <c r="X38" s="1008"/>
    </row>
    <row r="39" spans="1:24" ht="33" customHeight="1">
      <c r="A39" s="841">
        <v>29</v>
      </c>
      <c r="B39" s="1001"/>
      <c r="C39" s="862">
        <v>1</v>
      </c>
      <c r="D39" s="853" t="s">
        <v>539</v>
      </c>
      <c r="E39" s="1002" t="s">
        <v>622</v>
      </c>
      <c r="F39" s="1003"/>
      <c r="G39" s="1004">
        <f t="shared" si="3"/>
        <v>0</v>
      </c>
      <c r="H39" s="1005"/>
      <c r="I39" s="1006"/>
      <c r="J39" s="1006"/>
      <c r="K39" s="1006"/>
      <c r="L39" s="1006"/>
      <c r="M39" s="1006">
        <v>8944</v>
      </c>
      <c r="N39" s="1006"/>
      <c r="O39" s="1006">
        <v>2236</v>
      </c>
      <c r="P39" s="1007">
        <f>SUM(I39:O39)</f>
        <v>11180</v>
      </c>
      <c r="Q39" s="1004"/>
      <c r="R39" s="1006"/>
      <c r="S39" s="1006"/>
      <c r="T39" s="1006"/>
      <c r="U39" s="1006"/>
      <c r="V39" s="1006">
        <v>8944</v>
      </c>
      <c r="W39" s="1006">
        <v>2236</v>
      </c>
      <c r="X39" s="1008">
        <f>SUM(Q39:W39)</f>
        <v>11180</v>
      </c>
    </row>
    <row r="40" spans="1:24" ht="33" customHeight="1">
      <c r="A40" s="841">
        <v>30</v>
      </c>
      <c r="B40" s="1001"/>
      <c r="C40" s="862">
        <v>2</v>
      </c>
      <c r="D40" s="853" t="s">
        <v>994</v>
      </c>
      <c r="E40" s="1002" t="s">
        <v>621</v>
      </c>
      <c r="F40" s="1003"/>
      <c r="G40" s="1004">
        <f t="shared" si="3"/>
        <v>0</v>
      </c>
      <c r="H40" s="1005">
        <f>5400+182</f>
        <v>5582</v>
      </c>
      <c r="I40" s="1006"/>
      <c r="J40" s="1006"/>
      <c r="K40" s="1006"/>
      <c r="L40" s="1006"/>
      <c r="M40" s="1006"/>
      <c r="N40" s="1006">
        <v>25000</v>
      </c>
      <c r="O40" s="1006"/>
      <c r="P40" s="1007">
        <f>SUM(I40:O40)</f>
        <v>25000</v>
      </c>
      <c r="Q40" s="1004"/>
      <c r="R40" s="1006"/>
      <c r="S40" s="1006"/>
      <c r="T40" s="1006"/>
      <c r="U40" s="1006"/>
      <c r="V40" s="1006">
        <f>3681+644+675+25400+182</f>
        <v>30582</v>
      </c>
      <c r="W40" s="1006"/>
      <c r="X40" s="1008">
        <f>SUM(Q40:W40)</f>
        <v>30582</v>
      </c>
    </row>
    <row r="41" spans="1:24" ht="33" customHeight="1">
      <c r="A41" s="841">
        <v>31</v>
      </c>
      <c r="B41" s="1768">
        <v>11</v>
      </c>
      <c r="C41" s="843" t="s">
        <v>370</v>
      </c>
      <c r="D41" s="844"/>
      <c r="E41" s="1002"/>
      <c r="F41" s="1003"/>
      <c r="G41" s="1004"/>
      <c r="H41" s="1005"/>
      <c r="I41" s="1006"/>
      <c r="J41" s="1006"/>
      <c r="K41" s="1006"/>
      <c r="L41" s="1006"/>
      <c r="M41" s="1006"/>
      <c r="N41" s="1006"/>
      <c r="O41" s="1006"/>
      <c r="P41" s="1007"/>
      <c r="Q41" s="1004"/>
      <c r="R41" s="1006"/>
      <c r="S41" s="1006"/>
      <c r="T41" s="1006"/>
      <c r="U41" s="1006"/>
      <c r="V41" s="1006"/>
      <c r="W41" s="1006"/>
      <c r="X41" s="1008"/>
    </row>
    <row r="42" spans="1:24" ht="33" customHeight="1">
      <c r="A42" s="841">
        <v>32</v>
      </c>
      <c r="B42" s="1010"/>
      <c r="C42" s="1690">
        <v>1</v>
      </c>
      <c r="D42" s="1011" t="s">
        <v>539</v>
      </c>
      <c r="E42" s="1002" t="s">
        <v>622</v>
      </c>
      <c r="F42" s="1003"/>
      <c r="G42" s="1004">
        <f t="shared" si="3"/>
        <v>0</v>
      </c>
      <c r="H42" s="1005"/>
      <c r="I42" s="1006"/>
      <c r="J42" s="1006"/>
      <c r="K42" s="1006"/>
      <c r="L42" s="1006"/>
      <c r="M42" s="1006">
        <v>1879</v>
      </c>
      <c r="N42" s="1006">
        <v>470</v>
      </c>
      <c r="O42" s="1006"/>
      <c r="P42" s="1007">
        <f>SUM(I42:O42)</f>
        <v>2349</v>
      </c>
      <c r="Q42" s="1004"/>
      <c r="R42" s="1006"/>
      <c r="S42" s="1006"/>
      <c r="T42" s="1006"/>
      <c r="U42" s="1006"/>
      <c r="V42" s="1006">
        <v>2349</v>
      </c>
      <c r="W42" s="1006"/>
      <c r="X42" s="1008">
        <f>SUM(Q42:W42)</f>
        <v>2349</v>
      </c>
    </row>
    <row r="43" spans="1:24" ht="33" customHeight="1">
      <c r="A43" s="841">
        <v>33</v>
      </c>
      <c r="B43" s="1001"/>
      <c r="C43" s="1690">
        <v>2</v>
      </c>
      <c r="D43" s="853" t="s">
        <v>960</v>
      </c>
      <c r="E43" s="1850" t="s">
        <v>621</v>
      </c>
      <c r="F43" s="1003"/>
      <c r="G43" s="1004">
        <f t="shared" si="3"/>
        <v>0</v>
      </c>
      <c r="H43" s="1005"/>
      <c r="I43" s="1006"/>
      <c r="J43" s="1006"/>
      <c r="K43" s="1006"/>
      <c r="L43" s="1006"/>
      <c r="M43" s="1006"/>
      <c r="N43" s="1006">
        <v>15000</v>
      </c>
      <c r="O43" s="1006"/>
      <c r="P43" s="1007">
        <f>SUM(I43:O43)</f>
        <v>15000</v>
      </c>
      <c r="Q43" s="1004"/>
      <c r="R43" s="1006"/>
      <c r="S43" s="1006"/>
      <c r="T43" s="1006"/>
      <c r="U43" s="1006"/>
      <c r="V43" s="1006">
        <v>15000</v>
      </c>
      <c r="W43" s="1006"/>
      <c r="X43" s="1008">
        <f>SUM(Q43:W43)</f>
        <v>15000</v>
      </c>
    </row>
    <row r="44" spans="1:24" ht="33" customHeight="1">
      <c r="A44" s="841">
        <v>34</v>
      </c>
      <c r="B44" s="1767">
        <v>10</v>
      </c>
      <c r="C44" s="1695" t="s">
        <v>378</v>
      </c>
      <c r="D44" s="1710"/>
      <c r="E44" s="1711"/>
      <c r="F44" s="1003"/>
      <c r="G44" s="1004"/>
      <c r="H44" s="1005"/>
      <c r="I44" s="1006"/>
      <c r="J44" s="1006"/>
      <c r="K44" s="1006"/>
      <c r="L44" s="1006"/>
      <c r="M44" s="1006"/>
      <c r="N44" s="1006"/>
      <c r="O44" s="1006"/>
      <c r="P44" s="1709"/>
      <c r="Q44" s="1004"/>
      <c r="R44" s="1006"/>
      <c r="S44" s="1006"/>
      <c r="T44" s="1006"/>
      <c r="U44" s="1006"/>
      <c r="V44" s="1006"/>
      <c r="W44" s="1006"/>
      <c r="X44" s="1008"/>
    </row>
    <row r="45" spans="1:24" ht="42" customHeight="1">
      <c r="A45" s="841">
        <v>35</v>
      </c>
      <c r="B45" s="1001"/>
      <c r="C45" s="1690">
        <v>2</v>
      </c>
      <c r="D45" s="1011" t="s">
        <v>877</v>
      </c>
      <c r="E45" s="1690" t="s">
        <v>521</v>
      </c>
      <c r="F45" s="1003"/>
      <c r="G45" s="1004">
        <f t="shared" si="3"/>
        <v>0</v>
      </c>
      <c r="H45" s="1005"/>
      <c r="I45" s="1006"/>
      <c r="J45" s="1006"/>
      <c r="K45" s="1006"/>
      <c r="L45" s="1006"/>
      <c r="M45" s="1006"/>
      <c r="N45" s="1006">
        <v>20000</v>
      </c>
      <c r="O45" s="1006"/>
      <c r="P45" s="1007">
        <f>SUM(I45:O45)</f>
        <v>20000</v>
      </c>
      <c r="Q45" s="1004"/>
      <c r="R45" s="1006"/>
      <c r="S45" s="1006"/>
      <c r="T45" s="1006"/>
      <c r="U45" s="1006"/>
      <c r="V45" s="1006">
        <v>20000</v>
      </c>
      <c r="W45" s="1006"/>
      <c r="X45" s="1008">
        <f>SUM(Q45:W45)</f>
        <v>20000</v>
      </c>
    </row>
    <row r="46" spans="1:24" ht="33" customHeight="1">
      <c r="A46" s="841">
        <v>36</v>
      </c>
      <c r="B46" s="1769">
        <v>9</v>
      </c>
      <c r="C46" s="1695" t="s">
        <v>376</v>
      </c>
      <c r="D46" s="1695"/>
      <c r="E46" s="1691"/>
      <c r="F46" s="214"/>
      <c r="G46" s="855"/>
      <c r="H46" s="856"/>
      <c r="I46" s="857"/>
      <c r="J46" s="857"/>
      <c r="K46" s="857"/>
      <c r="L46" s="857"/>
      <c r="M46" s="857"/>
      <c r="N46" s="857"/>
      <c r="O46" s="857"/>
      <c r="P46" s="1692"/>
      <c r="Q46" s="855"/>
      <c r="R46" s="857"/>
      <c r="S46" s="857"/>
      <c r="T46" s="857"/>
      <c r="U46" s="857"/>
      <c r="V46" s="857"/>
      <c r="W46" s="857"/>
      <c r="X46" s="1693"/>
    </row>
    <row r="47" spans="1:24" ht="38.25" customHeight="1" thickBot="1">
      <c r="A47" s="841">
        <v>37</v>
      </c>
      <c r="B47" s="1687"/>
      <c r="C47" s="1694">
        <v>1</v>
      </c>
      <c r="D47" s="1999" t="s">
        <v>854</v>
      </c>
      <c r="E47" s="1002" t="s">
        <v>622</v>
      </c>
      <c r="F47" s="214"/>
      <c r="G47" s="1004">
        <f t="shared" si="3"/>
        <v>0</v>
      </c>
      <c r="H47" s="1057"/>
      <c r="I47" s="1688"/>
      <c r="J47" s="1688"/>
      <c r="K47" s="1688"/>
      <c r="L47" s="1688"/>
      <c r="M47" s="1688"/>
      <c r="N47" s="1688">
        <v>15000</v>
      </c>
      <c r="O47" s="1688"/>
      <c r="P47" s="1007">
        <f>SUM(I47:O47)</f>
        <v>15000</v>
      </c>
      <c r="Q47" s="1689"/>
      <c r="R47" s="1688"/>
      <c r="S47" s="1688"/>
      <c r="T47" s="1688"/>
      <c r="U47" s="1688"/>
      <c r="V47" s="1688">
        <v>15000</v>
      </c>
      <c r="W47" s="1688"/>
      <c r="X47" s="1008">
        <f>SUM(Q47:W47)</f>
        <v>15000</v>
      </c>
    </row>
    <row r="48" spans="1:24" ht="33" customHeight="1" thickBot="1">
      <c r="A48" s="841">
        <v>38</v>
      </c>
      <c r="B48" s="2360" t="s">
        <v>115</v>
      </c>
      <c r="C48" s="2361"/>
      <c r="D48" s="2361"/>
      <c r="E48" s="2361"/>
      <c r="F48" s="213"/>
      <c r="G48" s="871">
        <f>SUM(G12:G47)</f>
        <v>1145011</v>
      </c>
      <c r="H48" s="872">
        <f>SUM(H12:H47)</f>
        <v>284840</v>
      </c>
      <c r="I48" s="872">
        <f>SUM(I12:I47)</f>
        <v>977327</v>
      </c>
      <c r="J48" s="872">
        <f aca="true" t="shared" si="4" ref="J48:P48">SUM(J12:J47)</f>
        <v>0</v>
      </c>
      <c r="K48" s="872">
        <f>SUM(K12:K47)</f>
        <v>2938877</v>
      </c>
      <c r="L48" s="872">
        <f>SUM(L12:L47)</f>
        <v>1125747</v>
      </c>
      <c r="M48" s="872">
        <f t="shared" si="4"/>
        <v>1049406</v>
      </c>
      <c r="N48" s="872">
        <f t="shared" si="4"/>
        <v>5857470</v>
      </c>
      <c r="O48" s="872">
        <f t="shared" si="4"/>
        <v>159364</v>
      </c>
      <c r="P48" s="872">
        <f t="shared" si="4"/>
        <v>12108191</v>
      </c>
      <c r="Q48" s="1696">
        <f>SUM(Q12:Q47)</f>
        <v>68046</v>
      </c>
      <c r="R48" s="1698">
        <f aca="true" t="shared" si="5" ref="R48:X48">SUM(R12:R47)</f>
        <v>126233</v>
      </c>
      <c r="S48" s="872">
        <f t="shared" si="5"/>
        <v>801730</v>
      </c>
      <c r="T48" s="872">
        <f t="shared" si="5"/>
        <v>2302797</v>
      </c>
      <c r="U48" s="872">
        <f t="shared" si="5"/>
        <v>1279361</v>
      </c>
      <c r="V48" s="872">
        <f>SUM(V12:V47)</f>
        <v>8808044</v>
      </c>
      <c r="W48" s="1697">
        <f t="shared" si="5"/>
        <v>151831</v>
      </c>
      <c r="X48" s="1754">
        <f t="shared" si="5"/>
        <v>13538042</v>
      </c>
    </row>
    <row r="49" spans="2:24" ht="24.75" customHeight="1">
      <c r="B49" s="2358" t="s">
        <v>524</v>
      </c>
      <c r="C49" s="2358"/>
      <c r="D49" s="2358"/>
      <c r="E49" s="2358"/>
      <c r="F49" s="2358"/>
      <c r="G49" s="2358"/>
      <c r="H49" s="2358"/>
      <c r="I49" s="2358"/>
      <c r="J49" s="2358"/>
      <c r="K49" s="2358"/>
      <c r="L49" s="2358"/>
      <c r="M49" s="2358"/>
      <c r="N49" s="2358"/>
      <c r="O49" s="2358"/>
      <c r="P49" s="2358"/>
      <c r="Q49" s="2358"/>
      <c r="R49" s="2358"/>
      <c r="S49" s="2358"/>
      <c r="T49" s="2358"/>
      <c r="U49" s="2358"/>
      <c r="V49" s="2358"/>
      <c r="W49" s="2358"/>
      <c r="X49" s="2358"/>
    </row>
    <row r="50" spans="2:24" ht="24.75" customHeight="1">
      <c r="B50" s="2358" t="s">
        <v>899</v>
      </c>
      <c r="C50" s="2358"/>
      <c r="D50" s="2358"/>
      <c r="E50" s="2358"/>
      <c r="F50" s="2358"/>
      <c r="G50" s="2358"/>
      <c r="H50" s="2358"/>
      <c r="I50" s="2358"/>
      <c r="J50" s="2358"/>
      <c r="K50" s="2358"/>
      <c r="L50" s="2358"/>
      <c r="M50" s="2358"/>
      <c r="N50" s="2358"/>
      <c r="O50" s="2358"/>
      <c r="P50" s="2358"/>
      <c r="Q50" s="2358"/>
      <c r="R50" s="2358"/>
      <c r="S50" s="2358"/>
      <c r="T50" s="2358"/>
      <c r="U50" s="2358"/>
      <c r="V50" s="2358"/>
      <c r="W50" s="2358"/>
      <c r="X50" s="2358"/>
    </row>
    <row r="51" spans="2:24" ht="24.75" customHeight="1">
      <c r="B51" s="2359" t="s">
        <v>623</v>
      </c>
      <c r="C51" s="2359"/>
      <c r="D51" s="2359"/>
      <c r="E51" s="2359"/>
      <c r="F51" s="2359"/>
      <c r="G51" s="2359"/>
      <c r="H51" s="2359"/>
      <c r="I51" s="2359"/>
      <c r="J51" s="2359"/>
      <c r="K51" s="2359"/>
      <c r="L51" s="2359"/>
      <c r="M51" s="2359"/>
      <c r="N51" s="2359"/>
      <c r="O51" s="2359"/>
      <c r="P51" s="2359"/>
      <c r="Q51" s="2359"/>
      <c r="R51" s="2359"/>
      <c r="S51" s="2359"/>
      <c r="T51" s="2359"/>
      <c r="U51" s="2359"/>
      <c r="V51" s="2359"/>
      <c r="W51" s="2359"/>
      <c r="X51" s="2359"/>
    </row>
    <row r="52" spans="2:24" s="780" customFormat="1" ht="24.75" customHeight="1">
      <c r="B52" s="210"/>
      <c r="C52" s="210"/>
      <c r="D52" s="975"/>
      <c r="E52" s="211"/>
      <c r="F52" s="209"/>
      <c r="G52" s="209"/>
      <c r="H52" s="209"/>
      <c r="I52" s="209"/>
      <c r="J52" s="209"/>
      <c r="K52" s="209"/>
      <c r="L52" s="209"/>
      <c r="M52" s="209"/>
      <c r="N52" s="209"/>
      <c r="O52" s="209"/>
      <c r="P52" s="209"/>
      <c r="Q52" s="209"/>
      <c r="R52" s="209"/>
      <c r="S52" s="209"/>
      <c r="T52" s="209"/>
      <c r="U52" s="209"/>
      <c r="V52" s="209"/>
      <c r="W52" s="209"/>
      <c r="X52" s="209"/>
    </row>
    <row r="53" spans="2:24" s="780" customFormat="1" ht="24.75" customHeight="1">
      <c r="B53" s="210"/>
      <c r="C53" s="210"/>
      <c r="D53" s="975"/>
      <c r="E53" s="211"/>
      <c r="F53" s="209"/>
      <c r="G53" s="209"/>
      <c r="H53" s="209"/>
      <c r="I53" s="209"/>
      <c r="J53" s="209"/>
      <c r="K53" s="209"/>
      <c r="L53" s="209"/>
      <c r="M53" s="209"/>
      <c r="N53" s="209"/>
      <c r="O53" s="209"/>
      <c r="P53" s="209"/>
      <c r="Q53" s="209"/>
      <c r="R53" s="209"/>
      <c r="S53" s="209"/>
      <c r="T53" s="209"/>
      <c r="U53" s="209"/>
      <c r="V53" s="209"/>
      <c r="W53" s="209"/>
      <c r="X53" s="209"/>
    </row>
    <row r="54" spans="2:24" s="780" customFormat="1" ht="24.75" customHeight="1">
      <c r="B54" s="210"/>
      <c r="C54" s="210"/>
      <c r="D54" s="975"/>
      <c r="E54" s="211"/>
      <c r="F54" s="209"/>
      <c r="G54" s="209"/>
      <c r="H54" s="209"/>
      <c r="I54" s="209"/>
      <c r="J54" s="209"/>
      <c r="K54" s="209"/>
      <c r="L54" s="209"/>
      <c r="M54" s="209"/>
      <c r="N54" s="209"/>
      <c r="O54" s="209"/>
      <c r="P54" s="209"/>
      <c r="Q54" s="209"/>
      <c r="R54" s="209"/>
      <c r="S54" s="209"/>
      <c r="T54" s="209"/>
      <c r="U54" s="209"/>
      <c r="V54" s="209"/>
      <c r="W54" s="209"/>
      <c r="X54" s="209"/>
    </row>
    <row r="55" spans="2:24" s="780" customFormat="1" ht="24.75" customHeight="1">
      <c r="B55" s="210"/>
      <c r="C55" s="210"/>
      <c r="D55" s="975"/>
      <c r="E55" s="211"/>
      <c r="F55" s="209"/>
      <c r="G55" s="209"/>
      <c r="H55" s="209"/>
      <c r="I55" s="209"/>
      <c r="J55" s="209"/>
      <c r="K55" s="209"/>
      <c r="L55" s="209"/>
      <c r="M55" s="209"/>
      <c r="N55" s="209"/>
      <c r="O55" s="209"/>
      <c r="P55" s="209"/>
      <c r="Q55" s="209"/>
      <c r="R55" s="209"/>
      <c r="S55" s="209"/>
      <c r="T55" s="209"/>
      <c r="U55" s="209"/>
      <c r="V55" s="209"/>
      <c r="W55" s="209"/>
      <c r="X55" s="209"/>
    </row>
    <row r="56" spans="2:24" s="780" customFormat="1" ht="24.75" customHeight="1">
      <c r="B56" s="210"/>
      <c r="C56" s="210"/>
      <c r="D56" s="975"/>
      <c r="E56" s="211"/>
      <c r="F56" s="209"/>
      <c r="G56" s="209"/>
      <c r="H56" s="209"/>
      <c r="I56" s="209"/>
      <c r="J56" s="209"/>
      <c r="K56" s="209"/>
      <c r="L56" s="209"/>
      <c r="M56" s="209"/>
      <c r="N56" s="209"/>
      <c r="O56" s="209"/>
      <c r="P56" s="209"/>
      <c r="Q56" s="209"/>
      <c r="R56" s="209"/>
      <c r="S56" s="209"/>
      <c r="T56" s="209"/>
      <c r="U56" s="209"/>
      <c r="V56" s="209"/>
      <c r="W56" s="209"/>
      <c r="X56" s="209"/>
    </row>
    <row r="57" spans="2:24" s="780" customFormat="1" ht="24.75" customHeight="1">
      <c r="B57" s="210"/>
      <c r="C57" s="210"/>
      <c r="D57" s="975"/>
      <c r="E57" s="211"/>
      <c r="F57" s="209"/>
      <c r="G57" s="209"/>
      <c r="H57" s="209"/>
      <c r="I57" s="209"/>
      <c r="J57" s="209"/>
      <c r="K57" s="209"/>
      <c r="L57" s="209"/>
      <c r="M57" s="209"/>
      <c r="N57" s="209"/>
      <c r="O57" s="209"/>
      <c r="P57" s="209"/>
      <c r="Q57" s="209"/>
      <c r="R57" s="209"/>
      <c r="S57" s="209"/>
      <c r="T57" s="209"/>
      <c r="U57" s="209"/>
      <c r="V57" s="209"/>
      <c r="W57" s="209"/>
      <c r="X57" s="209"/>
    </row>
  </sheetData>
  <sheetProtection/>
  <mergeCells count="21">
    <mergeCell ref="B51:X51"/>
    <mergeCell ref="B48:E48"/>
    <mergeCell ref="B1:G1"/>
    <mergeCell ref="B2:U2"/>
    <mergeCell ref="X8:X10"/>
    <mergeCell ref="G9:G10"/>
    <mergeCell ref="H9:H10"/>
    <mergeCell ref="I9:O9"/>
    <mergeCell ref="P9:P10"/>
    <mergeCell ref="B8:B10"/>
    <mergeCell ref="C8:C10"/>
    <mergeCell ref="D8:D10"/>
    <mergeCell ref="E8:E10"/>
    <mergeCell ref="G8:P8"/>
    <mergeCell ref="Q8:W9"/>
    <mergeCell ref="B50:X50"/>
    <mergeCell ref="B3:X3"/>
    <mergeCell ref="B4:X4"/>
    <mergeCell ref="B5:X5"/>
    <mergeCell ref="W6:X6"/>
    <mergeCell ref="B49:X49"/>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44" r:id="rId1"/>
  <headerFooter>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47"/>
  <sheetViews>
    <sheetView view="pageBreakPreview" zoomScaleSheetLayoutView="100" zoomScalePageLayoutView="0" workbookViewId="0" topLeftCell="A1">
      <selection activeCell="B1" sqref="B1:O1"/>
    </sheetView>
  </sheetViews>
  <sheetFormatPr defaultColWidth="9.125" defaultRowHeight="12.75"/>
  <cols>
    <col min="1" max="1" width="3.75390625" style="1601" customWidth="1"/>
    <col min="2" max="2" width="86.75390625" style="1642" customWidth="1"/>
    <col min="3" max="7" width="13.75390625" style="1643" customWidth="1"/>
    <col min="8" max="8" width="15.75390625" style="1643" customWidth="1"/>
    <col min="9" max="9" width="13.75390625" style="1643" customWidth="1"/>
    <col min="10" max="10" width="16.875" style="1605" customWidth="1"/>
    <col min="11" max="16384" width="9.125" style="1605" customWidth="1"/>
  </cols>
  <sheetData>
    <row r="1" spans="2:15" ht="17.25">
      <c r="B1" s="2039" t="s">
        <v>1096</v>
      </c>
      <c r="C1" s="2039"/>
      <c r="D1" s="2039"/>
      <c r="E1" s="2039"/>
      <c r="F1" s="2039"/>
      <c r="G1" s="2039"/>
      <c r="H1" s="2039"/>
      <c r="I1" s="2039"/>
      <c r="J1" s="2039"/>
      <c r="K1" s="2039"/>
      <c r="L1" s="2039"/>
      <c r="M1" s="2039"/>
      <c r="N1" s="2039"/>
      <c r="O1" s="2039"/>
    </row>
    <row r="2" spans="1:9" s="1603" customFormat="1" ht="16.5" customHeight="1">
      <c r="A2" s="1601"/>
      <c r="B2" s="2050" t="s">
        <v>808</v>
      </c>
      <c r="C2" s="2050"/>
      <c r="D2" s="2051"/>
      <c r="E2" s="2051"/>
      <c r="F2" s="2051"/>
      <c r="G2" s="2051"/>
      <c r="H2" s="2051"/>
      <c r="I2" s="1602"/>
    </row>
    <row r="3" spans="2:15" ht="24.75" customHeight="1">
      <c r="B3" s="2052" t="s">
        <v>809</v>
      </c>
      <c r="C3" s="2052"/>
      <c r="D3" s="2052"/>
      <c r="E3" s="2052"/>
      <c r="F3" s="2052"/>
      <c r="G3" s="2052"/>
      <c r="H3" s="2052"/>
      <c r="I3" s="1604"/>
      <c r="J3" s="2053"/>
      <c r="K3" s="2053"/>
      <c r="L3" s="2053"/>
      <c r="M3" s="2053"/>
      <c r="N3" s="2053"/>
      <c r="O3" s="2053"/>
    </row>
    <row r="4" spans="1:15" s="1603" customFormat="1" ht="24.75" customHeight="1">
      <c r="A4" s="1601"/>
      <c r="B4" s="2048" t="s">
        <v>810</v>
      </c>
      <c r="C4" s="2048"/>
      <c r="D4" s="2048"/>
      <c r="E4" s="2048"/>
      <c r="F4" s="2048"/>
      <c r="G4" s="2048"/>
      <c r="H4" s="2048"/>
      <c r="I4" s="1606"/>
      <c r="J4" s="2049"/>
      <c r="K4" s="2049"/>
      <c r="L4" s="2049"/>
      <c r="M4" s="2049"/>
      <c r="N4" s="2049"/>
      <c r="O4" s="2049"/>
    </row>
    <row r="5" spans="1:9" s="1612" customFormat="1" ht="15">
      <c r="A5" s="1607"/>
      <c r="B5" s="1608"/>
      <c r="C5" s="1609"/>
      <c r="D5" s="1609"/>
      <c r="E5" s="1609"/>
      <c r="F5" s="1609"/>
      <c r="G5" s="1609"/>
      <c r="H5" s="1610" t="s">
        <v>0</v>
      </c>
      <c r="I5" s="1611"/>
    </row>
    <row r="6" spans="1:9" s="1615" customFormat="1" ht="15" thickBot="1">
      <c r="A6" s="1607"/>
      <c r="B6" s="1613" t="s">
        <v>1</v>
      </c>
      <c r="C6" s="1614" t="s">
        <v>3</v>
      </c>
      <c r="D6" s="1614" t="s">
        <v>2</v>
      </c>
      <c r="E6" s="1614" t="s">
        <v>4</v>
      </c>
      <c r="F6" s="1614" t="s">
        <v>5</v>
      </c>
      <c r="G6" s="1614" t="s">
        <v>15</v>
      </c>
      <c r="H6" s="1614" t="s">
        <v>16</v>
      </c>
      <c r="I6" s="1614"/>
    </row>
    <row r="7" spans="1:9" s="1618" customFormat="1" ht="17.25">
      <c r="A7" s="1607"/>
      <c r="B7" s="2040" t="s">
        <v>6</v>
      </c>
      <c r="C7" s="2042" t="s">
        <v>811</v>
      </c>
      <c r="D7" s="2042" t="s">
        <v>812</v>
      </c>
      <c r="E7" s="2046" t="s">
        <v>1041</v>
      </c>
      <c r="F7" s="2044" t="s">
        <v>112</v>
      </c>
      <c r="G7" s="2046" t="s">
        <v>1042</v>
      </c>
      <c r="H7" s="1616" t="s">
        <v>813</v>
      </c>
      <c r="I7" s="1617"/>
    </row>
    <row r="8" spans="1:9" s="1618" customFormat="1" ht="18" thickBot="1">
      <c r="A8" s="1607"/>
      <c r="B8" s="2041"/>
      <c r="C8" s="2043"/>
      <c r="D8" s="2043"/>
      <c r="E8" s="2047"/>
      <c r="F8" s="2045"/>
      <c r="G8" s="2047"/>
      <c r="H8" s="1619" t="s">
        <v>814</v>
      </c>
      <c r="I8" s="1617"/>
    </row>
    <row r="9" spans="1:10" s="1625" customFormat="1" ht="22.5" customHeight="1">
      <c r="A9" s="1607">
        <v>1</v>
      </c>
      <c r="B9" s="1620" t="s">
        <v>815</v>
      </c>
      <c r="C9" s="1621">
        <v>0</v>
      </c>
      <c r="D9" s="1621">
        <f>SUM(D10:D16)</f>
        <v>1209808</v>
      </c>
      <c r="E9" s="1621">
        <f>SUM(E10:E16)</f>
        <v>1214159</v>
      </c>
      <c r="F9" s="1621">
        <f>SUM(F10:F16)</f>
        <v>0</v>
      </c>
      <c r="G9" s="1621">
        <f>SUM(G10:G16)</f>
        <v>1214159</v>
      </c>
      <c r="H9" s="1622"/>
      <c r="I9" s="1623"/>
      <c r="J9" s="1624"/>
    </row>
    <row r="10" spans="1:9" s="1618" customFormat="1" ht="18" customHeight="1">
      <c r="A10" s="1607">
        <v>2</v>
      </c>
      <c r="B10" s="1626" t="s">
        <v>816</v>
      </c>
      <c r="C10" s="1627"/>
      <c r="D10" s="1627">
        <v>776793</v>
      </c>
      <c r="E10" s="1627">
        <v>779205</v>
      </c>
      <c r="F10" s="1627"/>
      <c r="G10" s="1627">
        <f>SUM(E10:F10)</f>
        <v>779205</v>
      </c>
      <c r="H10" s="1628"/>
      <c r="I10" s="1629"/>
    </row>
    <row r="11" spans="1:9" s="1618" customFormat="1" ht="18" customHeight="1">
      <c r="A11" s="1607">
        <v>3</v>
      </c>
      <c r="B11" s="1626" t="s">
        <v>817</v>
      </c>
      <c r="C11" s="1627"/>
      <c r="D11" s="1627">
        <v>56808</v>
      </c>
      <c r="E11" s="1627">
        <v>56808</v>
      </c>
      <c r="F11" s="1627"/>
      <c r="G11" s="1627">
        <f aca="true" t="shared" si="0" ref="G11:G16">SUM(E11:F11)</f>
        <v>56808</v>
      </c>
      <c r="H11" s="1628"/>
      <c r="I11" s="1629"/>
    </row>
    <row r="12" spans="1:9" s="1618" customFormat="1" ht="18" customHeight="1">
      <c r="A12" s="1607">
        <v>4</v>
      </c>
      <c r="B12" s="1626" t="s">
        <v>818</v>
      </c>
      <c r="C12" s="1627"/>
      <c r="D12" s="1627">
        <v>120392</v>
      </c>
      <c r="E12" s="1627">
        <v>120392</v>
      </c>
      <c r="F12" s="1627"/>
      <c r="G12" s="1627">
        <f t="shared" si="0"/>
        <v>120392</v>
      </c>
      <c r="H12" s="1628"/>
      <c r="I12" s="1629"/>
    </row>
    <row r="13" spans="1:9" s="1618" customFormat="1" ht="18" customHeight="1">
      <c r="A13" s="1607">
        <v>5</v>
      </c>
      <c r="B13" s="1626" t="s">
        <v>819</v>
      </c>
      <c r="C13" s="1627"/>
      <c r="D13" s="1627">
        <v>15072</v>
      </c>
      <c r="E13" s="1627">
        <v>15072</v>
      </c>
      <c r="F13" s="1627"/>
      <c r="G13" s="1627">
        <f t="shared" si="0"/>
        <v>15072</v>
      </c>
      <c r="H13" s="1628"/>
      <c r="I13" s="1629"/>
    </row>
    <row r="14" spans="1:9" s="1618" customFormat="1" ht="18" customHeight="1">
      <c r="A14" s="1607">
        <v>6</v>
      </c>
      <c r="B14" s="1626" t="s">
        <v>820</v>
      </c>
      <c r="C14" s="1627"/>
      <c r="D14" s="1627">
        <v>91122</v>
      </c>
      <c r="E14" s="1627">
        <v>93061</v>
      </c>
      <c r="F14" s="1627"/>
      <c r="G14" s="1627">
        <f t="shared" si="0"/>
        <v>93061</v>
      </c>
      <c r="H14" s="1628"/>
      <c r="I14" s="1629"/>
    </row>
    <row r="15" spans="1:9" s="1618" customFormat="1" ht="18" customHeight="1">
      <c r="A15" s="1607">
        <v>7</v>
      </c>
      <c r="B15" s="1626" t="s">
        <v>821</v>
      </c>
      <c r="C15" s="1627"/>
      <c r="D15" s="1627">
        <v>149167</v>
      </c>
      <c r="E15" s="1627">
        <v>149167</v>
      </c>
      <c r="F15" s="1627"/>
      <c r="G15" s="1627">
        <f t="shared" si="0"/>
        <v>149167</v>
      </c>
      <c r="H15" s="1628"/>
      <c r="I15" s="1629"/>
    </row>
    <row r="16" spans="1:9" s="1618" customFormat="1" ht="18" customHeight="1">
      <c r="A16" s="1607">
        <v>8</v>
      </c>
      <c r="B16" s="1626" t="s">
        <v>822</v>
      </c>
      <c r="C16" s="1627"/>
      <c r="D16" s="1627">
        <v>454</v>
      </c>
      <c r="E16" s="1627">
        <v>454</v>
      </c>
      <c r="F16" s="1627"/>
      <c r="G16" s="1627">
        <f t="shared" si="0"/>
        <v>454</v>
      </c>
      <c r="H16" s="1628"/>
      <c r="I16" s="1629"/>
    </row>
    <row r="17" spans="1:9" s="1625" customFormat="1" ht="22.5" customHeight="1">
      <c r="A17" s="1607">
        <v>9</v>
      </c>
      <c r="B17" s="1630" t="s">
        <v>823</v>
      </c>
      <c r="C17" s="1631">
        <f>SUM(C18:C22)</f>
        <v>1125011</v>
      </c>
      <c r="D17" s="1631">
        <f>SUM(D18:D22)</f>
        <v>1198897</v>
      </c>
      <c r="E17" s="1631">
        <f>SUM(E18:E22)</f>
        <v>1244767</v>
      </c>
      <c r="F17" s="1631">
        <f>SUM(F18:F22)</f>
        <v>0</v>
      </c>
      <c r="G17" s="1631">
        <f>SUM(G18:G22)</f>
        <v>1244767</v>
      </c>
      <c r="H17" s="1622">
        <f aca="true" t="shared" si="1" ref="H17:H34">(D17/C17)</f>
        <v>1.0656758022810444</v>
      </c>
      <c r="I17" s="1623"/>
    </row>
    <row r="18" spans="1:9" s="1618" customFormat="1" ht="18" customHeight="1">
      <c r="A18" s="1607">
        <v>10</v>
      </c>
      <c r="B18" s="1626" t="s">
        <v>824</v>
      </c>
      <c r="C18" s="1627">
        <v>162239</v>
      </c>
      <c r="D18" s="1627">
        <v>151817</v>
      </c>
      <c r="E18" s="1627">
        <v>151817</v>
      </c>
      <c r="F18" s="1627"/>
      <c r="G18" s="1627">
        <f>SUM(E18:F18)</f>
        <v>151817</v>
      </c>
      <c r="H18" s="1628">
        <f t="shared" si="1"/>
        <v>0.9357614383717848</v>
      </c>
      <c r="I18" s="1629"/>
    </row>
    <row r="19" spans="1:9" s="1618" customFormat="1" ht="18" customHeight="1">
      <c r="A19" s="1607">
        <v>11</v>
      </c>
      <c r="B19" s="1626" t="s">
        <v>825</v>
      </c>
      <c r="C19" s="1627">
        <v>650042</v>
      </c>
      <c r="D19" s="1627">
        <v>680610</v>
      </c>
      <c r="E19" s="1627">
        <v>680610</v>
      </c>
      <c r="F19" s="1627"/>
      <c r="G19" s="1627">
        <f>SUM(E19:F19)</f>
        <v>680610</v>
      </c>
      <c r="H19" s="1628">
        <f t="shared" si="1"/>
        <v>1.0470246537916013</v>
      </c>
      <c r="I19" s="1629"/>
    </row>
    <row r="20" spans="1:9" s="1618" customFormat="1" ht="31.5">
      <c r="A20" s="1607">
        <v>12</v>
      </c>
      <c r="B20" s="1626" t="s">
        <v>826</v>
      </c>
      <c r="C20" s="1627">
        <v>30745</v>
      </c>
      <c r="D20" s="1627">
        <f>22032+11277+520+1820</f>
        <v>35649</v>
      </c>
      <c r="E20" s="1627">
        <v>35649</v>
      </c>
      <c r="F20" s="1627">
        <v>1980</v>
      </c>
      <c r="G20" s="1627">
        <f>SUM(E20:F20)</f>
        <v>37629</v>
      </c>
      <c r="H20" s="1628">
        <f t="shared" si="1"/>
        <v>1.1595056106684014</v>
      </c>
      <c r="I20" s="1629"/>
    </row>
    <row r="21" spans="1:9" s="1618" customFormat="1" ht="18" customHeight="1">
      <c r="A21" s="1607">
        <v>13</v>
      </c>
      <c r="B21" s="1626" t="s">
        <v>827</v>
      </c>
      <c r="C21" s="1627">
        <v>4870</v>
      </c>
      <c r="D21" s="1627">
        <v>4870</v>
      </c>
      <c r="E21" s="1627">
        <v>6850</v>
      </c>
      <c r="F21" s="1627">
        <v>-1980</v>
      </c>
      <c r="G21" s="1627">
        <f>SUM(E21:F21)</f>
        <v>4870</v>
      </c>
      <c r="H21" s="1628">
        <f t="shared" si="1"/>
        <v>1</v>
      </c>
      <c r="I21" s="1629"/>
    </row>
    <row r="22" spans="1:9" s="1618" customFormat="1" ht="31.5">
      <c r="A22" s="1607">
        <v>14</v>
      </c>
      <c r="B22" s="1626" t="s">
        <v>828</v>
      </c>
      <c r="C22" s="1627">
        <v>277115</v>
      </c>
      <c r="D22" s="1627">
        <f>321090+4861</f>
        <v>325951</v>
      </c>
      <c r="E22" s="1627">
        <v>369841</v>
      </c>
      <c r="F22" s="1627"/>
      <c r="G22" s="1627">
        <f>SUM(E22:F22)</f>
        <v>369841</v>
      </c>
      <c r="H22" s="1628">
        <f t="shared" si="1"/>
        <v>1.176230084982769</v>
      </c>
      <c r="I22" s="1629"/>
    </row>
    <row r="23" spans="1:9" s="1625" customFormat="1" ht="22.5" customHeight="1">
      <c r="A23" s="1607">
        <v>15</v>
      </c>
      <c r="B23" s="1630" t="s">
        <v>829</v>
      </c>
      <c r="C23" s="1631">
        <f>SUM(C24:C36)</f>
        <v>978351</v>
      </c>
      <c r="D23" s="1631">
        <f>SUM(D24:D36)</f>
        <v>1080565</v>
      </c>
      <c r="E23" s="1631">
        <f>SUM(E24:E36)</f>
        <v>1177636</v>
      </c>
      <c r="F23" s="1631">
        <f>SUM(F24:F36)</f>
        <v>-15809</v>
      </c>
      <c r="G23" s="1631">
        <f>SUM(G24:G36)</f>
        <v>1161827</v>
      </c>
      <c r="H23" s="1622">
        <f t="shared" si="1"/>
        <v>1.1044757965188363</v>
      </c>
      <c r="I23" s="1623"/>
    </row>
    <row r="24" spans="1:9" s="1618" customFormat="1" ht="18" customHeight="1">
      <c r="A24" s="1607">
        <v>16</v>
      </c>
      <c r="B24" s="1626" t="s">
        <v>830</v>
      </c>
      <c r="C24" s="1627">
        <v>35020</v>
      </c>
      <c r="D24" s="1627">
        <v>45100</v>
      </c>
      <c r="E24" s="1627">
        <v>46818</v>
      </c>
      <c r="F24" s="1627"/>
      <c r="G24" s="1627">
        <f>SUM(E24:F24)</f>
        <v>46818</v>
      </c>
      <c r="H24" s="1628">
        <f t="shared" si="1"/>
        <v>1.287835522558538</v>
      </c>
      <c r="I24" s="1629"/>
    </row>
    <row r="25" spans="1:9" s="1618" customFormat="1" ht="18" customHeight="1">
      <c r="A25" s="1607">
        <v>17</v>
      </c>
      <c r="B25" s="1626" t="s">
        <v>831</v>
      </c>
      <c r="C25" s="1627">
        <v>39270</v>
      </c>
      <c r="D25" s="1627">
        <v>42705</v>
      </c>
      <c r="E25" s="1627">
        <v>44794</v>
      </c>
      <c r="F25" s="1627"/>
      <c r="G25" s="1627">
        <f aca="true" t="shared" si="2" ref="G25:G36">SUM(E25:F25)</f>
        <v>44794</v>
      </c>
      <c r="H25" s="1628">
        <f t="shared" si="1"/>
        <v>1.0874713521772346</v>
      </c>
      <c r="I25" s="1629"/>
    </row>
    <row r="26" spans="1:9" s="1618" customFormat="1" ht="18" customHeight="1">
      <c r="A26" s="1607">
        <v>18</v>
      </c>
      <c r="B26" s="1626" t="s">
        <v>832</v>
      </c>
      <c r="C26" s="1627">
        <v>49393</v>
      </c>
      <c r="D26" s="1627">
        <v>52046</v>
      </c>
      <c r="E26" s="1627">
        <v>52996</v>
      </c>
      <c r="F26" s="1627"/>
      <c r="G26" s="1627">
        <f t="shared" si="2"/>
        <v>52996</v>
      </c>
      <c r="H26" s="1628">
        <f t="shared" si="1"/>
        <v>1.0537120644625757</v>
      </c>
      <c r="I26" s="1629"/>
    </row>
    <row r="27" spans="1:9" s="1618" customFormat="1" ht="18" customHeight="1">
      <c r="A27" s="1607">
        <v>19</v>
      </c>
      <c r="B27" s="1626" t="s">
        <v>833</v>
      </c>
      <c r="C27" s="1627">
        <v>65687</v>
      </c>
      <c r="D27" s="1627">
        <f>25+76920</f>
        <v>76945</v>
      </c>
      <c r="E27" s="1627">
        <v>80148</v>
      </c>
      <c r="F27" s="1627"/>
      <c r="G27" s="1627">
        <f t="shared" si="2"/>
        <v>80148</v>
      </c>
      <c r="H27" s="1628">
        <f t="shared" si="1"/>
        <v>1.1713885548129768</v>
      </c>
      <c r="I27" s="1629"/>
    </row>
    <row r="28" spans="1:9" s="1618" customFormat="1" ht="18" customHeight="1">
      <c r="A28" s="1607">
        <v>20</v>
      </c>
      <c r="B28" s="1626" t="s">
        <v>834</v>
      </c>
      <c r="C28" s="1627">
        <v>39900</v>
      </c>
      <c r="D28" s="1627">
        <v>39711</v>
      </c>
      <c r="E28" s="1627">
        <v>41027</v>
      </c>
      <c r="F28" s="1627"/>
      <c r="G28" s="1627">
        <f t="shared" si="2"/>
        <v>41027</v>
      </c>
      <c r="H28" s="1628">
        <f t="shared" si="1"/>
        <v>0.9952631578947368</v>
      </c>
      <c r="I28" s="1629"/>
    </row>
    <row r="29" spans="1:9" s="1618" customFormat="1" ht="18" customHeight="1">
      <c r="A29" s="1607">
        <v>21</v>
      </c>
      <c r="B29" s="1626" t="s">
        <v>835</v>
      </c>
      <c r="C29" s="1627">
        <v>32245</v>
      </c>
      <c r="D29" s="1627">
        <f>30744+3514</f>
        <v>34258</v>
      </c>
      <c r="E29" s="1627">
        <v>35376</v>
      </c>
      <c r="F29" s="1627"/>
      <c r="G29" s="1627">
        <f t="shared" si="2"/>
        <v>35376</v>
      </c>
      <c r="H29" s="1628">
        <f t="shared" si="1"/>
        <v>1.0624282834547991</v>
      </c>
      <c r="I29" s="1629"/>
    </row>
    <row r="30" spans="1:9" s="1618" customFormat="1" ht="18" customHeight="1">
      <c r="A30" s="1607">
        <v>22</v>
      </c>
      <c r="B30" s="1626" t="s">
        <v>836</v>
      </c>
      <c r="C30" s="1627">
        <v>13780</v>
      </c>
      <c r="D30" s="1627">
        <v>15372</v>
      </c>
      <c r="E30" s="1627">
        <v>15677</v>
      </c>
      <c r="F30" s="1627"/>
      <c r="G30" s="1627">
        <f t="shared" si="2"/>
        <v>15677</v>
      </c>
      <c r="H30" s="1628">
        <f t="shared" si="1"/>
        <v>1.1155297532656023</v>
      </c>
      <c r="I30" s="1629"/>
    </row>
    <row r="31" spans="1:9" s="1618" customFormat="1" ht="18" customHeight="1">
      <c r="A31" s="1607">
        <v>23</v>
      </c>
      <c r="B31" s="1626" t="s">
        <v>837</v>
      </c>
      <c r="C31" s="1627">
        <v>54612</v>
      </c>
      <c r="D31" s="1627">
        <v>55088</v>
      </c>
      <c r="E31" s="1627">
        <v>55088</v>
      </c>
      <c r="F31" s="1627"/>
      <c r="G31" s="1627">
        <f t="shared" si="2"/>
        <v>55088</v>
      </c>
      <c r="H31" s="1628">
        <f t="shared" si="1"/>
        <v>1.008716033106277</v>
      </c>
      <c r="I31" s="1629"/>
    </row>
    <row r="32" spans="1:9" s="1618" customFormat="1" ht="18" customHeight="1">
      <c r="A32" s="1607">
        <v>24</v>
      </c>
      <c r="B32" s="1626" t="s">
        <v>838</v>
      </c>
      <c r="C32" s="1627">
        <v>456349</v>
      </c>
      <c r="D32" s="1627">
        <f>112200+260286+144439</f>
        <v>516925</v>
      </c>
      <c r="E32" s="1627">
        <v>516925</v>
      </c>
      <c r="F32" s="1627">
        <v>-56411</v>
      </c>
      <c r="G32" s="1627">
        <f t="shared" si="2"/>
        <v>460514</v>
      </c>
      <c r="H32" s="1628">
        <f t="shared" si="1"/>
        <v>1.13274051219571</v>
      </c>
      <c r="I32" s="1629"/>
    </row>
    <row r="33" spans="1:9" s="1618" customFormat="1" ht="18" customHeight="1">
      <c r="A33" s="1607">
        <v>25</v>
      </c>
      <c r="B33" s="1626" t="s">
        <v>839</v>
      </c>
      <c r="C33" s="1627">
        <v>19290</v>
      </c>
      <c r="D33" s="1627">
        <v>16936</v>
      </c>
      <c r="E33" s="1627">
        <v>17768</v>
      </c>
      <c r="F33" s="1627"/>
      <c r="G33" s="1627">
        <f t="shared" si="2"/>
        <v>17768</v>
      </c>
      <c r="H33" s="1628">
        <f t="shared" si="1"/>
        <v>0.8779678589942975</v>
      </c>
      <c r="I33" s="1629"/>
    </row>
    <row r="34" spans="1:9" s="1618" customFormat="1" ht="18" customHeight="1">
      <c r="A34" s="1607">
        <v>26</v>
      </c>
      <c r="B34" s="1626" t="s">
        <v>840</v>
      </c>
      <c r="C34" s="1627">
        <f>142747+30058</f>
        <v>172805</v>
      </c>
      <c r="D34" s="1627">
        <f>152425+33054</f>
        <v>185479</v>
      </c>
      <c r="E34" s="1627">
        <v>192965</v>
      </c>
      <c r="F34" s="1998">
        <f>-6880</f>
        <v>-6880</v>
      </c>
      <c r="G34" s="1627">
        <f t="shared" si="2"/>
        <v>186085</v>
      </c>
      <c r="H34" s="1628">
        <f t="shared" si="1"/>
        <v>1.073342785220335</v>
      </c>
      <c r="I34" s="1629"/>
    </row>
    <row r="35" spans="1:9" s="1618" customFormat="1" ht="18" customHeight="1">
      <c r="A35" s="1607">
        <v>27</v>
      </c>
      <c r="B35" s="1626" t="s">
        <v>1044</v>
      </c>
      <c r="C35" s="1627"/>
      <c r="D35" s="1627"/>
      <c r="E35" s="1627">
        <f>29556+44705</f>
        <v>74261</v>
      </c>
      <c r="F35" s="1837">
        <v>45098</v>
      </c>
      <c r="G35" s="1627">
        <f t="shared" si="2"/>
        <v>119359</v>
      </c>
      <c r="H35" s="1628"/>
      <c r="I35" s="1629"/>
    </row>
    <row r="36" spans="1:9" s="1618" customFormat="1" ht="18" customHeight="1">
      <c r="A36" s="1607">
        <v>28</v>
      </c>
      <c r="B36" s="1626" t="s">
        <v>1043</v>
      </c>
      <c r="C36" s="1627"/>
      <c r="D36" s="1627"/>
      <c r="E36" s="1627">
        <f>1589+2204</f>
        <v>3793</v>
      </c>
      <c r="F36" s="1079">
        <v>2384</v>
      </c>
      <c r="G36" s="1627">
        <f t="shared" si="2"/>
        <v>6177</v>
      </c>
      <c r="H36" s="1628"/>
      <c r="I36" s="1629"/>
    </row>
    <row r="37" spans="1:9" s="1625" customFormat="1" ht="22.5" customHeight="1">
      <c r="A37" s="1607">
        <v>29</v>
      </c>
      <c r="B37" s="1630" t="s">
        <v>841</v>
      </c>
      <c r="C37" s="1631">
        <f>SUM(C38:C39)</f>
        <v>501982</v>
      </c>
      <c r="D37" s="1631">
        <f>SUM(D38:D39)</f>
        <v>567989</v>
      </c>
      <c r="E37" s="1631">
        <f>SUM(E38:E39)</f>
        <v>573516</v>
      </c>
      <c r="F37" s="1631">
        <f>SUM(F38:F39)</f>
        <v>24317</v>
      </c>
      <c r="G37" s="1631">
        <f>SUM(G38:G39)</f>
        <v>597833</v>
      </c>
      <c r="H37" s="1622">
        <f aca="true" t="shared" si="3" ref="H37:H44">(D37/C37)</f>
        <v>1.131492762688702</v>
      </c>
      <c r="I37" s="1623"/>
    </row>
    <row r="38" spans="1:9" s="1618" customFormat="1" ht="18" customHeight="1">
      <c r="A38" s="1607">
        <v>30</v>
      </c>
      <c r="B38" s="1626" t="s">
        <v>842</v>
      </c>
      <c r="C38" s="1627">
        <v>501906</v>
      </c>
      <c r="D38" s="1627">
        <f>243184+324805</f>
        <v>567989</v>
      </c>
      <c r="E38" s="1627">
        <v>573516</v>
      </c>
      <c r="F38" s="1627">
        <v>24317</v>
      </c>
      <c r="G38" s="1627">
        <f>SUM(E38:F38)</f>
        <v>597833</v>
      </c>
      <c r="H38" s="1628">
        <f t="shared" si="3"/>
        <v>1.1316640964642781</v>
      </c>
      <c r="I38" s="1629"/>
    </row>
    <row r="39" spans="1:9" s="1618" customFormat="1" ht="18" customHeight="1">
      <c r="A39" s="1607">
        <v>31</v>
      </c>
      <c r="B39" s="1626" t="s">
        <v>843</v>
      </c>
      <c r="C39" s="1627">
        <v>76</v>
      </c>
      <c r="D39" s="1627">
        <v>0</v>
      </c>
      <c r="E39" s="1627"/>
      <c r="F39" s="1627"/>
      <c r="G39" s="1627"/>
      <c r="H39" s="1628">
        <f t="shared" si="3"/>
        <v>0</v>
      </c>
      <c r="I39" s="1629"/>
    </row>
    <row r="40" spans="1:9" s="1634" customFormat="1" ht="22.5" customHeight="1">
      <c r="A40" s="1607">
        <v>32</v>
      </c>
      <c r="B40" s="1630" t="s">
        <v>844</v>
      </c>
      <c r="C40" s="1631">
        <f>SUM(C41:C46)</f>
        <v>461283</v>
      </c>
      <c r="D40" s="1631">
        <f>SUM(D41:D46)</f>
        <v>487700</v>
      </c>
      <c r="E40" s="1631">
        <f>SUM(E41:E46)</f>
        <v>490325</v>
      </c>
      <c r="F40" s="1631">
        <f>SUM(F41:F46)</f>
        <v>0</v>
      </c>
      <c r="G40" s="1631">
        <f>SUM(G41:G46)</f>
        <v>490325</v>
      </c>
      <c r="H40" s="1632">
        <f t="shared" si="3"/>
        <v>1.0572685314654995</v>
      </c>
      <c r="I40" s="1633"/>
    </row>
    <row r="41" spans="1:9" s="1603" customFormat="1" ht="18" customHeight="1">
      <c r="A41" s="1607">
        <v>33</v>
      </c>
      <c r="B41" s="1626" t="s">
        <v>845</v>
      </c>
      <c r="C41" s="1627">
        <v>120660</v>
      </c>
      <c r="D41" s="1627">
        <v>120660</v>
      </c>
      <c r="E41" s="1627">
        <v>120660</v>
      </c>
      <c r="F41" s="1627"/>
      <c r="G41" s="1627">
        <f aca="true" t="shared" si="4" ref="G41:G46">SUM(E41:F41)</f>
        <v>120660</v>
      </c>
      <c r="H41" s="1635">
        <f t="shared" si="3"/>
        <v>1</v>
      </c>
      <c r="I41" s="1636"/>
    </row>
    <row r="42" spans="1:9" s="1603" customFormat="1" ht="18" customHeight="1">
      <c r="A42" s="1607">
        <v>34</v>
      </c>
      <c r="B42" s="1626" t="s">
        <v>846</v>
      </c>
      <c r="C42" s="1627">
        <v>140200</v>
      </c>
      <c r="D42" s="1627">
        <v>140200</v>
      </c>
      <c r="E42" s="1627">
        <v>140200</v>
      </c>
      <c r="F42" s="1627"/>
      <c r="G42" s="1627">
        <f t="shared" si="4"/>
        <v>140200</v>
      </c>
      <c r="H42" s="1635">
        <f t="shared" si="3"/>
        <v>1</v>
      </c>
      <c r="I42" s="1636"/>
    </row>
    <row r="43" spans="1:9" s="1603" customFormat="1" ht="18" customHeight="1">
      <c r="A43" s="1607">
        <v>35</v>
      </c>
      <c r="B43" s="1626" t="s">
        <v>847</v>
      </c>
      <c r="C43" s="1627">
        <v>25675</v>
      </c>
      <c r="D43" s="1627">
        <v>52485</v>
      </c>
      <c r="E43" s="1627">
        <v>53093</v>
      </c>
      <c r="F43" s="1627"/>
      <c r="G43" s="1627">
        <f t="shared" si="4"/>
        <v>53093</v>
      </c>
      <c r="H43" s="1635">
        <f t="shared" si="3"/>
        <v>2.0442064264849074</v>
      </c>
      <c r="I43" s="1636"/>
    </row>
    <row r="44" spans="1:9" s="1603" customFormat="1" ht="18" customHeight="1">
      <c r="A44" s="1607">
        <v>36</v>
      </c>
      <c r="B44" s="1626" t="s">
        <v>848</v>
      </c>
      <c r="C44" s="1627">
        <v>150648</v>
      </c>
      <c r="D44" s="1627">
        <v>150255</v>
      </c>
      <c r="E44" s="1627">
        <v>150255</v>
      </c>
      <c r="F44" s="1627"/>
      <c r="G44" s="1627">
        <f t="shared" si="4"/>
        <v>150255</v>
      </c>
      <c r="H44" s="1635">
        <f t="shared" si="3"/>
        <v>0.9973912697148319</v>
      </c>
      <c r="I44" s="1636"/>
    </row>
    <row r="45" spans="1:9" s="1603" customFormat="1" ht="18" customHeight="1">
      <c r="A45" s="1607">
        <v>37</v>
      </c>
      <c r="B45" s="1626" t="s">
        <v>1045</v>
      </c>
      <c r="C45" s="1627"/>
      <c r="D45" s="1627"/>
      <c r="E45" s="1627">
        <v>2017</v>
      </c>
      <c r="F45" s="1627"/>
      <c r="G45" s="1627">
        <f t="shared" si="4"/>
        <v>2017</v>
      </c>
      <c r="H45" s="1635"/>
      <c r="I45" s="1636"/>
    </row>
    <row r="46" spans="1:9" s="1603" customFormat="1" ht="18" customHeight="1" thickBot="1">
      <c r="A46" s="1607">
        <v>38</v>
      </c>
      <c r="B46" s="1626" t="s">
        <v>849</v>
      </c>
      <c r="C46" s="1627">
        <v>24100</v>
      </c>
      <c r="D46" s="1627">
        <v>24100</v>
      </c>
      <c r="E46" s="1627">
        <v>24100</v>
      </c>
      <c r="F46" s="1627"/>
      <c r="G46" s="1627">
        <f t="shared" si="4"/>
        <v>24100</v>
      </c>
      <c r="H46" s="1635">
        <f>(D46/C46)</f>
        <v>1</v>
      </c>
      <c r="I46" s="1636"/>
    </row>
    <row r="47" spans="1:9" s="1641" customFormat="1" ht="36" customHeight="1" thickBot="1">
      <c r="A47" s="1607">
        <v>39</v>
      </c>
      <c r="B47" s="1637" t="s">
        <v>13</v>
      </c>
      <c r="C47" s="1638">
        <f>SUM(C9,C17,C23,C37,C40)</f>
        <v>3066627</v>
      </c>
      <c r="D47" s="1638">
        <f>SUM(D9,D17,D23,D37,D40)</f>
        <v>4544959</v>
      </c>
      <c r="E47" s="1638">
        <f>SUM(E9,E17,E23,E37,E40)</f>
        <v>4700403</v>
      </c>
      <c r="F47" s="1638">
        <f>SUM(F9,F17,F23,F37,F40)</f>
        <v>8508</v>
      </c>
      <c r="G47" s="1638">
        <f>SUM(G9,G17,G23,G37,G40)</f>
        <v>4708911</v>
      </c>
      <c r="H47" s="1639">
        <f>(D47/C47)</f>
        <v>1.4820710180925167</v>
      </c>
      <c r="I47" s="1640"/>
    </row>
  </sheetData>
  <sheetProtection/>
  <mergeCells count="13">
    <mergeCell ref="B4:H4"/>
    <mergeCell ref="J4:O4"/>
    <mergeCell ref="B1:O1"/>
    <mergeCell ref="B2:C2"/>
    <mergeCell ref="D2:H2"/>
    <mergeCell ref="B3:H3"/>
    <mergeCell ref="J3:O3"/>
    <mergeCell ref="B7:B8"/>
    <mergeCell ref="C7:C8"/>
    <mergeCell ref="D7:D8"/>
    <mergeCell ref="F7:F8"/>
    <mergeCell ref="G7:G8"/>
    <mergeCell ref="E7:E8"/>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7"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O78"/>
  <sheetViews>
    <sheetView view="pageBreakPreview" zoomScale="85" zoomScaleSheetLayoutView="85" zoomScalePageLayoutView="0" workbookViewId="0" topLeftCell="A1">
      <selection activeCell="B1" sqref="B1:N1"/>
    </sheetView>
  </sheetViews>
  <sheetFormatPr defaultColWidth="9.125" defaultRowHeight="12.75"/>
  <cols>
    <col min="1" max="1" width="3.75390625" style="675" customWidth="1"/>
    <col min="2" max="2" width="5.75390625" style="84" customWidth="1"/>
    <col min="3" max="5" width="5.75390625" style="86" customWidth="1"/>
    <col min="6" max="6" width="59.75390625" style="45" customWidth="1"/>
    <col min="7" max="9" width="13.75390625" style="45" customWidth="1"/>
    <col min="10" max="13" width="15.75390625" style="45" customWidth="1"/>
    <col min="14" max="16384" width="9.125" style="45" customWidth="1"/>
  </cols>
  <sheetData>
    <row r="1" spans="2:14" ht="17.25">
      <c r="B1" s="2039" t="s">
        <v>1097</v>
      </c>
      <c r="C1" s="2039"/>
      <c r="D1" s="2039"/>
      <c r="E1" s="2039"/>
      <c r="F1" s="2039"/>
      <c r="G1" s="2039"/>
      <c r="H1" s="2039"/>
      <c r="I1" s="2039"/>
      <c r="J1" s="2039"/>
      <c r="K1" s="2039"/>
      <c r="L1" s="2039"/>
      <c r="M1" s="2039"/>
      <c r="N1" s="2039"/>
    </row>
    <row r="2" spans="2:11" ht="16.5">
      <c r="B2" s="2054" t="s">
        <v>727</v>
      </c>
      <c r="C2" s="2054"/>
      <c r="D2" s="2054"/>
      <c r="E2" s="2054"/>
      <c r="F2" s="2054"/>
      <c r="H2" s="46"/>
      <c r="I2" s="47"/>
      <c r="J2" s="47"/>
      <c r="K2" s="47"/>
    </row>
    <row r="3" spans="1:13" s="48" customFormat="1" ht="24.75" customHeight="1">
      <c r="A3" s="675"/>
      <c r="B3" s="2055" t="s">
        <v>156</v>
      </c>
      <c r="C3" s="2055"/>
      <c r="D3" s="2055"/>
      <c r="E3" s="2055"/>
      <c r="F3" s="2055"/>
      <c r="G3" s="2055"/>
      <c r="H3" s="2055"/>
      <c r="I3" s="2055"/>
      <c r="J3" s="2055"/>
      <c r="K3" s="2055"/>
      <c r="L3" s="2055"/>
      <c r="M3" s="2055"/>
    </row>
    <row r="4" spans="1:13" s="48" customFormat="1" ht="24.75" customHeight="1">
      <c r="A4" s="675"/>
      <c r="B4" s="2055" t="s">
        <v>538</v>
      </c>
      <c r="C4" s="2055"/>
      <c r="D4" s="2055"/>
      <c r="E4" s="2055"/>
      <c r="F4" s="2055"/>
      <c r="G4" s="2055"/>
      <c r="H4" s="2055"/>
      <c r="I4" s="2055"/>
      <c r="J4" s="2055"/>
      <c r="K4" s="2055"/>
      <c r="L4" s="2055"/>
      <c r="M4" s="2055"/>
    </row>
    <row r="5" spans="3:13" ht="17.25">
      <c r="C5" s="85"/>
      <c r="E5" s="85"/>
      <c r="F5" s="85"/>
      <c r="G5" s="85"/>
      <c r="H5" s="46"/>
      <c r="M5" s="319" t="s">
        <v>0</v>
      </c>
    </row>
    <row r="6" spans="1:13" s="86" customFormat="1" ht="17.25" thickBot="1">
      <c r="A6" s="675"/>
      <c r="B6" s="84" t="s">
        <v>1</v>
      </c>
      <c r="C6" s="86" t="s">
        <v>3</v>
      </c>
      <c r="D6" s="86" t="s">
        <v>2</v>
      </c>
      <c r="E6" s="86" t="s">
        <v>4</v>
      </c>
      <c r="F6" s="86" t="s">
        <v>5</v>
      </c>
      <c r="G6" s="86" t="s">
        <v>15</v>
      </c>
      <c r="H6" s="86" t="s">
        <v>16</v>
      </c>
      <c r="I6" s="320" t="s">
        <v>17</v>
      </c>
      <c r="J6" s="320" t="s">
        <v>33</v>
      </c>
      <c r="K6" s="56" t="s">
        <v>29</v>
      </c>
      <c r="L6" s="86" t="s">
        <v>22</v>
      </c>
      <c r="M6" s="86" t="s">
        <v>34</v>
      </c>
    </row>
    <row r="7" spans="1:13" s="49" customFormat="1" ht="79.5" customHeight="1" thickBot="1">
      <c r="A7" s="675"/>
      <c r="B7" s="321" t="s">
        <v>188</v>
      </c>
      <c r="C7" s="322" t="s">
        <v>19</v>
      </c>
      <c r="D7" s="308" t="s">
        <v>428</v>
      </c>
      <c r="E7" s="308" t="s">
        <v>430</v>
      </c>
      <c r="F7" s="323" t="s">
        <v>6</v>
      </c>
      <c r="G7" s="217" t="s">
        <v>535</v>
      </c>
      <c r="H7" s="217" t="s">
        <v>536</v>
      </c>
      <c r="I7" s="324" t="s">
        <v>614</v>
      </c>
      <c r="J7" s="1082" t="s">
        <v>673</v>
      </c>
      <c r="K7" s="311" t="s">
        <v>937</v>
      </c>
      <c r="L7" s="1094" t="s">
        <v>112</v>
      </c>
      <c r="M7" s="1110" t="s">
        <v>1090</v>
      </c>
    </row>
    <row r="8" spans="1:13" s="54" customFormat="1" ht="30" customHeight="1">
      <c r="A8" s="675">
        <v>1</v>
      </c>
      <c r="B8" s="304" t="s">
        <v>379</v>
      </c>
      <c r="C8" s="50"/>
      <c r="D8" s="51"/>
      <c r="E8" s="50"/>
      <c r="F8" s="52" t="s">
        <v>189</v>
      </c>
      <c r="G8" s="53">
        <f aca="true" t="shared" si="0" ref="G8:M8">SUM(G9:G10)</f>
        <v>8054296</v>
      </c>
      <c r="H8" s="53">
        <f t="shared" si="0"/>
        <v>8038573</v>
      </c>
      <c r="I8" s="53">
        <f t="shared" si="0"/>
        <v>7660387</v>
      </c>
      <c r="J8" s="1111">
        <f t="shared" si="0"/>
        <v>8835002</v>
      </c>
      <c r="K8" s="53">
        <f t="shared" si="0"/>
        <v>9879838</v>
      </c>
      <c r="L8" s="1127">
        <f t="shared" si="0"/>
        <v>180550</v>
      </c>
      <c r="M8" s="1121">
        <f t="shared" si="0"/>
        <v>10060388</v>
      </c>
    </row>
    <row r="9" spans="1:13" ht="25.5" customHeight="1">
      <c r="A9" s="675">
        <v>2</v>
      </c>
      <c r="B9" s="55"/>
      <c r="C9" s="56"/>
      <c r="D9" s="56">
        <v>1</v>
      </c>
      <c r="E9" s="56"/>
      <c r="F9" s="57" t="s">
        <v>36</v>
      </c>
      <c r="G9" s="57">
        <f>7776616-10996+10996</f>
        <v>7776616</v>
      </c>
      <c r="H9" s="57">
        <v>7971537</v>
      </c>
      <c r="I9" s="57">
        <v>7486012</v>
      </c>
      <c r="J9" s="1112">
        <f>+'4.Inki'!K308+'4.Inki'!L308+'4.Inki'!M308+'4.Inki'!N308+'4.Inki'!O308</f>
        <v>8688793</v>
      </c>
      <c r="K9" s="57">
        <v>9525779</v>
      </c>
      <c r="L9" s="66">
        <f>'4.Inki'!K310+'4.Inki'!L310+'4.Inki'!M310+'4.Inki'!N310+'4.Inki'!O310</f>
        <v>148275</v>
      </c>
      <c r="M9" s="1122">
        <f>SUM(K9:L9)</f>
        <v>9674054</v>
      </c>
    </row>
    <row r="10" spans="1:13" ht="25.5" customHeight="1">
      <c r="A10" s="675">
        <v>3</v>
      </c>
      <c r="B10" s="55"/>
      <c r="C10" s="56"/>
      <c r="D10" s="56">
        <v>2</v>
      </c>
      <c r="E10" s="56"/>
      <c r="F10" s="57" t="s">
        <v>148</v>
      </c>
      <c r="G10" s="57">
        <f aca="true" t="shared" si="1" ref="G10:L10">SUM(G11:G13)</f>
        <v>277680</v>
      </c>
      <c r="H10" s="57">
        <f t="shared" si="1"/>
        <v>67036</v>
      </c>
      <c r="I10" s="57">
        <f t="shared" si="1"/>
        <v>174375</v>
      </c>
      <c r="J10" s="1112">
        <f t="shared" si="1"/>
        <v>146209</v>
      </c>
      <c r="K10" s="57">
        <f t="shared" si="1"/>
        <v>354059</v>
      </c>
      <c r="L10" s="66">
        <f t="shared" si="1"/>
        <v>32275</v>
      </c>
      <c r="M10" s="1122">
        <f>SUM(M11:M13)</f>
        <v>386334</v>
      </c>
    </row>
    <row r="11" spans="1:13" ht="17.25">
      <c r="A11" s="675">
        <v>4</v>
      </c>
      <c r="B11" s="55"/>
      <c r="C11" s="56"/>
      <c r="D11" s="56"/>
      <c r="E11" s="56">
        <v>1</v>
      </c>
      <c r="F11" s="58" t="s">
        <v>213</v>
      </c>
      <c r="G11" s="57">
        <v>277321</v>
      </c>
      <c r="H11" s="57">
        <f>65036+2000</f>
        <v>67036</v>
      </c>
      <c r="I11" s="57">
        <v>171260</v>
      </c>
      <c r="J11" s="1112">
        <f>+'4.Inki'!P308+'4.Inki'!R308</f>
        <v>146209</v>
      </c>
      <c r="K11" s="57">
        <v>354059</v>
      </c>
      <c r="L11" s="66">
        <f>'4.Inki'!P310</f>
        <v>29985</v>
      </c>
      <c r="M11" s="1122">
        <f>SUM(K11:L11)</f>
        <v>384044</v>
      </c>
    </row>
    <row r="12" spans="2:13" ht="17.25">
      <c r="B12" s="55"/>
      <c r="C12" s="56"/>
      <c r="D12" s="56"/>
      <c r="E12" s="56">
        <v>2</v>
      </c>
      <c r="F12" s="58" t="s">
        <v>149</v>
      </c>
      <c r="G12" s="57"/>
      <c r="H12" s="57"/>
      <c r="I12" s="57"/>
      <c r="J12" s="1112"/>
      <c r="K12" s="57"/>
      <c r="L12" s="66">
        <f>'4.Inki'!R310</f>
        <v>2290</v>
      </c>
      <c r="M12" s="1122">
        <f>SUM(K12:L12)</f>
        <v>2290</v>
      </c>
    </row>
    <row r="13" spans="1:13" ht="17.25">
      <c r="A13" s="675">
        <v>5</v>
      </c>
      <c r="B13" s="55"/>
      <c r="C13" s="56"/>
      <c r="D13" s="56"/>
      <c r="E13" s="56">
        <v>3</v>
      </c>
      <c r="F13" s="58" t="s">
        <v>214</v>
      </c>
      <c r="G13" s="57">
        <v>359</v>
      </c>
      <c r="H13" s="57"/>
      <c r="I13" s="57">
        <v>3115</v>
      </c>
      <c r="J13" s="1112">
        <f>+'4.Inki'!Q308</f>
        <v>0</v>
      </c>
      <c r="K13" s="57"/>
      <c r="L13" s="66"/>
      <c r="M13" s="1122">
        <f>SUM(K13:L13)</f>
        <v>0</v>
      </c>
    </row>
    <row r="14" spans="1:13" s="54" customFormat="1" ht="30" customHeight="1">
      <c r="A14" s="675">
        <v>6</v>
      </c>
      <c r="B14" s="305" t="s">
        <v>380</v>
      </c>
      <c r="C14" s="59"/>
      <c r="D14" s="60"/>
      <c r="E14" s="60"/>
      <c r="F14" s="61" t="s">
        <v>114</v>
      </c>
      <c r="G14" s="61">
        <f>SUM(G15:G16,G27,G28)</f>
        <v>11881117</v>
      </c>
      <c r="H14" s="61">
        <f>SUM(H15:H16,H27,H28)</f>
        <v>29513701</v>
      </c>
      <c r="I14" s="61">
        <f>SUM(I15:I16,I27,I28)</f>
        <v>14306769</v>
      </c>
      <c r="J14" s="1113">
        <f>SUM(J15:J16,J27,J28)</f>
        <v>37267991</v>
      </c>
      <c r="K14" s="61">
        <f>SUM(K15:K16,K27,K28)</f>
        <v>41056115</v>
      </c>
      <c r="L14" s="1128">
        <f>SUM(L15:L16,L27,L28)</f>
        <v>2651393</v>
      </c>
      <c r="M14" s="1123">
        <f>SUM(M15:M16,M27,M28)</f>
        <v>43707508</v>
      </c>
    </row>
    <row r="15" spans="1:13" s="54" customFormat="1" ht="25.5" customHeight="1">
      <c r="A15" s="675">
        <v>7</v>
      </c>
      <c r="B15" s="55"/>
      <c r="C15" s="62"/>
      <c r="D15" s="56">
        <v>1</v>
      </c>
      <c r="E15" s="62"/>
      <c r="F15" s="63" t="s">
        <v>36</v>
      </c>
      <c r="G15" s="63">
        <v>6400942</v>
      </c>
      <c r="H15" s="63">
        <v>6655947</v>
      </c>
      <c r="I15" s="63">
        <v>5608944</v>
      </c>
      <c r="J15" s="1114">
        <f>'6.Önk.műk.'!I740+'7.Beruh.'!I264+'9.Projekt'!I141+'9.Projekt'!J141+'9.Projekt'!K141+'9.Projekt'!L141+'10.MVP és hazai'!I103+'10.MVP és hazai'!J103+'10.MVP és hazai'!K103+'10.MVP és hazai'!L103+'11.EKF'!I234+'11.EKF'!J234+'11.EKF'!K234+'11.EKF'!L234</f>
        <v>6150481</v>
      </c>
      <c r="K15" s="63">
        <f>7215143-2000</f>
        <v>7213143</v>
      </c>
      <c r="L15" s="1129">
        <f>'6.Önk.műk.'!I742+'7.Beruh.'!I266+'8.Felúj.'!I66+'9.Projekt'!I143+'9.Projekt'!J143+'9.Projekt'!K143+'9.Projekt'!L143+'10.MVP és hazai'!I105+'10.MVP és hazai'!J105+'10.MVP és hazai'!K105+'10.MVP és hazai'!L105+'11.EKF'!I236+'11.EKF'!J236+'11.EKF'!K236+'11.EKF'!L236</f>
        <v>329378</v>
      </c>
      <c r="M15" s="1122">
        <f>SUM(K15:L15)</f>
        <v>7542521</v>
      </c>
    </row>
    <row r="16" spans="1:13" ht="25.5" customHeight="1">
      <c r="A16" s="675">
        <v>8</v>
      </c>
      <c r="B16" s="55"/>
      <c r="C16" s="62"/>
      <c r="D16" s="62"/>
      <c r="E16" s="62"/>
      <c r="F16" s="63" t="s">
        <v>190</v>
      </c>
      <c r="G16" s="63">
        <f aca="true" t="shared" si="2" ref="G16:M16">SUM(G17,G23)</f>
        <v>0</v>
      </c>
      <c r="H16" s="63">
        <f t="shared" si="2"/>
        <v>520204</v>
      </c>
      <c r="I16" s="63">
        <f t="shared" si="2"/>
        <v>0</v>
      </c>
      <c r="J16" s="1114">
        <f t="shared" si="2"/>
        <v>791669</v>
      </c>
      <c r="K16" s="63">
        <f t="shared" si="2"/>
        <v>928747</v>
      </c>
      <c r="L16" s="1129">
        <f t="shared" si="2"/>
        <v>-48710</v>
      </c>
      <c r="M16" s="1124">
        <f t="shared" si="2"/>
        <v>880037</v>
      </c>
    </row>
    <row r="17" spans="1:13" s="67" customFormat="1" ht="25.5" customHeight="1">
      <c r="A17" s="675">
        <v>9</v>
      </c>
      <c r="B17" s="306"/>
      <c r="C17" s="64"/>
      <c r="D17" s="56">
        <v>1</v>
      </c>
      <c r="E17" s="64"/>
      <c r="F17" s="65" t="s">
        <v>396</v>
      </c>
      <c r="G17" s="66">
        <f>SUM(G18:G21)</f>
        <v>0</v>
      </c>
      <c r="H17" s="66">
        <f>SUM(H18:H21)</f>
        <v>135616</v>
      </c>
      <c r="I17" s="66">
        <f>SUM(I18:I22)</f>
        <v>0</v>
      </c>
      <c r="J17" s="1115">
        <f>SUM(J18:J22)</f>
        <v>428014</v>
      </c>
      <c r="K17" s="66">
        <f>SUM(K18:K22)</f>
        <v>473237</v>
      </c>
      <c r="L17" s="66">
        <f>SUM(L18:L22)</f>
        <v>0</v>
      </c>
      <c r="M17" s="1125">
        <f>SUM(M18:M22)</f>
        <v>473237</v>
      </c>
    </row>
    <row r="18" spans="1:13" ht="17.25">
      <c r="A18" s="675">
        <v>10</v>
      </c>
      <c r="B18" s="55"/>
      <c r="C18" s="56"/>
      <c r="D18" s="56"/>
      <c r="E18" s="56"/>
      <c r="F18" s="68" t="s">
        <v>658</v>
      </c>
      <c r="G18" s="57"/>
      <c r="H18" s="57">
        <v>111616</v>
      </c>
      <c r="I18" s="57"/>
      <c r="J18" s="1112">
        <v>188014</v>
      </c>
      <c r="K18" s="57">
        <v>173237</v>
      </c>
      <c r="L18" s="66"/>
      <c r="M18" s="1122">
        <f>SUM(K18:L18)</f>
        <v>173237</v>
      </c>
    </row>
    <row r="19" spans="1:13" ht="17.25">
      <c r="A19" s="675">
        <v>11</v>
      </c>
      <c r="B19" s="55"/>
      <c r="C19" s="56"/>
      <c r="D19" s="56"/>
      <c r="E19" s="56"/>
      <c r="F19" s="68" t="s">
        <v>486</v>
      </c>
      <c r="G19" s="57"/>
      <c r="H19" s="57">
        <v>24000</v>
      </c>
      <c r="I19" s="57"/>
      <c r="J19" s="1112"/>
      <c r="K19" s="57"/>
      <c r="L19" s="66"/>
      <c r="M19" s="1122"/>
    </row>
    <row r="20" spans="1:13" ht="17.25">
      <c r="A20" s="675">
        <v>12</v>
      </c>
      <c r="B20" s="55"/>
      <c r="C20" s="56"/>
      <c r="D20" s="56"/>
      <c r="E20" s="56"/>
      <c r="F20" s="68" t="s">
        <v>405</v>
      </c>
      <c r="G20" s="57"/>
      <c r="H20" s="57"/>
      <c r="I20" s="57"/>
      <c r="J20" s="1112"/>
      <c r="K20" s="57"/>
      <c r="L20" s="66"/>
      <c r="M20" s="1122"/>
    </row>
    <row r="21" spans="1:13" ht="17.25">
      <c r="A21" s="675">
        <v>13</v>
      </c>
      <c r="B21" s="55"/>
      <c r="C21" s="56"/>
      <c r="D21" s="56"/>
      <c r="E21" s="56"/>
      <c r="F21" s="68" t="s">
        <v>422</v>
      </c>
      <c r="G21" s="57"/>
      <c r="H21" s="57"/>
      <c r="I21" s="57"/>
      <c r="J21" s="1112"/>
      <c r="K21" s="57"/>
      <c r="L21" s="66"/>
      <c r="M21" s="1122"/>
    </row>
    <row r="22" spans="1:13" ht="17.25">
      <c r="A22" s="675">
        <v>14</v>
      </c>
      <c r="B22" s="55"/>
      <c r="C22" s="56"/>
      <c r="D22" s="56"/>
      <c r="E22" s="56"/>
      <c r="F22" s="68" t="s">
        <v>423</v>
      </c>
      <c r="G22" s="57"/>
      <c r="H22" s="57"/>
      <c r="I22" s="57"/>
      <c r="J22" s="1112">
        <v>240000</v>
      </c>
      <c r="K22" s="57">
        <v>300000</v>
      </c>
      <c r="L22" s="66"/>
      <c r="M22" s="1122">
        <f>SUM(K22:L22)</f>
        <v>300000</v>
      </c>
    </row>
    <row r="23" spans="1:13" s="67" customFormat="1" ht="25.5" customHeight="1">
      <c r="A23" s="675">
        <v>15</v>
      </c>
      <c r="B23" s="306"/>
      <c r="C23" s="64"/>
      <c r="D23" s="56">
        <v>2</v>
      </c>
      <c r="E23" s="64"/>
      <c r="F23" s="65" t="s">
        <v>397</v>
      </c>
      <c r="G23" s="66">
        <f>SUM(G24:G26)</f>
        <v>0</v>
      </c>
      <c r="H23" s="66">
        <f>SUM(H24:H26)</f>
        <v>384588</v>
      </c>
      <c r="I23" s="66">
        <f>SUM(I24:I26)</f>
        <v>0</v>
      </c>
      <c r="J23" s="1115">
        <f>SUM(J24:J26)</f>
        <v>363655</v>
      </c>
      <c r="K23" s="66">
        <f>SUM(K24:K26)</f>
        <v>455510</v>
      </c>
      <c r="L23" s="66">
        <f>SUM(L24:L26)</f>
        <v>-48710</v>
      </c>
      <c r="M23" s="1125">
        <f>SUM(M24:M26)</f>
        <v>406800</v>
      </c>
    </row>
    <row r="24" spans="1:13" ht="17.25">
      <c r="A24" s="675">
        <v>16</v>
      </c>
      <c r="B24" s="55"/>
      <c r="C24" s="56"/>
      <c r="D24" s="64"/>
      <c r="E24" s="56"/>
      <c r="F24" s="68" t="s">
        <v>797</v>
      </c>
      <c r="G24" s="57"/>
      <c r="H24" s="57"/>
      <c r="I24" s="57"/>
      <c r="J24" s="1112"/>
      <c r="K24" s="57">
        <v>50000</v>
      </c>
      <c r="L24" s="66"/>
      <c r="M24" s="1122">
        <f>SUM(K24:L24)</f>
        <v>50000</v>
      </c>
    </row>
    <row r="25" spans="1:13" ht="17.25">
      <c r="A25" s="675">
        <v>17</v>
      </c>
      <c r="B25" s="55"/>
      <c r="C25" s="56"/>
      <c r="D25" s="64"/>
      <c r="E25" s="56"/>
      <c r="F25" s="474" t="s">
        <v>404</v>
      </c>
      <c r="G25" s="57"/>
      <c r="H25" s="475"/>
      <c r="I25" s="475"/>
      <c r="J25" s="1116">
        <v>64615</v>
      </c>
      <c r="K25" s="475">
        <v>106470</v>
      </c>
      <c r="L25" s="66">
        <f>-20000-4900+5000-2500-55000</f>
        <v>-77400</v>
      </c>
      <c r="M25" s="1122">
        <f>SUM(K25:L25)</f>
        <v>29070</v>
      </c>
    </row>
    <row r="26" spans="1:13" ht="17.25">
      <c r="A26" s="675">
        <v>18</v>
      </c>
      <c r="B26" s="55"/>
      <c r="C26" s="56"/>
      <c r="D26" s="64"/>
      <c r="E26" s="56"/>
      <c r="F26" s="68" t="s">
        <v>369</v>
      </c>
      <c r="G26" s="57"/>
      <c r="H26" s="57">
        <v>384588</v>
      </c>
      <c r="I26" s="57"/>
      <c r="J26" s="1112">
        <v>299040</v>
      </c>
      <c r="K26" s="57">
        <v>299040</v>
      </c>
      <c r="L26" s="66">
        <f>28690</f>
        <v>28690</v>
      </c>
      <c r="M26" s="1122">
        <f>SUM(K26:L26)</f>
        <v>327730</v>
      </c>
    </row>
    <row r="27" spans="1:13" s="48" customFormat="1" ht="25.5" customHeight="1">
      <c r="A27" s="675">
        <v>19</v>
      </c>
      <c r="B27" s="307"/>
      <c r="C27" s="69"/>
      <c r="D27" s="69"/>
      <c r="E27" s="69"/>
      <c r="F27" s="70" t="s">
        <v>191</v>
      </c>
      <c r="G27" s="70"/>
      <c r="H27" s="70">
        <v>177471</v>
      </c>
      <c r="I27" s="70"/>
      <c r="J27" s="1117">
        <v>150000</v>
      </c>
      <c r="K27" s="70">
        <v>78067</v>
      </c>
      <c r="L27" s="1130"/>
      <c r="M27" s="1519">
        <f>SUM(K27:L27)</f>
        <v>78067</v>
      </c>
    </row>
    <row r="28" spans="1:13" s="54" customFormat="1" ht="25.5" customHeight="1">
      <c r="A28" s="675">
        <v>20</v>
      </c>
      <c r="B28" s="55"/>
      <c r="C28" s="62"/>
      <c r="D28" s="56">
        <v>2</v>
      </c>
      <c r="E28" s="62"/>
      <c r="F28" s="63" t="s">
        <v>148</v>
      </c>
      <c r="G28" s="63">
        <f>SUM(G29:G31)</f>
        <v>5480175</v>
      </c>
      <c r="H28" s="63">
        <f>SUM(H29:H31)</f>
        <v>22160079</v>
      </c>
      <c r="I28" s="63">
        <f>SUM(I29:I31)</f>
        <v>8697825</v>
      </c>
      <c r="J28" s="1114">
        <f>SUM(J29:J31)</f>
        <v>30175841</v>
      </c>
      <c r="K28" s="63">
        <f>SUM(K29:K31)</f>
        <v>32836158</v>
      </c>
      <c r="L28" s="1129">
        <f>SUM(L29:L31)</f>
        <v>2370725</v>
      </c>
      <c r="M28" s="1124">
        <f>SUM(M29:M31)</f>
        <v>35206883</v>
      </c>
    </row>
    <row r="29" spans="1:13" ht="17.25">
      <c r="A29" s="675">
        <v>21</v>
      </c>
      <c r="B29" s="55"/>
      <c r="C29" s="62"/>
      <c r="D29" s="56"/>
      <c r="E29" s="56">
        <v>1</v>
      </c>
      <c r="F29" s="58" t="s">
        <v>213</v>
      </c>
      <c r="G29" s="57">
        <v>5000126</v>
      </c>
      <c r="H29" s="57">
        <v>21222147</v>
      </c>
      <c r="I29" s="57">
        <v>5639171</v>
      </c>
      <c r="J29" s="1112">
        <f>'7.Beruh.'!J264+'9.Projekt'!M141+'10.MVP és hazai'!M103+'11.EKF'!M234</f>
        <v>30091595</v>
      </c>
      <c r="K29" s="57">
        <f>32420271+2000</f>
        <v>32422271</v>
      </c>
      <c r="L29" s="66">
        <f>'7.Beruh.'!J266+'9.Projekt'!M143+'10.MVP és hazai'!M105+'11.EKF'!M236</f>
        <v>2364370</v>
      </c>
      <c r="M29" s="1122">
        <f>SUM(K29:L29)</f>
        <v>34786641</v>
      </c>
    </row>
    <row r="30" spans="1:13" ht="17.25">
      <c r="A30" s="675">
        <v>22</v>
      </c>
      <c r="B30" s="55"/>
      <c r="C30" s="62"/>
      <c r="D30" s="56"/>
      <c r="E30" s="56">
        <v>2</v>
      </c>
      <c r="F30" s="58" t="s">
        <v>149</v>
      </c>
      <c r="G30" s="57">
        <v>55982</v>
      </c>
      <c r="H30" s="57">
        <v>549493</v>
      </c>
      <c r="I30" s="57">
        <v>2927040</v>
      </c>
      <c r="J30" s="1112">
        <f>'7.Beruh.'!K264+'9.Projekt'!N141+'10.MVP és hazai'!N103+'11.EKF'!O234</f>
        <v>60493</v>
      </c>
      <c r="K30" s="57">
        <v>348494</v>
      </c>
      <c r="L30" s="66">
        <f>'7.Beruh.'!K266+'9.Projekt'!N143+'10.MVP és hazai'!N105+'11.EKF'!O236</f>
        <v>9455</v>
      </c>
      <c r="M30" s="1122">
        <f>SUM(K30:L30)</f>
        <v>357949</v>
      </c>
    </row>
    <row r="31" spans="1:15" ht="17.25">
      <c r="A31" s="675">
        <v>23</v>
      </c>
      <c r="B31" s="55"/>
      <c r="C31" s="62"/>
      <c r="D31" s="56"/>
      <c r="E31" s="56">
        <v>3</v>
      </c>
      <c r="F31" s="58" t="s">
        <v>214</v>
      </c>
      <c r="G31" s="57">
        <v>424067</v>
      </c>
      <c r="H31" s="57">
        <v>388439</v>
      </c>
      <c r="I31" s="57">
        <v>131614</v>
      </c>
      <c r="J31" s="1112">
        <v>23753</v>
      </c>
      <c r="K31" s="57">
        <v>65393</v>
      </c>
      <c r="L31" s="66">
        <f>'8.Felúj.'!J66+'11.EKF'!N236</f>
        <v>-3100</v>
      </c>
      <c r="M31" s="1122">
        <f>SUM(K31:L31)</f>
        <v>62293</v>
      </c>
      <c r="O31" s="57"/>
    </row>
    <row r="32" spans="1:13" s="54" customFormat="1" ht="30" customHeight="1">
      <c r="A32" s="675">
        <v>24</v>
      </c>
      <c r="B32" s="305" t="s">
        <v>380</v>
      </c>
      <c r="C32" s="59"/>
      <c r="D32" s="60"/>
      <c r="E32" s="59"/>
      <c r="F32" s="61" t="s">
        <v>192</v>
      </c>
      <c r="G32" s="61">
        <f>SUM(G33:G34)</f>
        <v>0</v>
      </c>
      <c r="H32" s="61">
        <f>SUM(H33:H34)</f>
        <v>0</v>
      </c>
      <c r="I32" s="61">
        <f>SUM(I33:I34)</f>
        <v>0</v>
      </c>
      <c r="J32" s="1113">
        <f>SUM(J33:J34)</f>
        <v>0</v>
      </c>
      <c r="K32" s="61">
        <f>SUM(K33:K34)</f>
        <v>0</v>
      </c>
      <c r="L32" s="1128">
        <f>SUM(L33:L34)</f>
        <v>0</v>
      </c>
      <c r="M32" s="1123">
        <f>SUM(M33:M34)</f>
        <v>0</v>
      </c>
    </row>
    <row r="33" spans="1:13" s="47" customFormat="1" ht="24" customHeight="1">
      <c r="A33" s="675">
        <v>25</v>
      </c>
      <c r="B33" s="55"/>
      <c r="C33" s="56"/>
      <c r="D33" s="56">
        <v>1</v>
      </c>
      <c r="E33" s="56"/>
      <c r="F33" s="71" t="s">
        <v>36</v>
      </c>
      <c r="G33" s="80"/>
      <c r="H33" s="80"/>
      <c r="I33" s="80"/>
      <c r="J33" s="1118"/>
      <c r="K33" s="80"/>
      <c r="L33" s="1131"/>
      <c r="M33" s="1520"/>
    </row>
    <row r="34" spans="1:13" s="47" customFormat="1" ht="24" customHeight="1" thickBot="1">
      <c r="A34" s="675">
        <v>26</v>
      </c>
      <c r="B34" s="55"/>
      <c r="C34" s="56"/>
      <c r="D34" s="56">
        <v>2</v>
      </c>
      <c r="E34" s="56"/>
      <c r="F34" s="583" t="s">
        <v>148</v>
      </c>
      <c r="G34" s="80"/>
      <c r="H34" s="80"/>
      <c r="I34" s="80"/>
      <c r="J34" s="1118"/>
      <c r="K34" s="80"/>
      <c r="L34" s="1131"/>
      <c r="M34" s="1520"/>
    </row>
    <row r="35" spans="1:13" s="70" customFormat="1" ht="39.75" customHeight="1" thickBot="1">
      <c r="A35" s="675">
        <v>27</v>
      </c>
      <c r="B35" s="76"/>
      <c r="C35" s="77"/>
      <c r="D35" s="78"/>
      <c r="E35" s="77"/>
      <c r="F35" s="79" t="s">
        <v>193</v>
      </c>
      <c r="G35" s="79">
        <f>SUM(G8,G14,G32)</f>
        <v>19935413</v>
      </c>
      <c r="H35" s="79">
        <f>SUM(H8,H14,H32)</f>
        <v>37552274</v>
      </c>
      <c r="I35" s="79">
        <f>SUM(I8,I14,I32)</f>
        <v>21967156</v>
      </c>
      <c r="J35" s="1119">
        <f>SUM(J8,J14,J32)</f>
        <v>46102993</v>
      </c>
      <c r="K35" s="79">
        <f>SUM(K8,K14,K32)</f>
        <v>50935953</v>
      </c>
      <c r="L35" s="1132">
        <f>SUM(L8,L14,L32)</f>
        <v>2831943</v>
      </c>
      <c r="M35" s="1126">
        <f>SUM(M8,M14,M32)</f>
        <v>53767896</v>
      </c>
    </row>
    <row r="36" spans="1:13" s="47" customFormat="1" ht="30" customHeight="1">
      <c r="A36" s="675">
        <v>28</v>
      </c>
      <c r="B36" s="55" t="s">
        <v>380</v>
      </c>
      <c r="C36" s="56"/>
      <c r="D36" s="56"/>
      <c r="E36" s="56"/>
      <c r="F36" s="63" t="s">
        <v>194</v>
      </c>
      <c r="G36" s="63">
        <f>SUM(G40:G41,G37:G38)</f>
        <v>241248</v>
      </c>
      <c r="H36" s="63">
        <f>SUM(H40:H41,H37:H38)</f>
        <v>219771</v>
      </c>
      <c r="I36" s="63">
        <f>SUM(I40:I41,I37:I38)</f>
        <v>367272</v>
      </c>
      <c r="J36" s="1114">
        <f>SUM(J40:J41,J37:J38)</f>
        <v>319022</v>
      </c>
      <c r="K36" s="1588">
        <f>SUM(K40:K41,K37:K38)</f>
        <v>319022</v>
      </c>
      <c r="L36" s="1129">
        <f>SUM(L40:L41,L37:L38)</f>
        <v>0</v>
      </c>
      <c r="M36" s="1124">
        <f>SUM(M40:M41,M37:M38)</f>
        <v>319022</v>
      </c>
    </row>
    <row r="37" spans="1:13" s="47" customFormat="1" ht="17.25">
      <c r="A37" s="675">
        <v>29</v>
      </c>
      <c r="B37" s="55"/>
      <c r="C37" s="56"/>
      <c r="D37" s="56">
        <v>1</v>
      </c>
      <c r="E37" s="56"/>
      <c r="F37" s="80" t="s">
        <v>195</v>
      </c>
      <c r="G37" s="80"/>
      <c r="H37" s="80"/>
      <c r="I37" s="80"/>
      <c r="J37" s="1118"/>
      <c r="K37" s="80"/>
      <c r="L37" s="1131"/>
      <c r="M37" s="1520"/>
    </row>
    <row r="38" spans="1:13" s="47" customFormat="1" ht="17.25">
      <c r="A38" s="675">
        <v>30</v>
      </c>
      <c r="B38" s="55"/>
      <c r="C38" s="56"/>
      <c r="D38" s="56">
        <v>1</v>
      </c>
      <c r="E38" s="56"/>
      <c r="F38" s="80" t="s">
        <v>246</v>
      </c>
      <c r="G38" s="80">
        <v>127653</v>
      </c>
      <c r="H38" s="80">
        <v>111267</v>
      </c>
      <c r="I38" s="80">
        <v>258768</v>
      </c>
      <c r="J38" s="1118">
        <v>180835</v>
      </c>
      <c r="K38" s="80">
        <v>180835</v>
      </c>
      <c r="L38" s="1131"/>
      <c r="M38" s="1122">
        <f>SUM(K38:L38)</f>
        <v>180835</v>
      </c>
    </row>
    <row r="39" spans="1:13" ht="17.25">
      <c r="A39" s="675">
        <v>31</v>
      </c>
      <c r="B39" s="55"/>
      <c r="C39" s="56"/>
      <c r="D39" s="56">
        <v>2</v>
      </c>
      <c r="E39" s="56"/>
      <c r="F39" s="80" t="s">
        <v>196</v>
      </c>
      <c r="G39" s="57"/>
      <c r="H39" s="57"/>
      <c r="I39" s="57"/>
      <c r="J39" s="1118"/>
      <c r="K39" s="80"/>
      <c r="L39" s="66"/>
      <c r="M39" s="1122"/>
    </row>
    <row r="40" spans="1:13" ht="17.25">
      <c r="A40" s="675">
        <v>32</v>
      </c>
      <c r="B40" s="55"/>
      <c r="C40" s="56"/>
      <c r="D40" s="56"/>
      <c r="E40" s="56"/>
      <c r="F40" s="81" t="s">
        <v>197</v>
      </c>
      <c r="G40" s="57">
        <v>113595</v>
      </c>
      <c r="H40" s="57">
        <v>108504</v>
      </c>
      <c r="I40" s="57">
        <v>108504</v>
      </c>
      <c r="J40" s="1118">
        <v>138187</v>
      </c>
      <c r="K40" s="80">
        <v>138187</v>
      </c>
      <c r="L40" s="66"/>
      <c r="M40" s="1122">
        <f>SUM(K40:L40)</f>
        <v>138187</v>
      </c>
    </row>
    <row r="41" spans="1:13" s="75" customFormat="1" ht="18" customHeight="1" thickBot="1">
      <c r="A41" s="675">
        <v>33</v>
      </c>
      <c r="B41" s="72"/>
      <c r="C41" s="73"/>
      <c r="D41" s="73"/>
      <c r="E41" s="73"/>
      <c r="F41" s="82" t="s">
        <v>198</v>
      </c>
      <c r="G41" s="74"/>
      <c r="H41" s="74"/>
      <c r="I41" s="74"/>
      <c r="J41" s="1120"/>
      <c r="K41" s="74"/>
      <c r="L41" s="1133"/>
      <c r="M41" s="1521"/>
    </row>
    <row r="42" spans="1:13" s="70" customFormat="1" ht="39.75" customHeight="1" thickBot="1">
      <c r="A42" s="675">
        <v>34</v>
      </c>
      <c r="B42" s="76"/>
      <c r="C42" s="77"/>
      <c r="D42" s="78"/>
      <c r="E42" s="77"/>
      <c r="F42" s="79" t="s">
        <v>199</v>
      </c>
      <c r="G42" s="79">
        <f>SUM(G35:G36)</f>
        <v>20176661</v>
      </c>
      <c r="H42" s="79">
        <f>SUM(H35:H36)</f>
        <v>37772045</v>
      </c>
      <c r="I42" s="79">
        <f>SUM(I35:I36)</f>
        <v>22334428</v>
      </c>
      <c r="J42" s="1119">
        <f>SUM(J35:J36)</f>
        <v>46422015</v>
      </c>
      <c r="K42" s="79">
        <f>SUM(K35:K36)</f>
        <v>51254975</v>
      </c>
      <c r="L42" s="1132">
        <f>SUM(L35:L36)</f>
        <v>2831943</v>
      </c>
      <c r="M42" s="1126">
        <f>SUM(M35:M36)</f>
        <v>54086918</v>
      </c>
    </row>
    <row r="43" spans="2:11" ht="16.5">
      <c r="B43" s="83"/>
      <c r="C43" s="56"/>
      <c r="D43" s="56"/>
      <c r="E43" s="56"/>
      <c r="F43" s="57"/>
      <c r="G43" s="57">
        <f>+'1.Onbe'!G64-'2.Onki'!G42</f>
        <v>14215038</v>
      </c>
      <c r="H43" s="57">
        <f>+'1.Onbe'!H64-'2.Onki'!H42</f>
        <v>0</v>
      </c>
      <c r="I43" s="57">
        <f>+'1.Onbe'!I64-'2.Onki'!I42</f>
        <v>19065647</v>
      </c>
      <c r="J43" s="57">
        <f>+'1.Onbe'!J64-'2.Onki'!J42</f>
        <v>0</v>
      </c>
      <c r="K43" s="57"/>
    </row>
    <row r="44" spans="2:9" ht="16.5">
      <c r="B44" s="83"/>
      <c r="C44" s="56"/>
      <c r="D44" s="56"/>
      <c r="E44" s="56"/>
      <c r="F44" s="57"/>
      <c r="G44" s="57"/>
      <c r="H44" s="57"/>
      <c r="I44" s="57"/>
    </row>
    <row r="45" spans="2:9" ht="16.5">
      <c r="B45" s="83"/>
      <c r="C45" s="56"/>
      <c r="D45" s="56"/>
      <c r="E45" s="56"/>
      <c r="F45" s="57"/>
      <c r="G45" s="57"/>
      <c r="H45" s="57"/>
      <c r="I45" s="57"/>
    </row>
    <row r="46" spans="2:9" ht="16.5">
      <c r="B46" s="83"/>
      <c r="C46" s="56"/>
      <c r="D46" s="56"/>
      <c r="E46" s="56"/>
      <c r="F46" s="57"/>
      <c r="G46" s="57"/>
      <c r="H46" s="57"/>
      <c r="I46" s="57"/>
    </row>
    <row r="47" spans="2:9" ht="17.25">
      <c r="B47" s="83"/>
      <c r="C47" s="62"/>
      <c r="D47" s="56"/>
      <c r="E47" s="62"/>
      <c r="F47" s="63"/>
      <c r="G47" s="63"/>
      <c r="H47" s="63"/>
      <c r="I47" s="63"/>
    </row>
    <row r="48" spans="2:9" ht="16.5">
      <c r="B48" s="83"/>
      <c r="C48" s="56"/>
      <c r="D48" s="56"/>
      <c r="E48" s="56"/>
      <c r="F48" s="57"/>
      <c r="G48" s="57"/>
      <c r="H48" s="57"/>
      <c r="I48" s="57"/>
    </row>
    <row r="49" spans="2:9" ht="16.5">
      <c r="B49" s="83"/>
      <c r="C49" s="56"/>
      <c r="D49" s="56"/>
      <c r="E49" s="56"/>
      <c r="F49" s="57"/>
      <c r="G49" s="57"/>
      <c r="H49" s="57"/>
      <c r="I49" s="57"/>
    </row>
    <row r="58" spans="1:5" s="54" customFormat="1" ht="17.25">
      <c r="A58" s="677"/>
      <c r="B58" s="84"/>
      <c r="C58" s="85"/>
      <c r="D58" s="86"/>
      <c r="E58" s="85"/>
    </row>
    <row r="63" spans="1:5" s="54" customFormat="1" ht="17.25">
      <c r="A63" s="677"/>
      <c r="B63" s="84"/>
      <c r="C63" s="85"/>
      <c r="D63" s="86"/>
      <c r="E63" s="85"/>
    </row>
    <row r="65" spans="1:5" s="54" customFormat="1" ht="17.25">
      <c r="A65" s="677"/>
      <c r="B65" s="84"/>
      <c r="C65" s="85"/>
      <c r="D65" s="86"/>
      <c r="E65" s="85"/>
    </row>
    <row r="72" ht="16.5">
      <c r="F72" s="57"/>
    </row>
    <row r="73" ht="16.5">
      <c r="F73" s="57"/>
    </row>
    <row r="74" ht="16.5">
      <c r="F74" s="57"/>
    </row>
    <row r="75" ht="16.5">
      <c r="F75" s="57"/>
    </row>
    <row r="76" ht="16.5">
      <c r="F76" s="57"/>
    </row>
    <row r="77" ht="16.5">
      <c r="F77" s="57"/>
    </row>
    <row r="78" ht="16.5">
      <c r="F78" s="57"/>
    </row>
  </sheetData>
  <sheetProtection/>
  <mergeCells count="4">
    <mergeCell ref="B2:F2"/>
    <mergeCell ref="B4:M4"/>
    <mergeCell ref="B3:M3"/>
    <mergeCell ref="B1:N1"/>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53"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89"/>
  <sheetViews>
    <sheetView view="pageBreakPreview" zoomScaleSheetLayoutView="100" zoomScalePageLayoutView="0" workbookViewId="0" topLeftCell="A1">
      <selection activeCell="B1" sqref="B1:M1"/>
    </sheetView>
  </sheetViews>
  <sheetFormatPr defaultColWidth="9.125" defaultRowHeight="12.75"/>
  <cols>
    <col min="1" max="1" width="3.75390625" style="506" customWidth="1"/>
    <col min="2" max="2" width="5.75390625" style="192" customWidth="1"/>
    <col min="3" max="3" width="5.75390625" style="195" customWidth="1"/>
    <col min="4" max="4" width="4.75390625" style="195" customWidth="1"/>
    <col min="5" max="5" width="51.75390625" style="195" customWidth="1"/>
    <col min="6" max="6" width="10.00390625" style="192" customWidth="1"/>
    <col min="7" max="7" width="14.00390625" style="192" bestFit="1" customWidth="1"/>
    <col min="8" max="8" width="11.75390625" style="192" customWidth="1"/>
    <col min="9" max="9" width="12.375" style="192" bestFit="1" customWidth="1"/>
    <col min="10" max="10" width="14.00390625" style="192" customWidth="1"/>
    <col min="11" max="12" width="12.75390625" style="192" customWidth="1"/>
    <col min="13" max="13" width="10.75390625" style="192" customWidth="1"/>
    <col min="14" max="14" width="12.75390625" style="193" customWidth="1"/>
    <col min="15" max="15" width="13.75390625" style="194" customWidth="1"/>
    <col min="16" max="16384" width="9.125" style="192" customWidth="1"/>
  </cols>
  <sheetData>
    <row r="1" spans="2:13" ht="17.25">
      <c r="B1" s="2039" t="s">
        <v>1098</v>
      </c>
      <c r="C1" s="2039"/>
      <c r="D1" s="2039"/>
      <c r="E1" s="2039"/>
      <c r="F1" s="2039"/>
      <c r="G1" s="2039"/>
      <c r="H1" s="2039"/>
      <c r="I1" s="2039"/>
      <c r="J1" s="2039"/>
      <c r="K1" s="2039"/>
      <c r="L1" s="2039"/>
      <c r="M1" s="2039"/>
    </row>
    <row r="2" spans="1:16" s="205" customFormat="1" ht="18" customHeight="1">
      <c r="A2" s="35"/>
      <c r="B2" s="2075" t="s">
        <v>729</v>
      </c>
      <c r="C2" s="2075"/>
      <c r="D2" s="2075"/>
      <c r="E2" s="2075"/>
      <c r="F2" s="503"/>
      <c r="G2" s="503"/>
      <c r="H2" s="503"/>
      <c r="I2" s="503"/>
      <c r="J2" s="503"/>
      <c r="K2" s="503"/>
      <c r="L2" s="503"/>
      <c r="M2" s="503"/>
      <c r="N2" s="504"/>
      <c r="O2" s="505"/>
      <c r="P2" s="503"/>
    </row>
    <row r="3" spans="1:16" s="205" customFormat="1" ht="24.75" customHeight="1">
      <c r="A3" s="35"/>
      <c r="B3" s="2076" t="s">
        <v>127</v>
      </c>
      <c r="C3" s="2076"/>
      <c r="D3" s="2076"/>
      <c r="E3" s="2076"/>
      <c r="F3" s="2076"/>
      <c r="G3" s="2076"/>
      <c r="H3" s="2076"/>
      <c r="I3" s="2076"/>
      <c r="J3" s="2076"/>
      <c r="K3" s="2076"/>
      <c r="L3" s="2076"/>
      <c r="M3" s="2076"/>
      <c r="N3" s="2076"/>
      <c r="O3" s="2076"/>
      <c r="P3" s="503"/>
    </row>
    <row r="4" spans="1:16" s="205" customFormat="1" ht="24.75" customHeight="1">
      <c r="A4" s="35"/>
      <c r="B4" s="2076" t="s">
        <v>534</v>
      </c>
      <c r="C4" s="2076"/>
      <c r="D4" s="2076"/>
      <c r="E4" s="2076"/>
      <c r="F4" s="2076"/>
      <c r="G4" s="2076"/>
      <c r="H4" s="2076"/>
      <c r="I4" s="2076"/>
      <c r="J4" s="2076"/>
      <c r="K4" s="2076"/>
      <c r="L4" s="2076"/>
      <c r="M4" s="2076"/>
      <c r="N4" s="2076"/>
      <c r="O4" s="2076"/>
      <c r="P4" s="503"/>
    </row>
    <row r="5" spans="1:16" ht="18" customHeight="1">
      <c r="A5" s="35"/>
      <c r="B5" s="24"/>
      <c r="C5" s="27"/>
      <c r="D5" s="27"/>
      <c r="E5" s="27"/>
      <c r="F5" s="25"/>
      <c r="G5" s="25"/>
      <c r="H5" s="25"/>
      <c r="I5" s="25"/>
      <c r="J5" s="25"/>
      <c r="K5" s="25"/>
      <c r="L5" s="22"/>
      <c r="M5" s="22"/>
      <c r="N5" s="2077" t="s">
        <v>0</v>
      </c>
      <c r="O5" s="2077"/>
      <c r="P5" s="22"/>
    </row>
    <row r="6" spans="2:15" s="35" customFormat="1" ht="18" customHeight="1" thickBot="1">
      <c r="B6" s="35" t="s">
        <v>1</v>
      </c>
      <c r="C6" s="35" t="s">
        <v>3</v>
      </c>
      <c r="D6" s="2078" t="s">
        <v>2</v>
      </c>
      <c r="E6" s="2078"/>
      <c r="F6" s="98" t="s">
        <v>4</v>
      </c>
      <c r="G6" s="98" t="s">
        <v>5</v>
      </c>
      <c r="H6" s="98" t="s">
        <v>15</v>
      </c>
      <c r="I6" s="98" t="s">
        <v>16</v>
      </c>
      <c r="J6" s="98" t="s">
        <v>17</v>
      </c>
      <c r="K6" s="98" t="s">
        <v>33</v>
      </c>
      <c r="L6" s="35" t="s">
        <v>29</v>
      </c>
      <c r="M6" s="35" t="s">
        <v>22</v>
      </c>
      <c r="N6" s="35" t="s">
        <v>34</v>
      </c>
      <c r="O6" s="35" t="s">
        <v>35</v>
      </c>
    </row>
    <row r="7" spans="1:15" s="24" customFormat="1" ht="30" customHeight="1">
      <c r="A7" s="35"/>
      <c r="B7" s="2083" t="s">
        <v>18</v>
      </c>
      <c r="C7" s="2085" t="s">
        <v>19</v>
      </c>
      <c r="D7" s="2087" t="s">
        <v>6</v>
      </c>
      <c r="E7" s="2088"/>
      <c r="F7" s="2091" t="s">
        <v>128</v>
      </c>
      <c r="G7" s="2091"/>
      <c r="H7" s="2091"/>
      <c r="I7" s="2072" t="s">
        <v>129</v>
      </c>
      <c r="J7" s="2072"/>
      <c r="K7" s="2072"/>
      <c r="L7" s="2072" t="s">
        <v>244</v>
      </c>
      <c r="M7" s="2072" t="s">
        <v>130</v>
      </c>
      <c r="N7" s="2072"/>
      <c r="O7" s="2073" t="s">
        <v>544</v>
      </c>
    </row>
    <row r="8" spans="1:16" ht="60.75" thickBot="1">
      <c r="A8" s="35"/>
      <c r="B8" s="2084"/>
      <c r="C8" s="2086"/>
      <c r="D8" s="2089"/>
      <c r="E8" s="2090"/>
      <c r="F8" s="1992" t="s">
        <v>131</v>
      </c>
      <c r="G8" s="1992" t="s">
        <v>132</v>
      </c>
      <c r="H8" s="1992" t="s">
        <v>133</v>
      </c>
      <c r="I8" s="1992" t="s">
        <v>134</v>
      </c>
      <c r="J8" s="1992" t="s">
        <v>135</v>
      </c>
      <c r="K8" s="1992" t="s">
        <v>136</v>
      </c>
      <c r="L8" s="2082"/>
      <c r="M8" s="1992" t="s">
        <v>115</v>
      </c>
      <c r="N8" s="26" t="s">
        <v>310</v>
      </c>
      <c r="O8" s="2074"/>
      <c r="P8" s="22"/>
    </row>
    <row r="9" spans="1:15" s="27" customFormat="1" ht="22.5" customHeight="1">
      <c r="A9" s="35">
        <v>1</v>
      </c>
      <c r="B9" s="237">
        <v>1</v>
      </c>
      <c r="C9" s="238"/>
      <c r="D9" s="485" t="s">
        <v>286</v>
      </c>
      <c r="E9" s="481"/>
      <c r="F9" s="249"/>
      <c r="G9" s="249"/>
      <c r="H9" s="249"/>
      <c r="I9" s="249"/>
      <c r="J9" s="249"/>
      <c r="K9" s="249"/>
      <c r="L9" s="249"/>
      <c r="M9" s="249"/>
      <c r="N9" s="250"/>
      <c r="O9" s="251"/>
    </row>
    <row r="10" spans="1:15" s="27" customFormat="1" ht="18" customHeight="1">
      <c r="A10" s="35">
        <v>2</v>
      </c>
      <c r="B10" s="223"/>
      <c r="C10" s="224"/>
      <c r="D10" s="2061" t="s">
        <v>294</v>
      </c>
      <c r="E10" s="2062"/>
      <c r="F10" s="94"/>
      <c r="G10" s="94"/>
      <c r="H10" s="94"/>
      <c r="I10" s="94"/>
      <c r="J10" s="94"/>
      <c r="K10" s="94"/>
      <c r="L10" s="94"/>
      <c r="M10" s="94"/>
      <c r="N10" s="116"/>
      <c r="O10" s="243"/>
    </row>
    <row r="11" spans="1:16" s="599" customFormat="1" ht="18" customHeight="1">
      <c r="A11" s="35">
        <v>3</v>
      </c>
      <c r="B11" s="591"/>
      <c r="C11" s="592"/>
      <c r="D11" s="593"/>
      <c r="E11" s="636" t="s">
        <v>283</v>
      </c>
      <c r="F11" s="595">
        <v>4343</v>
      </c>
      <c r="G11" s="595"/>
      <c r="H11" s="595"/>
      <c r="I11" s="595"/>
      <c r="J11" s="595"/>
      <c r="K11" s="595"/>
      <c r="L11" s="595">
        <v>6900</v>
      </c>
      <c r="M11" s="595">
        <v>217530</v>
      </c>
      <c r="N11" s="596">
        <v>177724</v>
      </c>
      <c r="O11" s="597">
        <f>SUM(F11:M11)</f>
        <v>228773</v>
      </c>
      <c r="P11" s="598"/>
    </row>
    <row r="12" spans="1:16" s="599" customFormat="1" ht="18" customHeight="1">
      <c r="A12" s="35">
        <v>4</v>
      </c>
      <c r="B12" s="591"/>
      <c r="C12" s="592"/>
      <c r="D12" s="593"/>
      <c r="E12" s="260" t="s">
        <v>938</v>
      </c>
      <c r="F12" s="1062">
        <v>4343</v>
      </c>
      <c r="G12" s="595"/>
      <c r="H12" s="595"/>
      <c r="I12" s="595"/>
      <c r="J12" s="595"/>
      <c r="K12" s="595"/>
      <c r="L12" s="1062">
        <v>15515</v>
      </c>
      <c r="M12" s="1062">
        <v>219733</v>
      </c>
      <c r="N12" s="1589">
        <f>177724+5738</f>
        <v>183462</v>
      </c>
      <c r="O12" s="243">
        <f>SUM(F12:M12)</f>
        <v>239591</v>
      </c>
      <c r="P12" s="598"/>
    </row>
    <row r="13" spans="1:16" s="599" customFormat="1" ht="18" customHeight="1">
      <c r="A13" s="35">
        <v>5</v>
      </c>
      <c r="B13" s="591"/>
      <c r="C13" s="592"/>
      <c r="D13" s="593"/>
      <c r="E13" s="1151" t="s">
        <v>944</v>
      </c>
      <c r="F13" s="94"/>
      <c r="G13" s="94"/>
      <c r="H13" s="94"/>
      <c r="I13" s="94"/>
      <c r="J13" s="94"/>
      <c r="K13" s="94"/>
      <c r="L13" s="116"/>
      <c r="M13" s="116"/>
      <c r="N13" s="116">
        <v>1449</v>
      </c>
      <c r="O13" s="876">
        <f>SUM(F13:M13)</f>
        <v>0</v>
      </c>
      <c r="P13" s="598"/>
    </row>
    <row r="14" spans="1:16" s="599" customFormat="1" ht="18" customHeight="1">
      <c r="A14" s="35">
        <v>6</v>
      </c>
      <c r="B14" s="591"/>
      <c r="C14" s="592"/>
      <c r="D14" s="593"/>
      <c r="E14" s="260" t="s">
        <v>1091</v>
      </c>
      <c r="F14" s="1062">
        <f>SUM(F12:F13)</f>
        <v>4343</v>
      </c>
      <c r="G14" s="1062"/>
      <c r="H14" s="1062"/>
      <c r="I14" s="1062"/>
      <c r="J14" s="1062"/>
      <c r="K14" s="1062"/>
      <c r="L14" s="1062">
        <f>SUM(L12:L13)</f>
        <v>15515</v>
      </c>
      <c r="M14" s="1062">
        <f>SUM(M12:M13)</f>
        <v>219733</v>
      </c>
      <c r="N14" s="1062">
        <f>SUM(N12:N13)</f>
        <v>184911</v>
      </c>
      <c r="O14" s="243">
        <f>SUM(F14:M14)</f>
        <v>239591</v>
      </c>
      <c r="P14" s="598"/>
    </row>
    <row r="15" spans="1:15" s="111" customFormat="1" ht="22.5" customHeight="1">
      <c r="A15" s="35">
        <v>7</v>
      </c>
      <c r="B15" s="223">
        <v>2</v>
      </c>
      <c r="C15" s="224"/>
      <c r="D15" s="2059" t="s">
        <v>309</v>
      </c>
      <c r="E15" s="2060"/>
      <c r="F15" s="232"/>
      <c r="G15" s="232"/>
      <c r="H15" s="232"/>
      <c r="I15" s="232"/>
      <c r="J15" s="232"/>
      <c r="K15" s="232"/>
      <c r="L15" s="232"/>
      <c r="M15" s="232"/>
      <c r="N15" s="233"/>
      <c r="O15" s="234"/>
    </row>
    <row r="16" spans="1:15" s="111" customFormat="1" ht="18" customHeight="1">
      <c r="A16" s="35">
        <v>8</v>
      </c>
      <c r="B16" s="223"/>
      <c r="C16" s="224"/>
      <c r="D16" s="2061" t="s">
        <v>284</v>
      </c>
      <c r="E16" s="2062"/>
      <c r="F16" s="232"/>
      <c r="G16" s="232"/>
      <c r="H16" s="232"/>
      <c r="I16" s="232"/>
      <c r="J16" s="232"/>
      <c r="K16" s="232"/>
      <c r="L16" s="232"/>
      <c r="M16" s="232"/>
      <c r="N16" s="233"/>
      <c r="O16" s="234"/>
    </row>
    <row r="17" spans="1:15" s="600" customFormat="1" ht="18" customHeight="1">
      <c r="A17" s="35">
        <v>9</v>
      </c>
      <c r="B17" s="591"/>
      <c r="C17" s="592"/>
      <c r="D17" s="593"/>
      <c r="E17" s="636" t="s">
        <v>283</v>
      </c>
      <c r="F17" s="595">
        <v>8467</v>
      </c>
      <c r="G17" s="595"/>
      <c r="H17" s="595"/>
      <c r="I17" s="595"/>
      <c r="J17" s="595"/>
      <c r="K17" s="595"/>
      <c r="L17" s="595">
        <v>11315</v>
      </c>
      <c r="M17" s="595">
        <v>359478</v>
      </c>
      <c r="N17" s="596">
        <v>257545</v>
      </c>
      <c r="O17" s="597">
        <f>SUM(F17:M17)</f>
        <v>379260</v>
      </c>
    </row>
    <row r="18" spans="1:15" s="600" customFormat="1" ht="18" customHeight="1">
      <c r="A18" s="35">
        <v>10</v>
      </c>
      <c r="B18" s="591"/>
      <c r="C18" s="592"/>
      <c r="D18" s="593"/>
      <c r="E18" s="260" t="s">
        <v>938</v>
      </c>
      <c r="F18" s="1062">
        <v>8467</v>
      </c>
      <c r="G18" s="595"/>
      <c r="H18" s="595"/>
      <c r="I18" s="595"/>
      <c r="J18" s="595"/>
      <c r="K18" s="595"/>
      <c r="L18" s="1062">
        <v>21236</v>
      </c>
      <c r="M18" s="1062">
        <v>359478</v>
      </c>
      <c r="N18" s="1589">
        <v>266939</v>
      </c>
      <c r="O18" s="243">
        <f>SUM(F18:M18)</f>
        <v>389181</v>
      </c>
    </row>
    <row r="19" spans="1:15" s="600" customFormat="1" ht="18" customHeight="1">
      <c r="A19" s="35">
        <v>11</v>
      </c>
      <c r="B19" s="591"/>
      <c r="C19" s="592"/>
      <c r="D19" s="593"/>
      <c r="E19" s="1151" t="s">
        <v>944</v>
      </c>
      <c r="F19" s="595"/>
      <c r="G19" s="595"/>
      <c r="H19" s="595"/>
      <c r="I19" s="595"/>
      <c r="J19" s="595"/>
      <c r="K19" s="595"/>
      <c r="L19" s="116"/>
      <c r="M19" s="595"/>
      <c r="N19" s="116">
        <v>1842</v>
      </c>
      <c r="O19" s="876">
        <f>SUM(F19:M19)</f>
        <v>0</v>
      </c>
    </row>
    <row r="20" spans="1:15" s="600" customFormat="1" ht="18" customHeight="1">
      <c r="A20" s="35">
        <v>12</v>
      </c>
      <c r="B20" s="591"/>
      <c r="C20" s="592"/>
      <c r="D20" s="593"/>
      <c r="E20" s="260" t="s">
        <v>1091</v>
      </c>
      <c r="F20" s="1062">
        <f>SUM(F18:F19)</f>
        <v>8467</v>
      </c>
      <c r="G20" s="1062"/>
      <c r="H20" s="1062"/>
      <c r="I20" s="1062"/>
      <c r="J20" s="1062"/>
      <c r="K20" s="1062"/>
      <c r="L20" s="1062">
        <f>SUM(L18:L19)</f>
        <v>21236</v>
      </c>
      <c r="M20" s="1062">
        <f>SUM(M18:M19)</f>
        <v>359478</v>
      </c>
      <c r="N20" s="1062">
        <f>SUM(N18:N19)</f>
        <v>268781</v>
      </c>
      <c r="O20" s="243">
        <f>SUM(F20:M20)</f>
        <v>389181</v>
      </c>
    </row>
    <row r="21" spans="1:15" s="110" customFormat="1" ht="22.5" customHeight="1">
      <c r="A21" s="35">
        <v>13</v>
      </c>
      <c r="B21" s="223">
        <v>3</v>
      </c>
      <c r="C21" s="224"/>
      <c r="D21" s="2059" t="s">
        <v>247</v>
      </c>
      <c r="E21" s="2060"/>
      <c r="F21" s="232"/>
      <c r="G21" s="232"/>
      <c r="H21" s="232"/>
      <c r="I21" s="232"/>
      <c r="J21" s="232"/>
      <c r="K21" s="232"/>
      <c r="L21" s="232"/>
      <c r="M21" s="232"/>
      <c r="N21" s="233"/>
      <c r="O21" s="234"/>
    </row>
    <row r="22" spans="1:15" s="27" customFormat="1" ht="18" customHeight="1">
      <c r="A22" s="35">
        <v>14</v>
      </c>
      <c r="B22" s="225"/>
      <c r="C22" s="224"/>
      <c r="D22" s="2061" t="s">
        <v>138</v>
      </c>
      <c r="E22" s="2062"/>
      <c r="F22" s="235"/>
      <c r="G22" s="235"/>
      <c r="H22" s="235"/>
      <c r="I22" s="235"/>
      <c r="J22" s="235"/>
      <c r="K22" s="235"/>
      <c r="L22" s="235"/>
      <c r="M22" s="235"/>
      <c r="N22" s="236"/>
      <c r="O22" s="247"/>
    </row>
    <row r="23" spans="1:16" s="599" customFormat="1" ht="18" customHeight="1">
      <c r="A23" s="35">
        <v>15</v>
      </c>
      <c r="B23" s="591"/>
      <c r="C23" s="592"/>
      <c r="D23" s="593"/>
      <c r="E23" s="636" t="s">
        <v>283</v>
      </c>
      <c r="F23" s="595">
        <v>12371</v>
      </c>
      <c r="G23" s="595"/>
      <c r="H23" s="595"/>
      <c r="I23" s="595"/>
      <c r="J23" s="595"/>
      <c r="K23" s="595"/>
      <c r="L23" s="595">
        <v>24423</v>
      </c>
      <c r="M23" s="595">
        <v>393657</v>
      </c>
      <c r="N23" s="596">
        <v>302420</v>
      </c>
      <c r="O23" s="597">
        <f>SUM(F23:M23)</f>
        <v>430451</v>
      </c>
      <c r="P23" s="598"/>
    </row>
    <row r="24" spans="1:16" s="599" customFormat="1" ht="18" customHeight="1">
      <c r="A24" s="35">
        <v>16</v>
      </c>
      <c r="B24" s="591"/>
      <c r="C24" s="592"/>
      <c r="D24" s="593"/>
      <c r="E24" s="260" t="s">
        <v>938</v>
      </c>
      <c r="F24" s="1062">
        <v>12371</v>
      </c>
      <c r="G24" s="1062"/>
      <c r="H24" s="1062"/>
      <c r="I24" s="1062"/>
      <c r="J24" s="1062"/>
      <c r="K24" s="1062"/>
      <c r="L24" s="1062">
        <v>37354</v>
      </c>
      <c r="M24" s="1062">
        <v>394221</v>
      </c>
      <c r="N24" s="1589">
        <v>313061</v>
      </c>
      <c r="O24" s="243">
        <f>SUM(F24:M24)</f>
        <v>443946</v>
      </c>
      <c r="P24" s="598"/>
    </row>
    <row r="25" spans="1:16" s="599" customFormat="1" ht="18" customHeight="1">
      <c r="A25" s="35">
        <v>17</v>
      </c>
      <c r="B25" s="591"/>
      <c r="C25" s="592"/>
      <c r="D25" s="593"/>
      <c r="E25" s="1151" t="s">
        <v>944</v>
      </c>
      <c r="F25" s="595"/>
      <c r="G25" s="595"/>
      <c r="H25" s="595"/>
      <c r="I25" s="595"/>
      <c r="J25" s="595"/>
      <c r="K25" s="595"/>
      <c r="L25" s="116"/>
      <c r="M25" s="116"/>
      <c r="N25" s="116">
        <v>2116</v>
      </c>
      <c r="O25" s="876">
        <f>SUM(F25:M25)</f>
        <v>0</v>
      </c>
      <c r="P25" s="598"/>
    </row>
    <row r="26" spans="1:16" s="599" customFormat="1" ht="18" customHeight="1">
      <c r="A26" s="35">
        <v>18</v>
      </c>
      <c r="B26" s="591"/>
      <c r="C26" s="592"/>
      <c r="D26" s="593"/>
      <c r="E26" s="260" t="s">
        <v>1091</v>
      </c>
      <c r="F26" s="1062">
        <f>SUM(F24:F25)</f>
        <v>12371</v>
      </c>
      <c r="G26" s="1062"/>
      <c r="H26" s="1062"/>
      <c r="I26" s="1062"/>
      <c r="J26" s="1062"/>
      <c r="K26" s="1062"/>
      <c r="L26" s="1062">
        <f>SUM(L24:L25)</f>
        <v>37354</v>
      </c>
      <c r="M26" s="1062">
        <f>SUM(M24:M25)</f>
        <v>394221</v>
      </c>
      <c r="N26" s="1062">
        <f>SUM(N24:N25)</f>
        <v>315177</v>
      </c>
      <c r="O26" s="243">
        <f>SUM(F26:M26)</f>
        <v>443946</v>
      </c>
      <c r="P26" s="598"/>
    </row>
    <row r="27" spans="1:15" s="111" customFormat="1" ht="22.5" customHeight="1">
      <c r="A27" s="35">
        <v>19</v>
      </c>
      <c r="B27" s="223">
        <v>4</v>
      </c>
      <c r="C27" s="224"/>
      <c r="D27" s="2059" t="s">
        <v>248</v>
      </c>
      <c r="E27" s="2060"/>
      <c r="F27" s="232"/>
      <c r="G27" s="232"/>
      <c r="H27" s="232"/>
      <c r="I27" s="232"/>
      <c r="J27" s="232"/>
      <c r="K27" s="232"/>
      <c r="L27" s="232"/>
      <c r="M27" s="232"/>
      <c r="N27" s="233"/>
      <c r="O27" s="234"/>
    </row>
    <row r="28" spans="1:15" s="110" customFormat="1" ht="18" customHeight="1">
      <c r="A28" s="35">
        <v>20</v>
      </c>
      <c r="B28" s="225"/>
      <c r="C28" s="224"/>
      <c r="D28" s="2061" t="s">
        <v>139</v>
      </c>
      <c r="E28" s="2062"/>
      <c r="F28" s="235"/>
      <c r="G28" s="235"/>
      <c r="H28" s="235"/>
      <c r="I28" s="235"/>
      <c r="J28" s="235"/>
      <c r="K28" s="235"/>
      <c r="L28" s="235"/>
      <c r="M28" s="235"/>
      <c r="N28" s="236"/>
      <c r="O28" s="247"/>
    </row>
    <row r="29" spans="1:15" s="601" customFormat="1" ht="18" customHeight="1">
      <c r="A29" s="35">
        <v>21</v>
      </c>
      <c r="B29" s="591"/>
      <c r="C29" s="592"/>
      <c r="D29" s="593"/>
      <c r="E29" s="636" t="s">
        <v>283</v>
      </c>
      <c r="F29" s="595">
        <v>12382</v>
      </c>
      <c r="G29" s="595"/>
      <c r="H29" s="595"/>
      <c r="I29" s="595"/>
      <c r="J29" s="595"/>
      <c r="K29" s="595"/>
      <c r="L29" s="595">
        <v>8718</v>
      </c>
      <c r="M29" s="595">
        <v>319580</v>
      </c>
      <c r="N29" s="596">
        <v>244034</v>
      </c>
      <c r="O29" s="597">
        <f>SUM(F29:M29)</f>
        <v>340680</v>
      </c>
    </row>
    <row r="30" spans="1:15" s="601" customFormat="1" ht="18" customHeight="1">
      <c r="A30" s="35">
        <v>22</v>
      </c>
      <c r="B30" s="591"/>
      <c r="C30" s="592"/>
      <c r="D30" s="593"/>
      <c r="E30" s="260" t="s">
        <v>938</v>
      </c>
      <c r="F30" s="1062">
        <v>12961</v>
      </c>
      <c r="G30" s="1062"/>
      <c r="H30" s="1062"/>
      <c r="I30" s="1062"/>
      <c r="J30" s="1062"/>
      <c r="K30" s="1062"/>
      <c r="L30" s="1062">
        <v>18834</v>
      </c>
      <c r="M30" s="1062">
        <v>319580</v>
      </c>
      <c r="N30" s="1589">
        <v>251829</v>
      </c>
      <c r="O30" s="243">
        <f>SUM(F30:M30)</f>
        <v>351375</v>
      </c>
    </row>
    <row r="31" spans="1:15" s="601" customFormat="1" ht="18" customHeight="1">
      <c r="A31" s="35">
        <v>23</v>
      </c>
      <c r="B31" s="591"/>
      <c r="C31" s="592"/>
      <c r="D31" s="593"/>
      <c r="E31" s="1151" t="s">
        <v>944</v>
      </c>
      <c r="F31" s="595"/>
      <c r="G31" s="595"/>
      <c r="H31" s="595"/>
      <c r="I31" s="595"/>
      <c r="J31" s="595"/>
      <c r="K31" s="595"/>
      <c r="L31" s="116"/>
      <c r="M31" s="595"/>
      <c r="N31" s="116">
        <v>1516</v>
      </c>
      <c r="O31" s="876">
        <f>SUM(F31:M31)</f>
        <v>0</v>
      </c>
    </row>
    <row r="32" spans="1:15" s="601" customFormat="1" ht="18" customHeight="1">
      <c r="A32" s="35">
        <v>24</v>
      </c>
      <c r="B32" s="591"/>
      <c r="C32" s="592"/>
      <c r="D32" s="593"/>
      <c r="E32" s="260" t="s">
        <v>1091</v>
      </c>
      <c r="F32" s="1062">
        <f>SUM(F30:F31)</f>
        <v>12961</v>
      </c>
      <c r="G32" s="1062"/>
      <c r="H32" s="1062"/>
      <c r="I32" s="1062"/>
      <c r="J32" s="1062"/>
      <c r="K32" s="1062"/>
      <c r="L32" s="1062">
        <f>SUM(L30:L31)</f>
        <v>18834</v>
      </c>
      <c r="M32" s="1062">
        <f>SUM(M30:M31)</f>
        <v>319580</v>
      </c>
      <c r="N32" s="1062">
        <f>SUM(N30:N31)</f>
        <v>253345</v>
      </c>
      <c r="O32" s="243">
        <f>SUM(F32:M32)</f>
        <v>351375</v>
      </c>
    </row>
    <row r="33" spans="1:15" s="30" customFormat="1" ht="22.5" customHeight="1">
      <c r="A33" s="35">
        <v>25</v>
      </c>
      <c r="B33" s="223">
        <v>5</v>
      </c>
      <c r="C33" s="224"/>
      <c r="D33" s="2059" t="s">
        <v>249</v>
      </c>
      <c r="E33" s="2060"/>
      <c r="F33" s="232"/>
      <c r="G33" s="232"/>
      <c r="H33" s="232"/>
      <c r="I33" s="232"/>
      <c r="J33" s="232"/>
      <c r="K33" s="232"/>
      <c r="L33" s="232"/>
      <c r="M33" s="232"/>
      <c r="N33" s="233"/>
      <c r="O33" s="234"/>
    </row>
    <row r="34" spans="1:15" s="111" customFormat="1" ht="18" customHeight="1">
      <c r="A34" s="35">
        <v>26</v>
      </c>
      <c r="B34" s="225"/>
      <c r="C34" s="224"/>
      <c r="D34" s="2061" t="s">
        <v>140</v>
      </c>
      <c r="E34" s="2062"/>
      <c r="F34" s="235"/>
      <c r="G34" s="235"/>
      <c r="H34" s="235"/>
      <c r="I34" s="235"/>
      <c r="J34" s="235"/>
      <c r="K34" s="235"/>
      <c r="L34" s="235"/>
      <c r="M34" s="235"/>
      <c r="N34" s="236"/>
      <c r="O34" s="247"/>
    </row>
    <row r="35" spans="1:15" s="600" customFormat="1" ht="18" customHeight="1">
      <c r="A35" s="35">
        <v>27</v>
      </c>
      <c r="B35" s="591"/>
      <c r="C35" s="592"/>
      <c r="D35" s="593"/>
      <c r="E35" s="636" t="s">
        <v>283</v>
      </c>
      <c r="F35" s="595">
        <v>17622</v>
      </c>
      <c r="G35" s="595"/>
      <c r="H35" s="595"/>
      <c r="I35" s="595"/>
      <c r="J35" s="595"/>
      <c r="K35" s="595"/>
      <c r="L35" s="595">
        <v>11563</v>
      </c>
      <c r="M35" s="595">
        <v>333644</v>
      </c>
      <c r="N35" s="596">
        <v>276219</v>
      </c>
      <c r="O35" s="597">
        <f>SUM(F35:M35)</f>
        <v>362829</v>
      </c>
    </row>
    <row r="36" spans="1:15" s="600" customFormat="1" ht="18" customHeight="1">
      <c r="A36" s="35">
        <v>28</v>
      </c>
      <c r="B36" s="591"/>
      <c r="C36" s="592"/>
      <c r="D36" s="593"/>
      <c r="E36" s="260" t="s">
        <v>938</v>
      </c>
      <c r="F36" s="1062">
        <v>17622</v>
      </c>
      <c r="G36" s="1062"/>
      <c r="H36" s="1062"/>
      <c r="I36" s="1062"/>
      <c r="J36" s="1062"/>
      <c r="K36" s="1062"/>
      <c r="L36" s="1062">
        <v>22325</v>
      </c>
      <c r="M36" s="1062">
        <v>333644</v>
      </c>
      <c r="N36" s="1589">
        <v>285665</v>
      </c>
      <c r="O36" s="243">
        <f>SUM(F36:M36)</f>
        <v>373591</v>
      </c>
    </row>
    <row r="37" spans="1:15" s="600" customFormat="1" ht="18" customHeight="1">
      <c r="A37" s="35">
        <v>29</v>
      </c>
      <c r="B37" s="591"/>
      <c r="C37" s="592"/>
      <c r="D37" s="593"/>
      <c r="E37" s="1151" t="s">
        <v>944</v>
      </c>
      <c r="F37" s="595"/>
      <c r="G37" s="595"/>
      <c r="H37" s="595"/>
      <c r="I37" s="595"/>
      <c r="J37" s="595"/>
      <c r="K37" s="595"/>
      <c r="L37" s="116"/>
      <c r="M37" s="595"/>
      <c r="N37" s="116">
        <v>2034</v>
      </c>
      <c r="O37" s="876">
        <f>SUM(F37:M37)</f>
        <v>0</v>
      </c>
    </row>
    <row r="38" spans="1:15" s="600" customFormat="1" ht="18" customHeight="1">
      <c r="A38" s="35">
        <v>30</v>
      </c>
      <c r="B38" s="591"/>
      <c r="C38" s="592"/>
      <c r="D38" s="593"/>
      <c r="E38" s="260" t="s">
        <v>1091</v>
      </c>
      <c r="F38" s="1062">
        <f>SUM(F36:F37)</f>
        <v>17622</v>
      </c>
      <c r="G38" s="1062"/>
      <c r="H38" s="1062"/>
      <c r="I38" s="1062"/>
      <c r="J38" s="1062"/>
      <c r="K38" s="1062"/>
      <c r="L38" s="1062">
        <f>SUM(L36:L37)</f>
        <v>22325</v>
      </c>
      <c r="M38" s="1062">
        <f>SUM(M36:M37)</f>
        <v>333644</v>
      </c>
      <c r="N38" s="1062">
        <f>SUM(N36:N37)</f>
        <v>287699</v>
      </c>
      <c r="O38" s="243">
        <f>SUM(F38:M38)</f>
        <v>373591</v>
      </c>
    </row>
    <row r="39" spans="1:15" s="30" customFormat="1" ht="22.5" customHeight="1">
      <c r="A39" s="35">
        <v>31</v>
      </c>
      <c r="B39" s="223">
        <v>6</v>
      </c>
      <c r="C39" s="224"/>
      <c r="D39" s="2059" t="s">
        <v>250</v>
      </c>
      <c r="E39" s="2060"/>
      <c r="F39" s="232"/>
      <c r="G39" s="232"/>
      <c r="H39" s="232"/>
      <c r="I39" s="232"/>
      <c r="J39" s="232"/>
      <c r="K39" s="232"/>
      <c r="L39" s="232"/>
      <c r="M39" s="232"/>
      <c r="N39" s="233"/>
      <c r="O39" s="234"/>
    </row>
    <row r="40" spans="1:15" s="30" customFormat="1" ht="18" customHeight="1">
      <c r="A40" s="35">
        <v>32</v>
      </c>
      <c r="B40" s="225"/>
      <c r="C40" s="224"/>
      <c r="D40" s="2061" t="s">
        <v>141</v>
      </c>
      <c r="E40" s="2062"/>
      <c r="F40" s="235"/>
      <c r="G40" s="235"/>
      <c r="H40" s="235"/>
      <c r="I40" s="235"/>
      <c r="J40" s="235"/>
      <c r="K40" s="235"/>
      <c r="L40" s="235"/>
      <c r="M40" s="235"/>
      <c r="N40" s="236"/>
      <c r="O40" s="247"/>
    </row>
    <row r="41" spans="1:15" s="602" customFormat="1" ht="18" customHeight="1">
      <c r="A41" s="35">
        <v>33</v>
      </c>
      <c r="B41" s="591"/>
      <c r="C41" s="592"/>
      <c r="D41" s="593"/>
      <c r="E41" s="636" t="s">
        <v>283</v>
      </c>
      <c r="F41" s="595">
        <v>5471</v>
      </c>
      <c r="G41" s="595"/>
      <c r="H41" s="595"/>
      <c r="I41" s="595"/>
      <c r="J41" s="595"/>
      <c r="K41" s="595"/>
      <c r="L41" s="595">
        <v>15705</v>
      </c>
      <c r="M41" s="595">
        <v>184907</v>
      </c>
      <c r="N41" s="596">
        <v>126960</v>
      </c>
      <c r="O41" s="597">
        <f>SUM(F41:M41)</f>
        <v>206083</v>
      </c>
    </row>
    <row r="42" spans="1:15" s="602" customFormat="1" ht="18" customHeight="1">
      <c r="A42" s="35">
        <v>34</v>
      </c>
      <c r="B42" s="591"/>
      <c r="C42" s="592"/>
      <c r="D42" s="593"/>
      <c r="E42" s="260" t="s">
        <v>938</v>
      </c>
      <c r="F42" s="1154">
        <v>5471</v>
      </c>
      <c r="G42" s="1154"/>
      <c r="H42" s="1154"/>
      <c r="I42" s="1154"/>
      <c r="J42" s="1154"/>
      <c r="K42" s="1154"/>
      <c r="L42" s="1154">
        <v>18111</v>
      </c>
      <c r="M42" s="1154">
        <v>185666</v>
      </c>
      <c r="N42" s="1590">
        <v>131057</v>
      </c>
      <c r="O42" s="243">
        <f>SUM(F42:M42)</f>
        <v>209248</v>
      </c>
    </row>
    <row r="43" spans="1:15" s="602" customFormat="1" ht="18" customHeight="1">
      <c r="A43" s="35">
        <v>35</v>
      </c>
      <c r="B43" s="591"/>
      <c r="C43" s="592"/>
      <c r="D43" s="1485"/>
      <c r="E43" s="1151" t="s">
        <v>944</v>
      </c>
      <c r="F43" s="1134"/>
      <c r="G43" s="1134"/>
      <c r="H43" s="1134"/>
      <c r="I43" s="1134"/>
      <c r="J43" s="1134"/>
      <c r="K43" s="1134"/>
      <c r="L43" s="250"/>
      <c r="M43" s="250"/>
      <c r="N43" s="250">
        <v>879</v>
      </c>
      <c r="O43" s="876">
        <f>SUM(F43:M43)</f>
        <v>0</v>
      </c>
    </row>
    <row r="44" spans="1:15" s="602" customFormat="1" ht="18" customHeight="1" thickBot="1">
      <c r="A44" s="35">
        <v>36</v>
      </c>
      <c r="B44" s="591"/>
      <c r="C44" s="1140"/>
      <c r="D44" s="1486"/>
      <c r="E44" s="1157" t="s">
        <v>1091</v>
      </c>
      <c r="F44" s="1154">
        <f>SUM(F42:F43)</f>
        <v>5471</v>
      </c>
      <c r="G44" s="1154"/>
      <c r="H44" s="1154"/>
      <c r="I44" s="1154"/>
      <c r="J44" s="1154"/>
      <c r="K44" s="1154"/>
      <c r="L44" s="1154">
        <f>SUM(L42:L43)</f>
        <v>18111</v>
      </c>
      <c r="M44" s="1154">
        <f>SUM(M42:M43)</f>
        <v>185666</v>
      </c>
      <c r="N44" s="1154">
        <f>SUM(N42:N43)</f>
        <v>131936</v>
      </c>
      <c r="O44" s="243">
        <f>SUM(F44:M44)</f>
        <v>209248</v>
      </c>
    </row>
    <row r="45" spans="1:15" s="22" customFormat="1" ht="22.5" customHeight="1" thickTop="1">
      <c r="A45" s="35">
        <v>37</v>
      </c>
      <c r="B45" s="225"/>
      <c r="C45" s="2065" t="s">
        <v>424</v>
      </c>
      <c r="D45" s="2066"/>
      <c r="E45" s="2067"/>
      <c r="F45" s="589"/>
      <c r="G45" s="589"/>
      <c r="H45" s="589"/>
      <c r="I45" s="589"/>
      <c r="J45" s="589"/>
      <c r="K45" s="589"/>
      <c r="L45" s="589"/>
      <c r="M45" s="589"/>
      <c r="N45" s="527"/>
      <c r="O45" s="590"/>
    </row>
    <row r="46" spans="1:16" s="599" customFormat="1" ht="18" customHeight="1">
      <c r="A46" s="35">
        <v>38</v>
      </c>
      <c r="B46" s="603"/>
      <c r="C46" s="604"/>
      <c r="D46" s="605"/>
      <c r="E46" s="629" t="s">
        <v>283</v>
      </c>
      <c r="F46" s="606">
        <f aca="true" t="shared" si="0" ref="F46:N46">SUM(F11,F17,F23,F29,F35,F41,)</f>
        <v>60656</v>
      </c>
      <c r="G46" s="606">
        <f t="shared" si="0"/>
        <v>0</v>
      </c>
      <c r="H46" s="606">
        <f t="shared" si="0"/>
        <v>0</v>
      </c>
      <c r="I46" s="606">
        <f t="shared" si="0"/>
        <v>0</v>
      </c>
      <c r="J46" s="606">
        <f t="shared" si="0"/>
        <v>0</v>
      </c>
      <c r="K46" s="606">
        <f t="shared" si="0"/>
        <v>0</v>
      </c>
      <c r="L46" s="606">
        <f t="shared" si="0"/>
        <v>78624</v>
      </c>
      <c r="M46" s="606">
        <f t="shared" si="0"/>
        <v>1808796</v>
      </c>
      <c r="N46" s="606">
        <f t="shared" si="0"/>
        <v>1384902</v>
      </c>
      <c r="O46" s="608">
        <f>SUM(F46:M46)</f>
        <v>1948076</v>
      </c>
      <c r="P46" s="598"/>
    </row>
    <row r="47" spans="1:16" s="599" customFormat="1" ht="18" customHeight="1">
      <c r="A47" s="35">
        <v>39</v>
      </c>
      <c r="B47" s="1149"/>
      <c r="C47" s="604"/>
      <c r="D47" s="605"/>
      <c r="E47" s="260" t="s">
        <v>938</v>
      </c>
      <c r="F47" s="1162">
        <f aca="true" t="shared" si="1" ref="F47:N47">SUM(F12,F18,F24,F30,F36,F42,)</f>
        <v>61235</v>
      </c>
      <c r="G47" s="1162">
        <f t="shared" si="1"/>
        <v>0</v>
      </c>
      <c r="H47" s="1162">
        <f t="shared" si="1"/>
        <v>0</v>
      </c>
      <c r="I47" s="1162">
        <f t="shared" si="1"/>
        <v>0</v>
      </c>
      <c r="J47" s="1162">
        <f t="shared" si="1"/>
        <v>0</v>
      </c>
      <c r="K47" s="1162">
        <f t="shared" si="1"/>
        <v>0</v>
      </c>
      <c r="L47" s="1162">
        <f t="shared" si="1"/>
        <v>133375</v>
      </c>
      <c r="M47" s="1162">
        <f t="shared" si="1"/>
        <v>1812322</v>
      </c>
      <c r="N47" s="1162">
        <f t="shared" si="1"/>
        <v>1432013</v>
      </c>
      <c r="O47" s="234">
        <f>SUM(F47:M47)</f>
        <v>2006932</v>
      </c>
      <c r="P47" s="598"/>
    </row>
    <row r="48" spans="1:16" s="599" customFormat="1" ht="18" customHeight="1">
      <c r="A48" s="35">
        <v>40</v>
      </c>
      <c r="B48" s="1149"/>
      <c r="C48" s="592"/>
      <c r="D48" s="1485"/>
      <c r="E48" s="1151" t="s">
        <v>674</v>
      </c>
      <c r="F48" s="230">
        <f aca="true" t="shared" si="2" ref="F48:N48">SUM(F13:F13,F19:F19,F25:F25,F31:F31,F37:F37,F43:F43)</f>
        <v>0</v>
      </c>
      <c r="G48" s="230">
        <f t="shared" si="2"/>
        <v>0</v>
      </c>
      <c r="H48" s="230">
        <f t="shared" si="2"/>
        <v>0</v>
      </c>
      <c r="I48" s="230">
        <f t="shared" si="2"/>
        <v>0</v>
      </c>
      <c r="J48" s="230">
        <f t="shared" si="2"/>
        <v>0</v>
      </c>
      <c r="K48" s="230">
        <f t="shared" si="2"/>
        <v>0</v>
      </c>
      <c r="L48" s="230">
        <f t="shared" si="2"/>
        <v>0</v>
      </c>
      <c r="M48" s="230">
        <f t="shared" si="2"/>
        <v>0</v>
      </c>
      <c r="N48" s="230">
        <f t="shared" si="2"/>
        <v>9836</v>
      </c>
      <c r="O48" s="1591">
        <f>SUM(F48:M48)</f>
        <v>0</v>
      </c>
      <c r="P48" s="598"/>
    </row>
    <row r="49" spans="1:16" s="599" customFormat="1" ht="18" customHeight="1" thickBot="1">
      <c r="A49" s="35">
        <v>41</v>
      </c>
      <c r="B49" s="1149"/>
      <c r="C49" s="1140"/>
      <c r="D49" s="1141"/>
      <c r="E49" s="1577" t="s">
        <v>1091</v>
      </c>
      <c r="F49" s="1159">
        <f>SUM(F47:F48)</f>
        <v>61235</v>
      </c>
      <c r="G49" s="1159">
        <f aca="true" t="shared" si="3" ref="G49:N49">SUM(G47:G48)</f>
        <v>0</v>
      </c>
      <c r="H49" s="1159">
        <f t="shared" si="3"/>
        <v>0</v>
      </c>
      <c r="I49" s="1159">
        <f t="shared" si="3"/>
        <v>0</v>
      </c>
      <c r="J49" s="1159">
        <f t="shared" si="3"/>
        <v>0</v>
      </c>
      <c r="K49" s="1159">
        <f t="shared" si="3"/>
        <v>0</v>
      </c>
      <c r="L49" s="1159">
        <f t="shared" si="3"/>
        <v>133375</v>
      </c>
      <c r="M49" s="1159">
        <f t="shared" si="3"/>
        <v>1812322</v>
      </c>
      <c r="N49" s="1159">
        <f t="shared" si="3"/>
        <v>1441849</v>
      </c>
      <c r="O49" s="1592">
        <f>SUM(F49:M49)</f>
        <v>2006932</v>
      </c>
      <c r="P49" s="598"/>
    </row>
    <row r="50" spans="1:15" s="27" customFormat="1" ht="22.5" customHeight="1" thickTop="1">
      <c r="A50" s="35">
        <v>42</v>
      </c>
      <c r="B50" s="237">
        <v>7</v>
      </c>
      <c r="C50" s="238"/>
      <c r="D50" s="2063" t="s">
        <v>296</v>
      </c>
      <c r="E50" s="2064"/>
      <c r="F50" s="239"/>
      <c r="G50" s="239"/>
      <c r="H50" s="239"/>
      <c r="I50" s="239"/>
      <c r="J50" s="239"/>
      <c r="K50" s="239"/>
      <c r="L50" s="239"/>
      <c r="M50" s="239"/>
      <c r="N50" s="240"/>
      <c r="O50" s="241"/>
    </row>
    <row r="51" spans="1:15" s="598" customFormat="1" ht="18" customHeight="1">
      <c r="A51" s="35">
        <v>43</v>
      </c>
      <c r="B51" s="591"/>
      <c r="C51" s="592"/>
      <c r="D51" s="593"/>
      <c r="E51" s="636" t="s">
        <v>283</v>
      </c>
      <c r="F51" s="613">
        <v>20992</v>
      </c>
      <c r="G51" s="613">
        <v>1502</v>
      </c>
      <c r="H51" s="613"/>
      <c r="I51" s="613"/>
      <c r="J51" s="613"/>
      <c r="K51" s="613"/>
      <c r="L51" s="613">
        <v>57280</v>
      </c>
      <c r="M51" s="613">
        <v>1041123</v>
      </c>
      <c r="N51" s="614">
        <v>763054</v>
      </c>
      <c r="O51" s="610">
        <f>SUM(F51:M51)</f>
        <v>1120897</v>
      </c>
    </row>
    <row r="52" spans="1:15" s="598" customFormat="1" ht="18" customHeight="1">
      <c r="A52" s="35">
        <v>44</v>
      </c>
      <c r="B52" s="591"/>
      <c r="C52" s="592"/>
      <c r="D52" s="593"/>
      <c r="E52" s="260" t="s">
        <v>938</v>
      </c>
      <c r="F52" s="1055">
        <v>20992</v>
      </c>
      <c r="G52" s="1055">
        <v>3353</v>
      </c>
      <c r="H52" s="1055"/>
      <c r="I52" s="1055"/>
      <c r="J52" s="1055"/>
      <c r="K52" s="1055"/>
      <c r="L52" s="1055">
        <v>71309</v>
      </c>
      <c r="M52" s="1055">
        <v>1056592</v>
      </c>
      <c r="N52" s="1593">
        <v>769373</v>
      </c>
      <c r="O52" s="231">
        <f aca="true" t="shared" si="4" ref="O52:O57">SUM(F52:M52)</f>
        <v>1152246</v>
      </c>
    </row>
    <row r="53" spans="1:15" s="598" customFormat="1" ht="18" customHeight="1">
      <c r="A53" s="35">
        <v>45</v>
      </c>
      <c r="B53" s="591"/>
      <c r="C53" s="592"/>
      <c r="D53" s="593"/>
      <c r="E53" s="1151" t="s">
        <v>942</v>
      </c>
      <c r="F53" s="613"/>
      <c r="G53" s="613"/>
      <c r="H53" s="613"/>
      <c r="I53" s="613"/>
      <c r="J53" s="613"/>
      <c r="K53" s="613"/>
      <c r="L53" s="613"/>
      <c r="M53" s="230">
        <v>3782</v>
      </c>
      <c r="N53" s="230">
        <v>3782</v>
      </c>
      <c r="O53" s="876">
        <f t="shared" si="4"/>
        <v>3782</v>
      </c>
    </row>
    <row r="54" spans="1:15" s="598" customFormat="1" ht="18" customHeight="1">
      <c r="A54" s="35">
        <v>46</v>
      </c>
      <c r="B54" s="591"/>
      <c r="C54" s="592"/>
      <c r="D54" s="593"/>
      <c r="E54" s="1151" t="s">
        <v>946</v>
      </c>
      <c r="F54" s="613"/>
      <c r="G54" s="230"/>
      <c r="H54" s="613"/>
      <c r="I54" s="613"/>
      <c r="J54" s="613"/>
      <c r="K54" s="613"/>
      <c r="L54" s="230"/>
      <c r="M54" s="613"/>
      <c r="N54" s="230">
        <v>2466</v>
      </c>
      <c r="O54" s="876">
        <f t="shared" si="4"/>
        <v>0</v>
      </c>
    </row>
    <row r="55" spans="1:15" s="598" customFormat="1" ht="18" customHeight="1">
      <c r="A55" s="35">
        <v>47</v>
      </c>
      <c r="B55" s="591"/>
      <c r="C55" s="592"/>
      <c r="D55" s="593"/>
      <c r="E55" s="1151" t="s">
        <v>945</v>
      </c>
      <c r="F55" s="613"/>
      <c r="G55" s="230"/>
      <c r="H55" s="613"/>
      <c r="I55" s="613"/>
      <c r="J55" s="613"/>
      <c r="K55" s="613"/>
      <c r="L55" s="230"/>
      <c r="M55" s="230"/>
      <c r="N55" s="229">
        <v>-56411</v>
      </c>
      <c r="O55" s="876">
        <f t="shared" si="4"/>
        <v>0</v>
      </c>
    </row>
    <row r="56" spans="1:15" s="598" customFormat="1" ht="18" customHeight="1">
      <c r="A56" s="35">
        <v>48</v>
      </c>
      <c r="B56" s="591"/>
      <c r="C56" s="592"/>
      <c r="D56" s="593"/>
      <c r="E56" s="1151" t="s">
        <v>1040</v>
      </c>
      <c r="F56" s="613"/>
      <c r="G56" s="230"/>
      <c r="H56" s="613"/>
      <c r="I56" s="613"/>
      <c r="J56" s="613"/>
      <c r="K56" s="613"/>
      <c r="L56" s="230"/>
      <c r="M56" s="230">
        <v>17000</v>
      </c>
      <c r="N56" s="229">
        <v>17000</v>
      </c>
      <c r="O56" s="876">
        <f t="shared" si="4"/>
        <v>17000</v>
      </c>
    </row>
    <row r="57" spans="1:15" s="598" customFormat="1" ht="18" customHeight="1">
      <c r="A57" s="35">
        <v>49</v>
      </c>
      <c r="B57" s="591"/>
      <c r="C57" s="592"/>
      <c r="D57" s="593"/>
      <c r="E57" s="1151" t="s">
        <v>959</v>
      </c>
      <c r="F57" s="613"/>
      <c r="G57" s="230">
        <v>1332</v>
      </c>
      <c r="H57" s="613"/>
      <c r="I57" s="613"/>
      <c r="J57" s="613"/>
      <c r="K57" s="613"/>
      <c r="L57" s="230"/>
      <c r="M57" s="230"/>
      <c r="N57" s="1593"/>
      <c r="O57" s="876">
        <f t="shared" si="4"/>
        <v>1332</v>
      </c>
    </row>
    <row r="58" spans="1:15" s="598" customFormat="1" ht="18" customHeight="1">
      <c r="A58" s="35">
        <v>50</v>
      </c>
      <c r="B58" s="591"/>
      <c r="C58" s="592"/>
      <c r="D58" s="593"/>
      <c r="E58" s="260" t="s">
        <v>1091</v>
      </c>
      <c r="F58" s="1055">
        <f>SUM(F52:F57)</f>
        <v>20992</v>
      </c>
      <c r="G58" s="1055">
        <f aca="true" t="shared" si="5" ref="G58:M58">SUM(G52:G57)</f>
        <v>4685</v>
      </c>
      <c r="H58" s="1055">
        <f t="shared" si="5"/>
        <v>0</v>
      </c>
      <c r="I58" s="1055">
        <f t="shared" si="5"/>
        <v>0</v>
      </c>
      <c r="J58" s="1055">
        <f t="shared" si="5"/>
        <v>0</v>
      </c>
      <c r="K58" s="1055">
        <f t="shared" si="5"/>
        <v>0</v>
      </c>
      <c r="L58" s="1055">
        <f t="shared" si="5"/>
        <v>71309</v>
      </c>
      <c r="M58" s="1055">
        <f t="shared" si="5"/>
        <v>1077374</v>
      </c>
      <c r="N58" s="1055">
        <f>SUM(N52:N57)</f>
        <v>736210</v>
      </c>
      <c r="O58" s="243">
        <f>SUM(F58:M58)</f>
        <v>1174360</v>
      </c>
    </row>
    <row r="59" spans="1:16" s="195" customFormat="1" ht="22.5" customHeight="1">
      <c r="A59" s="35">
        <v>51</v>
      </c>
      <c r="B59" s="223">
        <v>8</v>
      </c>
      <c r="C59" s="224"/>
      <c r="D59" s="2059" t="s">
        <v>113</v>
      </c>
      <c r="E59" s="2060"/>
      <c r="F59" s="229"/>
      <c r="G59" s="229"/>
      <c r="H59" s="229"/>
      <c r="I59" s="229"/>
      <c r="J59" s="229"/>
      <c r="K59" s="229"/>
      <c r="L59" s="229"/>
      <c r="M59" s="229"/>
      <c r="N59" s="230"/>
      <c r="O59" s="231"/>
      <c r="P59" s="27"/>
    </row>
    <row r="60" spans="1:15" s="600" customFormat="1" ht="18" customHeight="1">
      <c r="A60" s="35">
        <v>52</v>
      </c>
      <c r="B60" s="591"/>
      <c r="C60" s="592"/>
      <c r="D60" s="593"/>
      <c r="E60" s="636" t="s">
        <v>283</v>
      </c>
      <c r="F60" s="613">
        <v>14100</v>
      </c>
      <c r="G60" s="613"/>
      <c r="H60" s="613"/>
      <c r="I60" s="613"/>
      <c r="J60" s="613"/>
      <c r="K60" s="613"/>
      <c r="L60" s="613">
        <v>3410</v>
      </c>
      <c r="M60" s="613">
        <v>56257</v>
      </c>
      <c r="N60" s="614">
        <v>34258</v>
      </c>
      <c r="O60" s="610">
        <f>SUM(F60:M60)</f>
        <v>73767</v>
      </c>
    </row>
    <row r="61" spans="1:15" s="600" customFormat="1" ht="18" customHeight="1">
      <c r="A61" s="35">
        <v>53</v>
      </c>
      <c r="B61" s="591"/>
      <c r="C61" s="592"/>
      <c r="D61" s="593"/>
      <c r="E61" s="260" t="s">
        <v>938</v>
      </c>
      <c r="F61" s="1055">
        <v>14100</v>
      </c>
      <c r="G61" s="1593"/>
      <c r="H61" s="1593"/>
      <c r="I61" s="1593"/>
      <c r="J61" s="1593"/>
      <c r="K61" s="1593"/>
      <c r="L61" s="1055">
        <v>18435</v>
      </c>
      <c r="M61" s="1055">
        <v>67745</v>
      </c>
      <c r="N61" s="1055">
        <v>46369</v>
      </c>
      <c r="O61" s="243">
        <f>SUM(F61:M61)</f>
        <v>100280</v>
      </c>
    </row>
    <row r="62" spans="1:15" s="600" customFormat="1" ht="18" customHeight="1">
      <c r="A62" s="35">
        <v>54</v>
      </c>
      <c r="B62" s="591"/>
      <c r="C62" s="592"/>
      <c r="D62" s="593"/>
      <c r="E62" s="1151" t="s">
        <v>942</v>
      </c>
      <c r="F62" s="613"/>
      <c r="G62" s="613"/>
      <c r="H62" s="613"/>
      <c r="I62" s="613"/>
      <c r="J62" s="613"/>
      <c r="K62" s="613"/>
      <c r="L62" s="613"/>
      <c r="M62" s="230">
        <v>2676</v>
      </c>
      <c r="N62" s="230">
        <v>2676</v>
      </c>
      <c r="O62" s="876">
        <f>SUM(F62:M62)</f>
        <v>2676</v>
      </c>
    </row>
    <row r="63" spans="1:15" s="600" customFormat="1" ht="18" customHeight="1">
      <c r="A63" s="35">
        <v>55</v>
      </c>
      <c r="B63" s="591"/>
      <c r="C63" s="592"/>
      <c r="D63" s="593"/>
      <c r="E63" s="1151" t="s">
        <v>1010</v>
      </c>
      <c r="F63" s="613"/>
      <c r="G63" s="613"/>
      <c r="H63" s="613"/>
      <c r="I63" s="613"/>
      <c r="J63" s="613"/>
      <c r="K63" s="613"/>
      <c r="L63" s="613"/>
      <c r="M63" s="230">
        <v>250</v>
      </c>
      <c r="N63" s="230">
        <v>250</v>
      </c>
      <c r="O63" s="876">
        <f>SUM(F63:M63)</f>
        <v>250</v>
      </c>
    </row>
    <row r="64" spans="1:15" s="600" customFormat="1" ht="18" customHeight="1">
      <c r="A64" s="35">
        <v>56</v>
      </c>
      <c r="B64" s="591"/>
      <c r="C64" s="592"/>
      <c r="D64" s="593"/>
      <c r="E64" s="260" t="s">
        <v>1091</v>
      </c>
      <c r="F64" s="1055">
        <f>SUM(F61:F63)</f>
        <v>14100</v>
      </c>
      <c r="G64" s="1055"/>
      <c r="H64" s="1055"/>
      <c r="I64" s="1055"/>
      <c r="J64" s="1055"/>
      <c r="K64" s="1055"/>
      <c r="L64" s="1055">
        <f>SUM(L61:L63)</f>
        <v>18435</v>
      </c>
      <c r="M64" s="1055">
        <f>SUM(M61:M63)</f>
        <v>70671</v>
      </c>
      <c r="N64" s="1055">
        <f>SUM(N61:N63)</f>
        <v>49295</v>
      </c>
      <c r="O64" s="243">
        <f>SUM(F64:M64)</f>
        <v>103206</v>
      </c>
    </row>
    <row r="65" spans="1:16" s="195" customFormat="1" ht="22.5" customHeight="1">
      <c r="A65" s="35">
        <v>57</v>
      </c>
      <c r="B65" s="223">
        <v>9</v>
      </c>
      <c r="C65" s="224"/>
      <c r="D65" s="2059" t="s">
        <v>376</v>
      </c>
      <c r="E65" s="2060"/>
      <c r="F65" s="229"/>
      <c r="G65" s="229"/>
      <c r="H65" s="229"/>
      <c r="I65" s="229"/>
      <c r="J65" s="229"/>
      <c r="K65" s="229"/>
      <c r="L65" s="229"/>
      <c r="M65" s="229"/>
      <c r="N65" s="230"/>
      <c r="O65" s="231"/>
      <c r="P65" s="27"/>
    </row>
    <row r="66" spans="1:15" s="600" customFormat="1" ht="18" customHeight="1">
      <c r="A66" s="35">
        <v>58</v>
      </c>
      <c r="B66" s="591"/>
      <c r="C66" s="604"/>
      <c r="D66" s="605"/>
      <c r="E66" s="628" t="s">
        <v>283</v>
      </c>
      <c r="F66" s="619">
        <v>1800</v>
      </c>
      <c r="G66" s="619"/>
      <c r="H66" s="619"/>
      <c r="I66" s="619"/>
      <c r="J66" s="619"/>
      <c r="K66" s="619"/>
      <c r="L66" s="619">
        <v>32587</v>
      </c>
      <c r="M66" s="619">
        <v>228803</v>
      </c>
      <c r="N66" s="620">
        <v>159828</v>
      </c>
      <c r="O66" s="612">
        <f>SUM(F66:M66)</f>
        <v>263190</v>
      </c>
    </row>
    <row r="67" spans="1:15" s="600" customFormat="1" ht="18" customHeight="1">
      <c r="A67" s="35">
        <v>59</v>
      </c>
      <c r="B67" s="591"/>
      <c r="C67" s="604"/>
      <c r="D67" s="605"/>
      <c r="E67" s="260" t="s">
        <v>938</v>
      </c>
      <c r="F67" s="1057">
        <v>1800</v>
      </c>
      <c r="G67" s="1057"/>
      <c r="H67" s="1057"/>
      <c r="I67" s="1057"/>
      <c r="J67" s="1057"/>
      <c r="K67" s="1057"/>
      <c r="L67" s="1057">
        <v>43374</v>
      </c>
      <c r="M67" s="1057">
        <v>258303</v>
      </c>
      <c r="N67" s="1594">
        <v>193967</v>
      </c>
      <c r="O67" s="243">
        <f>SUM(F67:M67)</f>
        <v>303477</v>
      </c>
    </row>
    <row r="68" spans="1:15" s="600" customFormat="1" ht="18" customHeight="1">
      <c r="A68" s="35">
        <v>60</v>
      </c>
      <c r="B68" s="591"/>
      <c r="C68" s="592"/>
      <c r="D68" s="1485"/>
      <c r="E68" s="1151" t="s">
        <v>942</v>
      </c>
      <c r="F68" s="613"/>
      <c r="G68" s="613"/>
      <c r="H68" s="613"/>
      <c r="I68" s="613"/>
      <c r="J68" s="613"/>
      <c r="K68" s="613"/>
      <c r="L68" s="613"/>
      <c r="M68" s="230">
        <v>18120</v>
      </c>
      <c r="N68" s="230">
        <v>18120</v>
      </c>
      <c r="O68" s="876">
        <f>SUM(F68:M68)</f>
        <v>18120</v>
      </c>
    </row>
    <row r="69" spans="1:15" s="600" customFormat="1" ht="18" customHeight="1">
      <c r="A69" s="35">
        <v>61</v>
      </c>
      <c r="B69" s="591"/>
      <c r="C69" s="604"/>
      <c r="D69" s="1573"/>
      <c r="E69" s="1684" t="s">
        <v>1091</v>
      </c>
      <c r="F69" s="1057">
        <f aca="true" t="shared" si="6" ref="F69:N69">SUM(F67:F68)</f>
        <v>1800</v>
      </c>
      <c r="G69" s="1057">
        <f t="shared" si="6"/>
        <v>0</v>
      </c>
      <c r="H69" s="1057">
        <f t="shared" si="6"/>
        <v>0</v>
      </c>
      <c r="I69" s="1057">
        <f t="shared" si="6"/>
        <v>0</v>
      </c>
      <c r="J69" s="1057">
        <f t="shared" si="6"/>
        <v>0</v>
      </c>
      <c r="K69" s="1057">
        <f t="shared" si="6"/>
        <v>0</v>
      </c>
      <c r="L69" s="1057">
        <f t="shared" si="6"/>
        <v>43374</v>
      </c>
      <c r="M69" s="1057">
        <f t="shared" si="6"/>
        <v>276423</v>
      </c>
      <c r="N69" s="1057">
        <f t="shared" si="6"/>
        <v>212087</v>
      </c>
      <c r="O69" s="243">
        <f>SUM(F69:M69)</f>
        <v>321597</v>
      </c>
    </row>
    <row r="70" spans="1:15" s="600" customFormat="1" ht="18" customHeight="1">
      <c r="A70" s="35">
        <v>62</v>
      </c>
      <c r="B70" s="591"/>
      <c r="C70" s="224">
        <v>1</v>
      </c>
      <c r="D70" s="1990" t="s">
        <v>854</v>
      </c>
      <c r="E70" s="1991"/>
      <c r="F70" s="1685"/>
      <c r="G70" s="1685"/>
      <c r="H70" s="1055"/>
      <c r="I70" s="1055"/>
      <c r="J70" s="1055"/>
      <c r="K70" s="1055"/>
      <c r="L70" s="1055"/>
      <c r="M70" s="1055"/>
      <c r="N70" s="1055"/>
      <c r="O70" s="251"/>
    </row>
    <row r="71" spans="1:15" s="600" customFormat="1" ht="18" customHeight="1">
      <c r="A71" s="35">
        <v>63</v>
      </c>
      <c r="B71" s="591"/>
      <c r="C71" s="224"/>
      <c r="D71" s="1990"/>
      <c r="E71" s="260" t="s">
        <v>938</v>
      </c>
      <c r="F71" s="1685"/>
      <c r="G71" s="280">
        <v>14329</v>
      </c>
      <c r="H71" s="1055"/>
      <c r="I71" s="1055"/>
      <c r="J71" s="1055">
        <v>671</v>
      </c>
      <c r="K71" s="1055"/>
      <c r="L71" s="1055"/>
      <c r="M71" s="1055"/>
      <c r="N71" s="1055"/>
      <c r="O71" s="243">
        <f>SUM(F71:M71)</f>
        <v>15000</v>
      </c>
    </row>
    <row r="72" spans="1:15" s="600" customFormat="1" ht="18" customHeight="1">
      <c r="A72" s="35">
        <v>64</v>
      </c>
      <c r="B72" s="591"/>
      <c r="C72" s="592"/>
      <c r="D72" s="592"/>
      <c r="E72" s="1151" t="s">
        <v>725</v>
      </c>
      <c r="F72" s="1055"/>
      <c r="G72" s="230"/>
      <c r="H72" s="1055"/>
      <c r="I72" s="1055"/>
      <c r="J72" s="230"/>
      <c r="K72" s="1055"/>
      <c r="L72" s="1055"/>
      <c r="M72" s="1055"/>
      <c r="N72" s="1055"/>
      <c r="O72" s="876">
        <f>SUM(F72:M72)</f>
        <v>0</v>
      </c>
    </row>
    <row r="73" spans="1:15" s="600" customFormat="1" ht="18" customHeight="1" thickBot="1">
      <c r="A73" s="35">
        <v>65</v>
      </c>
      <c r="B73" s="591"/>
      <c r="C73" s="1135"/>
      <c r="D73" s="609"/>
      <c r="E73" s="1684" t="s">
        <v>1091</v>
      </c>
      <c r="F73" s="1161"/>
      <c r="G73" s="1161">
        <f>SUM(G71:G72)</f>
        <v>14329</v>
      </c>
      <c r="H73" s="1161"/>
      <c r="I73" s="1161"/>
      <c r="J73" s="1161">
        <f>SUM(J71:J72)</f>
        <v>671</v>
      </c>
      <c r="K73" s="1161"/>
      <c r="L73" s="1161"/>
      <c r="M73" s="1161"/>
      <c r="N73" s="1161"/>
      <c r="O73" s="243">
        <f>SUM(F73:M73)</f>
        <v>15000</v>
      </c>
    </row>
    <row r="74" spans="1:15" s="30" customFormat="1" ht="22.5" customHeight="1" thickTop="1">
      <c r="A74" s="35">
        <v>66</v>
      </c>
      <c r="B74" s="225"/>
      <c r="C74" s="2065" t="s">
        <v>425</v>
      </c>
      <c r="D74" s="2066"/>
      <c r="E74" s="2067"/>
      <c r="F74" s="589"/>
      <c r="G74" s="589"/>
      <c r="H74" s="589"/>
      <c r="I74" s="589"/>
      <c r="J74" s="589"/>
      <c r="K74" s="589"/>
      <c r="L74" s="589"/>
      <c r="M74" s="589"/>
      <c r="N74" s="589"/>
      <c r="O74" s="590"/>
    </row>
    <row r="75" spans="1:15" s="600" customFormat="1" ht="18" customHeight="1">
      <c r="A75" s="35">
        <v>67</v>
      </c>
      <c r="B75" s="591"/>
      <c r="C75" s="604"/>
      <c r="D75" s="605"/>
      <c r="E75" s="628" t="s">
        <v>283</v>
      </c>
      <c r="F75" s="619">
        <f aca="true" t="shared" si="7" ref="F75:N75">SUM(F51,F60,F66)</f>
        <v>36892</v>
      </c>
      <c r="G75" s="619">
        <f t="shared" si="7"/>
        <v>1502</v>
      </c>
      <c r="H75" s="619">
        <f t="shared" si="7"/>
        <v>0</v>
      </c>
      <c r="I75" s="619">
        <f t="shared" si="7"/>
        <v>0</v>
      </c>
      <c r="J75" s="619">
        <f t="shared" si="7"/>
        <v>0</v>
      </c>
      <c r="K75" s="619">
        <f t="shared" si="7"/>
        <v>0</v>
      </c>
      <c r="L75" s="619">
        <f t="shared" si="7"/>
        <v>93277</v>
      </c>
      <c r="M75" s="619">
        <f t="shared" si="7"/>
        <v>1326183</v>
      </c>
      <c r="N75" s="620">
        <f t="shared" si="7"/>
        <v>957140</v>
      </c>
      <c r="O75" s="612">
        <f>SUM(F75:M75)</f>
        <v>1457854</v>
      </c>
    </row>
    <row r="76" spans="1:15" s="600" customFormat="1" ht="18" customHeight="1">
      <c r="A76" s="35">
        <v>68</v>
      </c>
      <c r="B76" s="1139"/>
      <c r="C76" s="604"/>
      <c r="D76" s="605"/>
      <c r="E76" s="260" t="s">
        <v>938</v>
      </c>
      <c r="F76" s="1057">
        <f aca="true" t="shared" si="8" ref="F76:N76">SUM(F52,F61,F67,F71)</f>
        <v>36892</v>
      </c>
      <c r="G76" s="1057">
        <f t="shared" si="8"/>
        <v>17682</v>
      </c>
      <c r="H76" s="1057">
        <f t="shared" si="8"/>
        <v>0</v>
      </c>
      <c r="I76" s="1057">
        <f t="shared" si="8"/>
        <v>0</v>
      </c>
      <c r="J76" s="1057">
        <f t="shared" si="8"/>
        <v>671</v>
      </c>
      <c r="K76" s="1057">
        <f t="shared" si="8"/>
        <v>0</v>
      </c>
      <c r="L76" s="1057">
        <f t="shared" si="8"/>
        <v>133118</v>
      </c>
      <c r="M76" s="1057">
        <f t="shared" si="8"/>
        <v>1382640</v>
      </c>
      <c r="N76" s="1057">
        <f t="shared" si="8"/>
        <v>1009709</v>
      </c>
      <c r="O76" s="231">
        <f>SUM(F76:M76)</f>
        <v>1571003</v>
      </c>
    </row>
    <row r="77" spans="1:15" s="600" customFormat="1" ht="18" customHeight="1">
      <c r="A77" s="35">
        <v>69</v>
      </c>
      <c r="B77" s="1139"/>
      <c r="C77" s="592"/>
      <c r="D77" s="1485"/>
      <c r="E77" s="1151" t="s">
        <v>674</v>
      </c>
      <c r="F77" s="230">
        <f aca="true" t="shared" si="9" ref="F77:N77">SUM(F53:F57,F62:F63,F68:F68)+F72</f>
        <v>0</v>
      </c>
      <c r="G77" s="230">
        <f t="shared" si="9"/>
        <v>1332</v>
      </c>
      <c r="H77" s="230">
        <f t="shared" si="9"/>
        <v>0</v>
      </c>
      <c r="I77" s="230">
        <f t="shared" si="9"/>
        <v>0</v>
      </c>
      <c r="J77" s="230">
        <f t="shared" si="9"/>
        <v>0</v>
      </c>
      <c r="K77" s="230">
        <f t="shared" si="9"/>
        <v>0</v>
      </c>
      <c r="L77" s="230">
        <f t="shared" si="9"/>
        <v>0</v>
      </c>
      <c r="M77" s="230">
        <f t="shared" si="9"/>
        <v>41828</v>
      </c>
      <c r="N77" s="230">
        <f t="shared" si="9"/>
        <v>-12117</v>
      </c>
      <c r="O77" s="1156">
        <f>SUM(F77:M77)</f>
        <v>43160</v>
      </c>
    </row>
    <row r="78" spans="1:15" s="600" customFormat="1" ht="18" customHeight="1" thickBot="1">
      <c r="A78" s="35">
        <v>70</v>
      </c>
      <c r="B78" s="1139"/>
      <c r="C78" s="1140"/>
      <c r="D78" s="1141"/>
      <c r="E78" s="1157" t="s">
        <v>1091</v>
      </c>
      <c r="F78" s="1158">
        <f>SUM(F76:F77)</f>
        <v>36892</v>
      </c>
      <c r="G78" s="1158">
        <f aca="true" t="shared" si="10" ref="G78:N78">SUM(G76:G77)</f>
        <v>19014</v>
      </c>
      <c r="H78" s="1158">
        <f t="shared" si="10"/>
        <v>0</v>
      </c>
      <c r="I78" s="1158">
        <f t="shared" si="10"/>
        <v>0</v>
      </c>
      <c r="J78" s="1158">
        <f t="shared" si="10"/>
        <v>671</v>
      </c>
      <c r="K78" s="1158">
        <f t="shared" si="10"/>
        <v>0</v>
      </c>
      <c r="L78" s="1158">
        <f t="shared" si="10"/>
        <v>133118</v>
      </c>
      <c r="M78" s="1158">
        <f t="shared" si="10"/>
        <v>1424468</v>
      </c>
      <c r="N78" s="1158">
        <f t="shared" si="10"/>
        <v>997592</v>
      </c>
      <c r="O78" s="1152">
        <f>SUM(F78:M78)</f>
        <v>1614163</v>
      </c>
    </row>
    <row r="79" spans="1:16" s="23" customFormat="1" ht="22.5" customHeight="1" thickTop="1">
      <c r="A79" s="35">
        <v>71</v>
      </c>
      <c r="B79" s="237">
        <v>10</v>
      </c>
      <c r="C79" s="238"/>
      <c r="D79" s="2063" t="s">
        <v>378</v>
      </c>
      <c r="E79" s="2064"/>
      <c r="F79" s="249"/>
      <c r="G79" s="249"/>
      <c r="H79" s="249"/>
      <c r="I79" s="249"/>
      <c r="J79" s="249"/>
      <c r="K79" s="249"/>
      <c r="L79" s="249"/>
      <c r="M79" s="249"/>
      <c r="N79" s="250"/>
      <c r="O79" s="251"/>
      <c r="P79" s="22"/>
    </row>
    <row r="80" spans="1:15" s="598" customFormat="1" ht="18" customHeight="1">
      <c r="A80" s="35">
        <v>72</v>
      </c>
      <c r="B80" s="591"/>
      <c r="C80" s="592"/>
      <c r="D80" s="593"/>
      <c r="E80" s="636" t="s">
        <v>283</v>
      </c>
      <c r="F80" s="613">
        <v>35916</v>
      </c>
      <c r="G80" s="613"/>
      <c r="H80" s="613"/>
      <c r="I80" s="613"/>
      <c r="J80" s="613"/>
      <c r="K80" s="613"/>
      <c r="L80" s="613">
        <v>8683</v>
      </c>
      <c r="M80" s="613">
        <v>195101</v>
      </c>
      <c r="N80" s="614">
        <v>4716</v>
      </c>
      <c r="O80" s="610">
        <f>SUM(F80:M80)</f>
        <v>239700</v>
      </c>
    </row>
    <row r="81" spans="1:15" s="598" customFormat="1" ht="18" customHeight="1">
      <c r="A81" s="35">
        <v>73</v>
      </c>
      <c r="B81" s="591"/>
      <c r="C81" s="592"/>
      <c r="D81" s="593"/>
      <c r="E81" s="260" t="s">
        <v>938</v>
      </c>
      <c r="F81" s="1055">
        <v>35916</v>
      </c>
      <c r="G81" s="1055">
        <v>3000</v>
      </c>
      <c r="H81" s="1055"/>
      <c r="I81" s="1055"/>
      <c r="J81" s="1055"/>
      <c r="K81" s="1055"/>
      <c r="L81" s="1055">
        <v>48913</v>
      </c>
      <c r="M81" s="1055">
        <v>197601</v>
      </c>
      <c r="N81" s="1593">
        <v>4716</v>
      </c>
      <c r="O81" s="243">
        <f>SUM(F81:M81)</f>
        <v>285430</v>
      </c>
    </row>
    <row r="82" spans="1:15" s="598" customFormat="1" ht="18" customHeight="1">
      <c r="A82" s="35">
        <v>74</v>
      </c>
      <c r="B82" s="591"/>
      <c r="C82" s="592"/>
      <c r="D82" s="593"/>
      <c r="E82" s="1151" t="s">
        <v>993</v>
      </c>
      <c r="F82" s="613"/>
      <c r="G82" s="230"/>
      <c r="H82" s="613"/>
      <c r="I82" s="613"/>
      <c r="J82" s="613"/>
      <c r="K82" s="613"/>
      <c r="L82" s="230"/>
      <c r="M82" s="613"/>
      <c r="N82" s="230">
        <f>13678+25000</f>
        <v>38678</v>
      </c>
      <c r="O82" s="876">
        <f>SUM(F82:M82)</f>
        <v>0</v>
      </c>
    </row>
    <row r="83" spans="1:15" s="598" customFormat="1" ht="18" customHeight="1">
      <c r="A83" s="35">
        <v>75</v>
      </c>
      <c r="B83" s="591"/>
      <c r="C83" s="592"/>
      <c r="D83" s="593"/>
      <c r="E83" s="1151" t="s">
        <v>953</v>
      </c>
      <c r="F83" s="613"/>
      <c r="G83" s="230"/>
      <c r="H83" s="230">
        <v>18565</v>
      </c>
      <c r="I83" s="230"/>
      <c r="J83" s="230"/>
      <c r="K83" s="230">
        <v>1637</v>
      </c>
      <c r="L83" s="1436"/>
      <c r="M83" s="230"/>
      <c r="N83" s="614"/>
      <c r="O83" s="876">
        <f>SUM(F83:M83)</f>
        <v>20202</v>
      </c>
    </row>
    <row r="84" spans="1:15" s="598" customFormat="1" ht="18" customHeight="1">
      <c r="A84" s="35">
        <v>76</v>
      </c>
      <c r="B84" s="591"/>
      <c r="C84" s="592"/>
      <c r="D84" s="593"/>
      <c r="E84" s="1151" t="s">
        <v>1004</v>
      </c>
      <c r="F84" s="613"/>
      <c r="G84" s="230"/>
      <c r="H84" s="230"/>
      <c r="I84" s="230"/>
      <c r="J84" s="230"/>
      <c r="K84" s="230"/>
      <c r="L84" s="1436"/>
      <c r="M84" s="230">
        <v>51</v>
      </c>
      <c r="N84" s="614"/>
      <c r="O84" s="876">
        <f>SUM(F84:M84)</f>
        <v>51</v>
      </c>
    </row>
    <row r="85" spans="1:15" s="598" customFormat="1" ht="18" customHeight="1">
      <c r="A85" s="35">
        <v>77</v>
      </c>
      <c r="B85" s="591"/>
      <c r="C85" s="592"/>
      <c r="D85" s="593"/>
      <c r="E85" s="260" t="s">
        <v>1091</v>
      </c>
      <c r="F85" s="1055">
        <f>SUM(F81:F84)</f>
        <v>35916</v>
      </c>
      <c r="G85" s="1055">
        <f>SUM(G81:G84)</f>
        <v>3000</v>
      </c>
      <c r="H85" s="1055">
        <f>SUM(H81:H84)</f>
        <v>18565</v>
      </c>
      <c r="I85" s="1055"/>
      <c r="J85" s="1055"/>
      <c r="K85" s="1055">
        <f>SUM(K81:K84)</f>
        <v>1637</v>
      </c>
      <c r="L85" s="1055">
        <f>SUM(L81:L84)</f>
        <v>48913</v>
      </c>
      <c r="M85" s="1055">
        <f>SUM(M81:M84)</f>
        <v>197652</v>
      </c>
      <c r="N85" s="1055">
        <f>SUM(N81:N84)</f>
        <v>43394</v>
      </c>
      <c r="O85" s="243">
        <f>SUM(F85:M85)</f>
        <v>305683</v>
      </c>
    </row>
    <row r="86" spans="1:16" s="31" customFormat="1" ht="31.5" customHeight="1">
      <c r="A86" s="35">
        <v>78</v>
      </c>
      <c r="B86" s="223"/>
      <c r="C86" s="224">
        <v>1</v>
      </c>
      <c r="D86" s="2070" t="s">
        <v>419</v>
      </c>
      <c r="E86" s="2071"/>
      <c r="F86" s="94"/>
      <c r="G86" s="94"/>
      <c r="H86" s="94"/>
      <c r="I86" s="94"/>
      <c r="J86" s="94"/>
      <c r="K86" s="94"/>
      <c r="L86" s="94"/>
      <c r="M86" s="94"/>
      <c r="N86" s="116"/>
      <c r="O86" s="243"/>
      <c r="P86" s="22"/>
    </row>
    <row r="87" spans="1:15" s="598" customFormat="1" ht="18" customHeight="1">
      <c r="A87" s="35">
        <v>79</v>
      </c>
      <c r="B87" s="603"/>
      <c r="C87" s="604"/>
      <c r="D87" s="605"/>
      <c r="E87" s="629" t="s">
        <v>283</v>
      </c>
      <c r="F87" s="606"/>
      <c r="G87" s="606">
        <v>51720</v>
      </c>
      <c r="H87" s="606"/>
      <c r="I87" s="606"/>
      <c r="J87" s="606">
        <v>4050</v>
      </c>
      <c r="K87" s="606"/>
      <c r="L87" s="606">
        <v>19870</v>
      </c>
      <c r="M87" s="606"/>
      <c r="N87" s="607"/>
      <c r="O87" s="608">
        <f>SUM(F87:M87)</f>
        <v>75640</v>
      </c>
    </row>
    <row r="88" spans="1:15" s="598" customFormat="1" ht="18" customHeight="1">
      <c r="A88" s="35">
        <v>80</v>
      </c>
      <c r="B88" s="603"/>
      <c r="C88" s="604"/>
      <c r="D88" s="605"/>
      <c r="E88" s="260" t="s">
        <v>938</v>
      </c>
      <c r="F88" s="606"/>
      <c r="G88" s="1162">
        <v>51720</v>
      </c>
      <c r="H88" s="1162"/>
      <c r="I88" s="1162"/>
      <c r="J88" s="1162">
        <v>4050</v>
      </c>
      <c r="K88" s="1162"/>
      <c r="L88" s="1162">
        <v>19870</v>
      </c>
      <c r="M88" s="606"/>
      <c r="N88" s="607"/>
      <c r="O88" s="243">
        <f>SUM(F88:M88)</f>
        <v>75640</v>
      </c>
    </row>
    <row r="89" spans="1:15" s="598" customFormat="1" ht="18" customHeight="1">
      <c r="A89" s="35">
        <v>81</v>
      </c>
      <c r="B89" s="603"/>
      <c r="C89" s="604"/>
      <c r="D89" s="605"/>
      <c r="E89" s="1151" t="s">
        <v>674</v>
      </c>
      <c r="F89" s="606"/>
      <c r="G89" s="606"/>
      <c r="H89" s="606"/>
      <c r="I89" s="606"/>
      <c r="J89" s="606"/>
      <c r="K89" s="606"/>
      <c r="L89" s="606"/>
      <c r="M89" s="606"/>
      <c r="N89" s="607"/>
      <c r="O89" s="876">
        <f>SUM(F89:M89)</f>
        <v>0</v>
      </c>
    </row>
    <row r="90" spans="1:15" s="598" customFormat="1" ht="18" customHeight="1">
      <c r="A90" s="35">
        <v>82</v>
      </c>
      <c r="B90" s="603"/>
      <c r="C90" s="604"/>
      <c r="D90" s="605"/>
      <c r="E90" s="260" t="s">
        <v>1091</v>
      </c>
      <c r="F90" s="1162"/>
      <c r="G90" s="1162">
        <f>SUM(G88:G89)</f>
        <v>51720</v>
      </c>
      <c r="H90" s="1162"/>
      <c r="I90" s="1162"/>
      <c r="J90" s="1162">
        <f>SUM(J88:J89)</f>
        <v>4050</v>
      </c>
      <c r="K90" s="1162"/>
      <c r="L90" s="1162">
        <f>SUM(L88:L89)</f>
        <v>19870</v>
      </c>
      <c r="M90" s="1162"/>
      <c r="N90" s="1162"/>
      <c r="O90" s="243">
        <f>SUM(F90:M90)</f>
        <v>75640</v>
      </c>
    </row>
    <row r="91" spans="1:15" s="598" customFormat="1" ht="35.25" customHeight="1">
      <c r="A91" s="35">
        <v>83</v>
      </c>
      <c r="B91" s="603"/>
      <c r="C91" s="1705">
        <v>2</v>
      </c>
      <c r="D91" s="2068" t="s">
        <v>877</v>
      </c>
      <c r="E91" s="2071"/>
      <c r="F91" s="1162"/>
      <c r="G91" s="1162"/>
      <c r="H91" s="1162"/>
      <c r="I91" s="1162"/>
      <c r="J91" s="1162"/>
      <c r="K91" s="1162"/>
      <c r="L91" s="1162"/>
      <c r="M91" s="1162"/>
      <c r="N91" s="1162"/>
      <c r="O91" s="243"/>
    </row>
    <row r="92" spans="1:15" s="598" customFormat="1" ht="19.5" customHeight="1">
      <c r="A92" s="35">
        <v>84</v>
      </c>
      <c r="B92" s="603"/>
      <c r="C92" s="1705"/>
      <c r="D92" s="1834"/>
      <c r="E92" s="260" t="s">
        <v>938</v>
      </c>
      <c r="F92" s="1162"/>
      <c r="G92" s="1162">
        <v>19432</v>
      </c>
      <c r="H92" s="1162"/>
      <c r="I92" s="1162"/>
      <c r="J92" s="1162">
        <v>568</v>
      </c>
      <c r="K92" s="1162"/>
      <c r="L92" s="1162"/>
      <c r="M92" s="1162"/>
      <c r="N92" s="1162"/>
      <c r="O92" s="243">
        <f>SUM(F92:M92)</f>
        <v>20000</v>
      </c>
    </row>
    <row r="93" spans="1:15" s="598" customFormat="1" ht="18" customHeight="1">
      <c r="A93" s="35">
        <v>85</v>
      </c>
      <c r="B93" s="603"/>
      <c r="C93" s="604"/>
      <c r="D93" s="605"/>
      <c r="E93" s="1151" t="s">
        <v>725</v>
      </c>
      <c r="F93" s="1162"/>
      <c r="G93" s="1704"/>
      <c r="H93" s="1704"/>
      <c r="I93" s="1704"/>
      <c r="J93" s="1704"/>
      <c r="K93" s="1162"/>
      <c r="L93" s="1162"/>
      <c r="M93" s="1162"/>
      <c r="N93" s="1162"/>
      <c r="O93" s="876">
        <f>SUM(F93:M93)</f>
        <v>0</v>
      </c>
    </row>
    <row r="94" spans="1:15" s="598" customFormat="1" ht="18" customHeight="1">
      <c r="A94" s="35">
        <v>86</v>
      </c>
      <c r="B94" s="603"/>
      <c r="C94" s="604"/>
      <c r="D94" s="605"/>
      <c r="E94" s="260" t="s">
        <v>1091</v>
      </c>
      <c r="F94" s="1162"/>
      <c r="G94" s="1162">
        <f>SUM(G92:G93)</f>
        <v>19432</v>
      </c>
      <c r="H94" s="1162"/>
      <c r="I94" s="1162"/>
      <c r="J94" s="1162">
        <f>SUM(J92:J93)</f>
        <v>568</v>
      </c>
      <c r="K94" s="1162"/>
      <c r="L94" s="1162"/>
      <c r="M94" s="1162"/>
      <c r="N94" s="1162"/>
      <c r="O94" s="243">
        <f>SUM(F94:M94)</f>
        <v>20000</v>
      </c>
    </row>
    <row r="95" spans="1:16" s="31" customFormat="1" ht="22.5" customHeight="1">
      <c r="A95" s="35">
        <v>87</v>
      </c>
      <c r="B95" s="223">
        <v>11</v>
      </c>
      <c r="C95" s="224"/>
      <c r="D95" s="2059" t="s">
        <v>370</v>
      </c>
      <c r="E95" s="2060"/>
      <c r="F95" s="229"/>
      <c r="G95" s="229"/>
      <c r="H95" s="229"/>
      <c r="I95" s="229"/>
      <c r="J95" s="229"/>
      <c r="K95" s="229"/>
      <c r="L95" s="229"/>
      <c r="M95" s="229"/>
      <c r="N95" s="230"/>
      <c r="O95" s="231"/>
      <c r="P95" s="22"/>
    </row>
    <row r="96" spans="1:15" s="598" customFormat="1" ht="18" customHeight="1">
      <c r="A96" s="35">
        <v>88</v>
      </c>
      <c r="B96" s="591"/>
      <c r="C96" s="592"/>
      <c r="D96" s="593"/>
      <c r="E96" s="636" t="s">
        <v>283</v>
      </c>
      <c r="F96" s="613">
        <v>11431</v>
      </c>
      <c r="G96" s="613">
        <v>2650</v>
      </c>
      <c r="H96" s="613"/>
      <c r="I96" s="613"/>
      <c r="J96" s="613"/>
      <c r="K96" s="613"/>
      <c r="L96" s="613">
        <v>11421</v>
      </c>
      <c r="M96" s="613">
        <v>131413</v>
      </c>
      <c r="N96" s="614">
        <v>4037</v>
      </c>
      <c r="O96" s="610">
        <f>SUM(F96:M96)</f>
        <v>156915</v>
      </c>
    </row>
    <row r="97" spans="1:15" s="598" customFormat="1" ht="18" customHeight="1">
      <c r="A97" s="35">
        <v>89</v>
      </c>
      <c r="B97" s="591"/>
      <c r="C97" s="592"/>
      <c r="D97" s="593"/>
      <c r="E97" s="260" t="s">
        <v>938</v>
      </c>
      <c r="F97" s="1055">
        <v>11431</v>
      </c>
      <c r="G97" s="1055">
        <v>3800</v>
      </c>
      <c r="H97" s="1055"/>
      <c r="I97" s="1055"/>
      <c r="J97" s="1055">
        <v>750</v>
      </c>
      <c r="K97" s="1055"/>
      <c r="L97" s="1055">
        <v>18030</v>
      </c>
      <c r="M97" s="1055">
        <v>137102</v>
      </c>
      <c r="N97" s="1593">
        <v>4037</v>
      </c>
      <c r="O97" s="243">
        <f aca="true" t="shared" si="11" ref="O97:O102">SUM(F97:M97)</f>
        <v>171113</v>
      </c>
    </row>
    <row r="98" spans="1:15" s="598" customFormat="1" ht="18" customHeight="1">
      <c r="A98" s="35">
        <v>90</v>
      </c>
      <c r="B98" s="591"/>
      <c r="C98" s="592"/>
      <c r="D98" s="593"/>
      <c r="E98" s="1151" t="s">
        <v>993</v>
      </c>
      <c r="F98" s="613"/>
      <c r="G98" s="613"/>
      <c r="H98" s="613"/>
      <c r="I98" s="613"/>
      <c r="J98" s="613"/>
      <c r="K98" s="613"/>
      <c r="L98" s="230"/>
      <c r="M98" s="230"/>
      <c r="N98" s="230">
        <f>12182+20000</f>
        <v>32182</v>
      </c>
      <c r="O98" s="876">
        <f t="shared" si="11"/>
        <v>0</v>
      </c>
    </row>
    <row r="99" spans="1:15" s="598" customFormat="1" ht="18" customHeight="1">
      <c r="A99" s="35">
        <v>91</v>
      </c>
      <c r="B99" s="591"/>
      <c r="C99" s="592"/>
      <c r="D99" s="593"/>
      <c r="E99" s="1151" t="s">
        <v>962</v>
      </c>
      <c r="F99" s="613"/>
      <c r="G99" s="230">
        <v>744</v>
      </c>
      <c r="H99" s="613"/>
      <c r="I99" s="613"/>
      <c r="J99" s="230"/>
      <c r="K99" s="613"/>
      <c r="L99" s="613"/>
      <c r="M99" s="230"/>
      <c r="N99" s="614"/>
      <c r="O99" s="876">
        <f t="shared" si="11"/>
        <v>744</v>
      </c>
    </row>
    <row r="100" spans="1:15" s="598" customFormat="1" ht="18" customHeight="1">
      <c r="A100" s="35">
        <v>92</v>
      </c>
      <c r="B100" s="591"/>
      <c r="C100" s="592"/>
      <c r="D100" s="593"/>
      <c r="E100" s="1151" t="s">
        <v>953</v>
      </c>
      <c r="F100" s="613"/>
      <c r="G100" s="230"/>
      <c r="H100" s="116">
        <v>6449</v>
      </c>
      <c r="I100" s="613"/>
      <c r="J100" s="230"/>
      <c r="K100" s="116">
        <v>1850</v>
      </c>
      <c r="L100" s="613"/>
      <c r="M100" s="230"/>
      <c r="N100" s="614"/>
      <c r="O100" s="876">
        <f t="shared" si="11"/>
        <v>8299</v>
      </c>
    </row>
    <row r="101" spans="1:15" s="598" customFormat="1" ht="18" customHeight="1">
      <c r="A101" s="35">
        <v>93</v>
      </c>
      <c r="B101" s="591"/>
      <c r="C101" s="592"/>
      <c r="D101" s="593"/>
      <c r="E101" s="1151" t="s">
        <v>965</v>
      </c>
      <c r="F101" s="613"/>
      <c r="G101" s="230"/>
      <c r="H101" s="613"/>
      <c r="I101" s="613"/>
      <c r="J101" s="230"/>
      <c r="K101" s="613"/>
      <c r="L101" s="613"/>
      <c r="M101" s="230">
        <v>187</v>
      </c>
      <c r="N101" s="614"/>
      <c r="O101" s="876">
        <f t="shared" si="11"/>
        <v>187</v>
      </c>
    </row>
    <row r="102" spans="1:15" s="598" customFormat="1" ht="18" customHeight="1">
      <c r="A102" s="35">
        <v>94</v>
      </c>
      <c r="B102" s="591"/>
      <c r="C102" s="592"/>
      <c r="D102" s="593"/>
      <c r="E102" s="1151" t="s">
        <v>966</v>
      </c>
      <c r="F102" s="613"/>
      <c r="G102" s="230"/>
      <c r="H102" s="613"/>
      <c r="I102" s="613"/>
      <c r="J102" s="230"/>
      <c r="K102" s="613"/>
      <c r="L102" s="613"/>
      <c r="M102" s="230">
        <v>-88</v>
      </c>
      <c r="N102" s="614"/>
      <c r="O102" s="876">
        <f t="shared" si="11"/>
        <v>-88</v>
      </c>
    </row>
    <row r="103" spans="1:15" s="598" customFormat="1" ht="18" customHeight="1">
      <c r="A103" s="35">
        <v>95</v>
      </c>
      <c r="B103" s="591"/>
      <c r="C103" s="592"/>
      <c r="D103" s="593"/>
      <c r="E103" s="260" t="s">
        <v>1091</v>
      </c>
      <c r="F103" s="1055">
        <f>SUM(F97:F102)</f>
        <v>11431</v>
      </c>
      <c r="G103" s="1055">
        <f aca="true" t="shared" si="12" ref="G103:N103">SUM(G97:G102)</f>
        <v>4544</v>
      </c>
      <c r="H103" s="1055">
        <f t="shared" si="12"/>
        <v>6449</v>
      </c>
      <c r="I103" s="1055"/>
      <c r="J103" s="1055">
        <f t="shared" si="12"/>
        <v>750</v>
      </c>
      <c r="K103" s="1055">
        <f t="shared" si="12"/>
        <v>1850</v>
      </c>
      <c r="L103" s="1055">
        <f t="shared" si="12"/>
        <v>18030</v>
      </c>
      <c r="M103" s="1055">
        <f>SUM(M97:M102)</f>
        <v>137201</v>
      </c>
      <c r="N103" s="1055">
        <f t="shared" si="12"/>
        <v>36219</v>
      </c>
      <c r="O103" s="243">
        <f>SUM(F103:M103)</f>
        <v>180255</v>
      </c>
    </row>
    <row r="104" spans="1:16" s="31" customFormat="1" ht="18" customHeight="1">
      <c r="A104" s="35">
        <v>96</v>
      </c>
      <c r="B104" s="223"/>
      <c r="C104" s="224">
        <v>1</v>
      </c>
      <c r="D104" s="2059" t="s">
        <v>539</v>
      </c>
      <c r="E104" s="2060"/>
      <c r="F104" s="94"/>
      <c r="G104" s="94"/>
      <c r="H104" s="94"/>
      <c r="I104" s="94"/>
      <c r="J104" s="94"/>
      <c r="K104" s="94"/>
      <c r="L104" s="94"/>
      <c r="M104" s="94"/>
      <c r="N104" s="116"/>
      <c r="O104" s="243"/>
      <c r="P104" s="22"/>
    </row>
    <row r="105" spans="1:15" s="598" customFormat="1" ht="18" customHeight="1">
      <c r="A105" s="35">
        <v>97</v>
      </c>
      <c r="B105" s="603"/>
      <c r="C105" s="604"/>
      <c r="D105" s="605"/>
      <c r="E105" s="629" t="s">
        <v>283</v>
      </c>
      <c r="F105" s="606"/>
      <c r="G105" s="606"/>
      <c r="H105" s="606">
        <v>470</v>
      </c>
      <c r="I105" s="606"/>
      <c r="J105" s="606"/>
      <c r="K105" s="606"/>
      <c r="L105" s="606">
        <v>1879</v>
      </c>
      <c r="M105" s="606"/>
      <c r="N105" s="607"/>
      <c r="O105" s="608">
        <f>SUM(F105:M105)</f>
        <v>2349</v>
      </c>
    </row>
    <row r="106" spans="1:15" s="598" customFormat="1" ht="18" customHeight="1">
      <c r="A106" s="35">
        <v>98</v>
      </c>
      <c r="B106" s="603"/>
      <c r="C106" s="604"/>
      <c r="D106" s="605"/>
      <c r="E106" s="260" t="s">
        <v>938</v>
      </c>
      <c r="F106" s="606"/>
      <c r="G106" s="606"/>
      <c r="H106" s="1162">
        <v>470</v>
      </c>
      <c r="I106" s="1162"/>
      <c r="J106" s="1162"/>
      <c r="K106" s="1162"/>
      <c r="L106" s="1162">
        <v>1879</v>
      </c>
      <c r="M106" s="606"/>
      <c r="N106" s="607"/>
      <c r="O106" s="243">
        <f>SUM(F106:M106)</f>
        <v>2349</v>
      </c>
    </row>
    <row r="107" spans="1:15" s="598" customFormat="1" ht="18" customHeight="1">
      <c r="A107" s="35">
        <v>99</v>
      </c>
      <c r="B107" s="603"/>
      <c r="C107" s="604"/>
      <c r="D107" s="605"/>
      <c r="E107" s="1151" t="s">
        <v>674</v>
      </c>
      <c r="F107" s="606"/>
      <c r="G107" s="606"/>
      <c r="H107" s="1162"/>
      <c r="I107" s="1162"/>
      <c r="J107" s="1162"/>
      <c r="K107" s="1162"/>
      <c r="L107" s="1162"/>
      <c r="M107" s="606"/>
      <c r="N107" s="607"/>
      <c r="O107" s="876">
        <f>SUM(F107:M107)</f>
        <v>0</v>
      </c>
    </row>
    <row r="108" spans="1:15" s="598" customFormat="1" ht="18" customHeight="1">
      <c r="A108" s="35">
        <v>100</v>
      </c>
      <c r="B108" s="603"/>
      <c r="C108" s="604"/>
      <c r="D108" s="605"/>
      <c r="E108" s="260" t="s">
        <v>1091</v>
      </c>
      <c r="F108" s="606"/>
      <c r="G108" s="606"/>
      <c r="H108" s="1162">
        <f>SUM(H106:H107)</f>
        <v>470</v>
      </c>
      <c r="I108" s="1162"/>
      <c r="J108" s="1162"/>
      <c r="K108" s="1162"/>
      <c r="L108" s="1162">
        <f>SUM(L106:L107)</f>
        <v>1879</v>
      </c>
      <c r="M108" s="606"/>
      <c r="N108" s="607"/>
      <c r="O108" s="243">
        <f>SUM(F108:M108)</f>
        <v>2349</v>
      </c>
    </row>
    <row r="109" spans="1:15" s="598" customFormat="1" ht="18" customHeight="1">
      <c r="A109" s="35">
        <v>101</v>
      </c>
      <c r="B109" s="603"/>
      <c r="C109" s="1705">
        <v>2</v>
      </c>
      <c r="D109" s="2059" t="s">
        <v>960</v>
      </c>
      <c r="E109" s="2060"/>
      <c r="F109" s="606"/>
      <c r="G109" s="606"/>
      <c r="H109" s="1162"/>
      <c r="I109" s="1162"/>
      <c r="J109" s="1162"/>
      <c r="K109" s="1162"/>
      <c r="L109" s="1162"/>
      <c r="M109" s="606"/>
      <c r="N109" s="607"/>
      <c r="O109" s="243"/>
    </row>
    <row r="110" spans="1:15" s="598" customFormat="1" ht="18" customHeight="1">
      <c r="A110" s="35">
        <v>102</v>
      </c>
      <c r="B110" s="603"/>
      <c r="C110" s="604"/>
      <c r="D110" s="605"/>
      <c r="E110" s="1151" t="s">
        <v>961</v>
      </c>
      <c r="F110" s="606"/>
      <c r="G110" s="1849">
        <v>12260</v>
      </c>
      <c r="H110" s="1162"/>
      <c r="I110" s="1162"/>
      <c r="J110" s="1849">
        <v>2740</v>
      </c>
      <c r="K110" s="1162"/>
      <c r="L110" s="1162"/>
      <c r="M110" s="606"/>
      <c r="N110" s="607"/>
      <c r="O110" s="876">
        <f>SUM(F110:M110)</f>
        <v>15000</v>
      </c>
    </row>
    <row r="111" spans="1:15" s="598" customFormat="1" ht="18" customHeight="1">
      <c r="A111" s="35">
        <v>103</v>
      </c>
      <c r="B111" s="603"/>
      <c r="C111" s="604"/>
      <c r="D111" s="605"/>
      <c r="E111" s="260" t="s">
        <v>1091</v>
      </c>
      <c r="F111" s="606"/>
      <c r="G111" s="1596">
        <f>SUM(G110)</f>
        <v>12260</v>
      </c>
      <c r="H111" s="1162"/>
      <c r="I111" s="1162"/>
      <c r="J111" s="1596">
        <f>SUM(J110)</f>
        <v>2740</v>
      </c>
      <c r="K111" s="1162"/>
      <c r="L111" s="1162"/>
      <c r="M111" s="606"/>
      <c r="N111" s="607"/>
      <c r="O111" s="243">
        <f>SUM(F111:M111)</f>
        <v>15000</v>
      </c>
    </row>
    <row r="112" spans="1:15" s="110" customFormat="1" ht="22.5" customHeight="1">
      <c r="A112" s="35">
        <v>104</v>
      </c>
      <c r="B112" s="223">
        <v>12</v>
      </c>
      <c r="C112" s="224"/>
      <c r="D112" s="2059" t="s">
        <v>24</v>
      </c>
      <c r="E112" s="2060"/>
      <c r="F112" s="232"/>
      <c r="G112" s="232"/>
      <c r="H112" s="232"/>
      <c r="I112" s="232"/>
      <c r="J112" s="232"/>
      <c r="K112" s="232"/>
      <c r="L112" s="232"/>
      <c r="M112" s="232"/>
      <c r="N112" s="233"/>
      <c r="O112" s="234"/>
    </row>
    <row r="113" spans="1:15" s="601" customFormat="1" ht="18" customHeight="1">
      <c r="A113" s="35">
        <v>105</v>
      </c>
      <c r="B113" s="591"/>
      <c r="C113" s="592"/>
      <c r="D113" s="593"/>
      <c r="E113" s="636" t="s">
        <v>283</v>
      </c>
      <c r="F113" s="613">
        <v>21200</v>
      </c>
      <c r="G113" s="613"/>
      <c r="H113" s="613"/>
      <c r="I113" s="613"/>
      <c r="J113" s="613"/>
      <c r="K113" s="613"/>
      <c r="L113" s="613">
        <v>2863</v>
      </c>
      <c r="M113" s="613">
        <v>434671</v>
      </c>
      <c r="N113" s="614">
        <v>299996</v>
      </c>
      <c r="O113" s="610">
        <f>SUM(F113:M113)</f>
        <v>458734</v>
      </c>
    </row>
    <row r="114" spans="1:15" s="601" customFormat="1" ht="18" customHeight="1">
      <c r="A114" s="35">
        <v>106</v>
      </c>
      <c r="B114" s="591"/>
      <c r="C114" s="592"/>
      <c r="D114" s="593"/>
      <c r="E114" s="260" t="s">
        <v>938</v>
      </c>
      <c r="F114" s="1055">
        <v>21200</v>
      </c>
      <c r="G114" s="1055"/>
      <c r="H114" s="1055"/>
      <c r="I114" s="1055"/>
      <c r="J114" s="1055"/>
      <c r="K114" s="1055"/>
      <c r="L114" s="1055">
        <v>10916</v>
      </c>
      <c r="M114" s="1055">
        <v>438135</v>
      </c>
      <c r="N114" s="1593">
        <v>302013</v>
      </c>
      <c r="O114" s="243">
        <f>SUM(F114:M114)</f>
        <v>470251</v>
      </c>
    </row>
    <row r="115" spans="1:15" s="601" customFormat="1" ht="18" customHeight="1">
      <c r="A115" s="35">
        <v>107</v>
      </c>
      <c r="B115" s="591"/>
      <c r="C115" s="592"/>
      <c r="D115" s="593"/>
      <c r="E115" s="1151" t="s">
        <v>993</v>
      </c>
      <c r="F115" s="613"/>
      <c r="G115" s="613"/>
      <c r="H115" s="613"/>
      <c r="I115" s="613"/>
      <c r="J115" s="613"/>
      <c r="K115" s="613"/>
      <c r="L115" s="230"/>
      <c r="M115" s="230"/>
      <c r="N115" s="230">
        <f>28327+10000</f>
        <v>38327</v>
      </c>
      <c r="O115" s="876">
        <f>SUM(F115:M115)</f>
        <v>0</v>
      </c>
    </row>
    <row r="116" spans="1:15" s="601" customFormat="1" ht="18" customHeight="1">
      <c r="A116" s="35">
        <v>108</v>
      </c>
      <c r="B116" s="591"/>
      <c r="C116" s="592"/>
      <c r="D116" s="593"/>
      <c r="E116" s="1151" t="s">
        <v>967</v>
      </c>
      <c r="F116" s="230">
        <v>8754</v>
      </c>
      <c r="G116" s="230">
        <v>2100</v>
      </c>
      <c r="H116" s="613"/>
      <c r="I116" s="613"/>
      <c r="J116" s="613"/>
      <c r="K116" s="613"/>
      <c r="L116" s="230"/>
      <c r="M116" s="230"/>
      <c r="N116" s="614"/>
      <c r="O116" s="876">
        <f>SUM(F116:M116)</f>
        <v>10854</v>
      </c>
    </row>
    <row r="117" spans="1:15" s="601" customFormat="1" ht="18" customHeight="1">
      <c r="A117" s="35">
        <v>109</v>
      </c>
      <c r="B117" s="591"/>
      <c r="C117" s="592"/>
      <c r="D117" s="593"/>
      <c r="E117" s="1151" t="s">
        <v>1009</v>
      </c>
      <c r="F117" s="230"/>
      <c r="G117" s="230"/>
      <c r="H117" s="613"/>
      <c r="I117" s="613"/>
      <c r="J117" s="613"/>
      <c r="K117" s="613"/>
      <c r="L117" s="230"/>
      <c r="M117" s="230">
        <v>1500</v>
      </c>
      <c r="N117" s="614"/>
      <c r="O117" s="876">
        <f>SUM(F117:M117)</f>
        <v>1500</v>
      </c>
    </row>
    <row r="118" spans="1:15" s="601" customFormat="1" ht="18" customHeight="1">
      <c r="A118" s="35">
        <v>110</v>
      </c>
      <c r="B118" s="591"/>
      <c r="C118" s="592"/>
      <c r="D118" s="593"/>
      <c r="E118" s="260" t="s">
        <v>1091</v>
      </c>
      <c r="F118" s="1055">
        <f>SUM(F114:F117)</f>
        <v>29954</v>
      </c>
      <c r="G118" s="1055">
        <f>SUM(G114:G117)</f>
        <v>2100</v>
      </c>
      <c r="H118" s="1055"/>
      <c r="I118" s="1055"/>
      <c r="J118" s="1055"/>
      <c r="K118" s="1055"/>
      <c r="L118" s="1055">
        <f>SUM(L114:L117)</f>
        <v>10916</v>
      </c>
      <c r="M118" s="1055">
        <f>SUM(M114:M117)</f>
        <v>439635</v>
      </c>
      <c r="N118" s="1055">
        <f>SUM(N114:N117)</f>
        <v>340340</v>
      </c>
      <c r="O118" s="243">
        <f>SUM(F118:M118)</f>
        <v>482605</v>
      </c>
    </row>
    <row r="119" spans="1:15" s="110" customFormat="1" ht="18" customHeight="1">
      <c r="A119" s="35">
        <v>111</v>
      </c>
      <c r="B119" s="225"/>
      <c r="C119" s="224">
        <v>2</v>
      </c>
      <c r="D119" s="2061" t="s">
        <v>419</v>
      </c>
      <c r="E119" s="2062"/>
      <c r="F119" s="229"/>
      <c r="G119" s="229"/>
      <c r="H119" s="229"/>
      <c r="I119" s="229"/>
      <c r="J119" s="229"/>
      <c r="K119" s="229"/>
      <c r="L119" s="229"/>
      <c r="M119" s="229"/>
      <c r="N119" s="230"/>
      <c r="O119" s="231"/>
    </row>
    <row r="120" spans="1:16" s="599" customFormat="1" ht="18" customHeight="1">
      <c r="A120" s="35">
        <v>112</v>
      </c>
      <c r="B120" s="603"/>
      <c r="C120" s="592"/>
      <c r="D120" s="593"/>
      <c r="E120" s="1069" t="s">
        <v>283</v>
      </c>
      <c r="F120" s="615"/>
      <c r="G120" s="615">
        <v>36849</v>
      </c>
      <c r="H120" s="615"/>
      <c r="I120" s="615"/>
      <c r="J120" s="615"/>
      <c r="K120" s="615"/>
      <c r="L120" s="615">
        <v>12841</v>
      </c>
      <c r="M120" s="615"/>
      <c r="N120" s="616"/>
      <c r="O120" s="611">
        <f>SUM(F120:M120)</f>
        <v>49690</v>
      </c>
      <c r="P120" s="598"/>
    </row>
    <row r="121" spans="1:16" s="599" customFormat="1" ht="18" customHeight="1">
      <c r="A121" s="35">
        <v>113</v>
      </c>
      <c r="B121" s="603"/>
      <c r="C121" s="592"/>
      <c r="D121" s="593"/>
      <c r="E121" s="260" t="s">
        <v>938</v>
      </c>
      <c r="F121" s="615"/>
      <c r="G121" s="1155">
        <v>36849</v>
      </c>
      <c r="H121" s="1155"/>
      <c r="I121" s="1155"/>
      <c r="J121" s="1155"/>
      <c r="K121" s="1155"/>
      <c r="L121" s="1155">
        <v>12841</v>
      </c>
      <c r="M121" s="1155"/>
      <c r="N121" s="1595"/>
      <c r="O121" s="243">
        <f>SUM(F121:M121)</f>
        <v>49690</v>
      </c>
      <c r="P121" s="598"/>
    </row>
    <row r="122" spans="1:16" s="599" customFormat="1" ht="18" customHeight="1">
      <c r="A122" s="35">
        <v>114</v>
      </c>
      <c r="B122" s="603"/>
      <c r="C122" s="592"/>
      <c r="D122" s="593"/>
      <c r="E122" s="1151" t="s">
        <v>674</v>
      </c>
      <c r="F122" s="615"/>
      <c r="G122" s="615"/>
      <c r="H122" s="615"/>
      <c r="I122" s="615"/>
      <c r="J122" s="615"/>
      <c r="K122" s="615"/>
      <c r="L122" s="615"/>
      <c r="M122" s="615"/>
      <c r="N122" s="616"/>
      <c r="O122" s="876">
        <f>SUM(F122:M122)</f>
        <v>0</v>
      </c>
      <c r="P122" s="598"/>
    </row>
    <row r="123" spans="1:16" s="599" customFormat="1" ht="18" customHeight="1">
      <c r="A123" s="35">
        <v>115</v>
      </c>
      <c r="B123" s="603"/>
      <c r="C123" s="592"/>
      <c r="D123" s="593"/>
      <c r="E123" s="260" t="s">
        <v>1091</v>
      </c>
      <c r="F123" s="615"/>
      <c r="G123" s="1155">
        <f>SUM(G121:G122)</f>
        <v>36849</v>
      </c>
      <c r="H123" s="1155"/>
      <c r="I123" s="1155"/>
      <c r="J123" s="1155"/>
      <c r="K123" s="1155"/>
      <c r="L123" s="1155">
        <f>SUM(L121:L122)</f>
        <v>12841</v>
      </c>
      <c r="M123" s="615"/>
      <c r="N123" s="616"/>
      <c r="O123" s="243">
        <f>SUM(F123:M123)</f>
        <v>49690</v>
      </c>
      <c r="P123" s="598"/>
    </row>
    <row r="124" spans="1:15" s="110" customFormat="1" ht="22.5" customHeight="1">
      <c r="A124" s="35">
        <v>116</v>
      </c>
      <c r="B124" s="223">
        <v>13</v>
      </c>
      <c r="C124" s="224"/>
      <c r="D124" s="2059" t="s">
        <v>31</v>
      </c>
      <c r="E124" s="2060"/>
      <c r="F124" s="232"/>
      <c r="G124" s="232"/>
      <c r="H124" s="232"/>
      <c r="I124" s="232"/>
      <c r="J124" s="232"/>
      <c r="K124" s="232"/>
      <c r="L124" s="232"/>
      <c r="M124" s="232"/>
      <c r="N124" s="233"/>
      <c r="O124" s="234"/>
    </row>
    <row r="125" spans="1:15" s="601" customFormat="1" ht="18" customHeight="1">
      <c r="A125" s="35">
        <v>117</v>
      </c>
      <c r="B125" s="591"/>
      <c r="C125" s="592"/>
      <c r="D125" s="593"/>
      <c r="E125" s="636" t="s">
        <v>283</v>
      </c>
      <c r="F125" s="613">
        <v>185069</v>
      </c>
      <c r="G125" s="613">
        <v>2500</v>
      </c>
      <c r="H125" s="613"/>
      <c r="I125" s="613"/>
      <c r="J125" s="613"/>
      <c r="K125" s="613"/>
      <c r="L125" s="613">
        <v>16981</v>
      </c>
      <c r="M125" s="613">
        <v>237734</v>
      </c>
      <c r="N125" s="614">
        <v>130450</v>
      </c>
      <c r="O125" s="610">
        <f>SUM(F125:M125)</f>
        <v>442284</v>
      </c>
    </row>
    <row r="126" spans="1:15" s="601" customFormat="1" ht="18" customHeight="1">
      <c r="A126" s="35">
        <v>118</v>
      </c>
      <c r="B126" s="591"/>
      <c r="C126" s="592"/>
      <c r="D126" s="593"/>
      <c r="E126" s="260" t="s">
        <v>938</v>
      </c>
      <c r="F126" s="1055">
        <v>158594</v>
      </c>
      <c r="G126" s="1055">
        <v>2500</v>
      </c>
      <c r="H126" s="1055">
        <v>12520</v>
      </c>
      <c r="I126" s="1055"/>
      <c r="J126" s="1055"/>
      <c r="K126" s="1055">
        <v>19048</v>
      </c>
      <c r="L126" s="1055">
        <v>38396</v>
      </c>
      <c r="M126" s="1055">
        <v>237734</v>
      </c>
      <c r="N126" s="1593">
        <v>130450</v>
      </c>
      <c r="O126" s="243">
        <f>SUM(F126:M126)</f>
        <v>468792</v>
      </c>
    </row>
    <row r="127" spans="1:15" s="601" customFormat="1" ht="19.5" customHeight="1">
      <c r="A127" s="35">
        <v>119</v>
      </c>
      <c r="B127" s="591"/>
      <c r="C127" s="592"/>
      <c r="D127" s="593"/>
      <c r="E127" s="1151" t="s">
        <v>993</v>
      </c>
      <c r="F127" s="230"/>
      <c r="G127" s="613"/>
      <c r="H127" s="613"/>
      <c r="I127" s="613"/>
      <c r="J127" s="613"/>
      <c r="K127" s="613"/>
      <c r="L127" s="230"/>
      <c r="M127" s="613"/>
      <c r="N127" s="230">
        <f>26558+5000</f>
        <v>31558</v>
      </c>
      <c r="O127" s="876">
        <f>SUM(F127:M127)</f>
        <v>0</v>
      </c>
    </row>
    <row r="128" spans="1:15" s="601" customFormat="1" ht="18" customHeight="1">
      <c r="A128" s="35">
        <v>120</v>
      </c>
      <c r="B128" s="591"/>
      <c r="C128" s="592"/>
      <c r="D128" s="593"/>
      <c r="E128" s="1151" t="s">
        <v>996</v>
      </c>
      <c r="F128" s="230">
        <f>39468-5400-182</f>
        <v>33886</v>
      </c>
      <c r="G128" s="230">
        <v>4626</v>
      </c>
      <c r="H128" s="230">
        <v>300</v>
      </c>
      <c r="I128" s="613"/>
      <c r="J128" s="116">
        <v>1200</v>
      </c>
      <c r="K128" s="230"/>
      <c r="L128" s="613"/>
      <c r="M128" s="613"/>
      <c r="N128" s="614"/>
      <c r="O128" s="876">
        <f>SUM(F128:M128)</f>
        <v>40012</v>
      </c>
    </row>
    <row r="129" spans="1:15" s="601" customFormat="1" ht="18" customHeight="1">
      <c r="A129" s="35">
        <v>121</v>
      </c>
      <c r="B129" s="591"/>
      <c r="C129" s="592"/>
      <c r="D129" s="593"/>
      <c r="E129" s="260" t="s">
        <v>1091</v>
      </c>
      <c r="F129" s="1055">
        <f>SUM(F126:F128)</f>
        <v>192480</v>
      </c>
      <c r="G129" s="1055">
        <f>SUM(G126:G128)</f>
        <v>7126</v>
      </c>
      <c r="H129" s="1055">
        <f>SUM(H126:H128)</f>
        <v>12820</v>
      </c>
      <c r="I129" s="1055"/>
      <c r="J129" s="1055">
        <f>SUM(J126:J128)</f>
        <v>1200</v>
      </c>
      <c r="K129" s="1055">
        <f>SUM(K126:K128)</f>
        <v>19048</v>
      </c>
      <c r="L129" s="1055">
        <f>SUM(L126:L128)</f>
        <v>38396</v>
      </c>
      <c r="M129" s="1055">
        <f>SUM(M126:M128)</f>
        <v>237734</v>
      </c>
      <c r="N129" s="1055">
        <f>SUM(N126:N128)</f>
        <v>162008</v>
      </c>
      <c r="O129" s="243">
        <f>SUM(F129:M129)</f>
        <v>508804</v>
      </c>
    </row>
    <row r="130" spans="1:16" s="31" customFormat="1" ht="18" customHeight="1">
      <c r="A130" s="35">
        <v>122</v>
      </c>
      <c r="B130" s="223"/>
      <c r="C130" s="224">
        <v>1</v>
      </c>
      <c r="D130" s="2059" t="s">
        <v>539</v>
      </c>
      <c r="E130" s="2060"/>
      <c r="F130" s="94"/>
      <c r="G130" s="94"/>
      <c r="H130" s="94"/>
      <c r="I130" s="94"/>
      <c r="J130" s="94"/>
      <c r="K130" s="94"/>
      <c r="L130" s="94"/>
      <c r="M130" s="94"/>
      <c r="N130" s="116"/>
      <c r="O130" s="243"/>
      <c r="P130" s="22"/>
    </row>
    <row r="131" spans="1:15" s="598" customFormat="1" ht="18" customHeight="1">
      <c r="A131" s="35">
        <v>123</v>
      </c>
      <c r="B131" s="603"/>
      <c r="C131" s="604"/>
      <c r="D131" s="605"/>
      <c r="E131" s="629" t="s">
        <v>283</v>
      </c>
      <c r="F131" s="606"/>
      <c r="G131" s="606"/>
      <c r="H131" s="606"/>
      <c r="I131" s="606"/>
      <c r="J131" s="606"/>
      <c r="K131" s="606"/>
      <c r="L131" s="606">
        <v>8944</v>
      </c>
      <c r="M131" s="606"/>
      <c r="N131" s="607"/>
      <c r="O131" s="608">
        <f>SUM(F131:M131)</f>
        <v>8944</v>
      </c>
    </row>
    <row r="132" spans="1:15" s="598" customFormat="1" ht="18" customHeight="1">
      <c r="A132" s="35">
        <v>124</v>
      </c>
      <c r="B132" s="603"/>
      <c r="C132" s="604"/>
      <c r="D132" s="605"/>
      <c r="E132" s="260" t="s">
        <v>938</v>
      </c>
      <c r="F132" s="606"/>
      <c r="G132" s="606"/>
      <c r="H132" s="606"/>
      <c r="I132" s="606"/>
      <c r="J132" s="606"/>
      <c r="K132" s="606"/>
      <c r="L132" s="1596">
        <v>8944</v>
      </c>
      <c r="M132" s="606"/>
      <c r="N132" s="607"/>
      <c r="O132" s="243">
        <f>SUM(F132:M132)</f>
        <v>8944</v>
      </c>
    </row>
    <row r="133" spans="1:15" s="598" customFormat="1" ht="18" customHeight="1">
      <c r="A133" s="35">
        <v>125</v>
      </c>
      <c r="B133" s="603"/>
      <c r="C133" s="604"/>
      <c r="D133" s="605"/>
      <c r="E133" s="1151" t="s">
        <v>674</v>
      </c>
      <c r="F133" s="606"/>
      <c r="G133" s="606"/>
      <c r="H133" s="606"/>
      <c r="I133" s="606"/>
      <c r="J133" s="606"/>
      <c r="K133" s="606"/>
      <c r="L133" s="1597"/>
      <c r="M133" s="606"/>
      <c r="N133" s="607"/>
      <c r="O133" s="876">
        <f>SUM(F133:M133)</f>
        <v>0</v>
      </c>
    </row>
    <row r="134" spans="1:15" s="598" customFormat="1" ht="18" customHeight="1">
      <c r="A134" s="35">
        <v>126</v>
      </c>
      <c r="B134" s="603"/>
      <c r="C134" s="604"/>
      <c r="D134" s="605"/>
      <c r="E134" s="260" t="s">
        <v>1091</v>
      </c>
      <c r="F134" s="606"/>
      <c r="G134" s="606"/>
      <c r="H134" s="606"/>
      <c r="I134" s="606"/>
      <c r="J134" s="606"/>
      <c r="K134" s="606"/>
      <c r="L134" s="1596">
        <f>SUM(L132:L133)</f>
        <v>8944</v>
      </c>
      <c r="M134" s="606"/>
      <c r="N134" s="607"/>
      <c r="O134" s="243">
        <f>SUM(F134:M134)</f>
        <v>8944</v>
      </c>
    </row>
    <row r="135" spans="1:15" s="598" customFormat="1" ht="30" customHeight="1">
      <c r="A135" s="35">
        <v>127</v>
      </c>
      <c r="B135" s="603"/>
      <c r="C135" s="224">
        <v>2</v>
      </c>
      <c r="D135" s="2068" t="s">
        <v>994</v>
      </c>
      <c r="E135" s="2069"/>
      <c r="F135" s="606"/>
      <c r="G135" s="606"/>
      <c r="H135" s="606"/>
      <c r="I135" s="606"/>
      <c r="J135" s="606"/>
      <c r="K135" s="606"/>
      <c r="L135" s="1596"/>
      <c r="M135" s="606"/>
      <c r="N135" s="607"/>
      <c r="O135" s="243"/>
    </row>
    <row r="136" spans="1:15" s="598" customFormat="1" ht="18" customHeight="1">
      <c r="A136" s="35">
        <v>128</v>
      </c>
      <c r="B136" s="603"/>
      <c r="C136" s="604"/>
      <c r="D136" s="605"/>
      <c r="E136" s="1151" t="s">
        <v>674</v>
      </c>
      <c r="F136" s="1849">
        <f>5400+182</f>
        <v>5582</v>
      </c>
      <c r="G136" s="1849">
        <v>5000</v>
      </c>
      <c r="H136" s="606"/>
      <c r="I136" s="606"/>
      <c r="J136" s="1849">
        <v>20000</v>
      </c>
      <c r="K136" s="606"/>
      <c r="L136" s="1596"/>
      <c r="M136" s="606"/>
      <c r="N136" s="607"/>
      <c r="O136" s="876">
        <f>SUM(F136:M136)</f>
        <v>30582</v>
      </c>
    </row>
    <row r="137" spans="1:15" s="598" customFormat="1" ht="18" customHeight="1">
      <c r="A137" s="35">
        <v>129</v>
      </c>
      <c r="B137" s="603"/>
      <c r="C137" s="604"/>
      <c r="D137" s="605"/>
      <c r="E137" s="260" t="s">
        <v>1091</v>
      </c>
      <c r="F137" s="1596">
        <f>SUM(F136)</f>
        <v>5582</v>
      </c>
      <c r="G137" s="1596">
        <f>SUM(G136)</f>
        <v>5000</v>
      </c>
      <c r="H137" s="606"/>
      <c r="I137" s="606"/>
      <c r="J137" s="1596">
        <f>SUM(J136)</f>
        <v>20000</v>
      </c>
      <c r="K137" s="606"/>
      <c r="L137" s="1596"/>
      <c r="M137" s="606"/>
      <c r="N137" s="607"/>
      <c r="O137" s="243">
        <f>SUM(F137:M137)</f>
        <v>30582</v>
      </c>
    </row>
    <row r="138" spans="1:15" s="110" customFormat="1" ht="22.5" customHeight="1">
      <c r="A138" s="35">
        <v>130</v>
      </c>
      <c r="B138" s="223">
        <v>14</v>
      </c>
      <c r="C138" s="224"/>
      <c r="D138" s="2059" t="s">
        <v>371</v>
      </c>
      <c r="E138" s="2060"/>
      <c r="F138" s="232"/>
      <c r="G138" s="232"/>
      <c r="H138" s="232"/>
      <c r="I138" s="232"/>
      <c r="J138" s="232"/>
      <c r="K138" s="232"/>
      <c r="L138" s="232"/>
      <c r="M138" s="232"/>
      <c r="N138" s="233"/>
      <c r="O138" s="234"/>
    </row>
    <row r="139" spans="1:15" s="601" customFormat="1" ht="18" customHeight="1">
      <c r="A139" s="35">
        <v>131</v>
      </c>
      <c r="B139" s="591"/>
      <c r="C139" s="592"/>
      <c r="D139" s="593"/>
      <c r="E139" s="636" t="s">
        <v>283</v>
      </c>
      <c r="F139" s="613">
        <v>28366</v>
      </c>
      <c r="G139" s="613"/>
      <c r="H139" s="613"/>
      <c r="I139" s="613"/>
      <c r="J139" s="613"/>
      <c r="K139" s="613"/>
      <c r="L139" s="613">
        <v>371</v>
      </c>
      <c r="M139" s="613">
        <v>122176</v>
      </c>
      <c r="N139" s="614">
        <v>65741</v>
      </c>
      <c r="O139" s="610">
        <f>SUM(F139:M139)</f>
        <v>150913</v>
      </c>
    </row>
    <row r="140" spans="1:15" s="601" customFormat="1" ht="18" customHeight="1">
      <c r="A140" s="35">
        <v>132</v>
      </c>
      <c r="B140" s="591"/>
      <c r="C140" s="592"/>
      <c r="D140" s="593"/>
      <c r="E140" s="260" t="s">
        <v>938</v>
      </c>
      <c r="F140" s="1055">
        <v>11312</v>
      </c>
      <c r="G140" s="1055">
        <v>17054</v>
      </c>
      <c r="H140" s="1055">
        <v>5038</v>
      </c>
      <c r="I140" s="1055"/>
      <c r="J140" s="1055"/>
      <c r="K140" s="1055"/>
      <c r="L140" s="1055">
        <v>3819</v>
      </c>
      <c r="M140" s="1055">
        <v>122176</v>
      </c>
      <c r="N140" s="1593">
        <v>65741</v>
      </c>
      <c r="O140" s="243">
        <f>SUM(F140:M140)</f>
        <v>159399</v>
      </c>
    </row>
    <row r="141" spans="1:15" s="601" customFormat="1" ht="18" customHeight="1">
      <c r="A141" s="35">
        <v>133</v>
      </c>
      <c r="B141" s="591"/>
      <c r="C141" s="592"/>
      <c r="D141" s="593"/>
      <c r="E141" s="1151" t="s">
        <v>986</v>
      </c>
      <c r="F141" s="230"/>
      <c r="G141" s="230">
        <v>3000</v>
      </c>
      <c r="H141" s="230"/>
      <c r="I141" s="1436"/>
      <c r="J141" s="230">
        <v>6000</v>
      </c>
      <c r="K141" s="1436"/>
      <c r="L141" s="1436"/>
      <c r="M141" s="1436"/>
      <c r="N141" s="230"/>
      <c r="O141" s="876">
        <f>SUM(F141:M141)</f>
        <v>9000</v>
      </c>
    </row>
    <row r="142" spans="1:15" s="601" customFormat="1" ht="18" customHeight="1">
      <c r="A142" s="35">
        <v>134</v>
      </c>
      <c r="B142" s="591"/>
      <c r="C142" s="592"/>
      <c r="D142" s="593"/>
      <c r="E142" s="1578" t="s">
        <v>966</v>
      </c>
      <c r="F142" s="230">
        <v>-1312</v>
      </c>
      <c r="G142" s="230"/>
      <c r="H142" s="1436"/>
      <c r="I142" s="1436"/>
      <c r="J142" s="1436"/>
      <c r="K142" s="1436"/>
      <c r="L142" s="230"/>
      <c r="M142" s="1436"/>
      <c r="N142" s="1436"/>
      <c r="O142" s="876">
        <f>SUM(F142:M142)</f>
        <v>-1312</v>
      </c>
    </row>
    <row r="143" spans="1:15" s="601" customFormat="1" ht="18" customHeight="1">
      <c r="A143" s="35">
        <v>135</v>
      </c>
      <c r="B143" s="591"/>
      <c r="C143" s="592"/>
      <c r="D143" s="593"/>
      <c r="E143" s="260" t="s">
        <v>1091</v>
      </c>
      <c r="F143" s="1055">
        <f>SUM(F140:F142)</f>
        <v>10000</v>
      </c>
      <c r="G143" s="1055">
        <f aca="true" t="shared" si="13" ref="G143:N143">SUM(G140:G142)</f>
        <v>20054</v>
      </c>
      <c r="H143" s="1055">
        <f t="shared" si="13"/>
        <v>5038</v>
      </c>
      <c r="I143" s="1055"/>
      <c r="J143" s="1055">
        <f t="shared" si="13"/>
        <v>6000</v>
      </c>
      <c r="K143" s="1055"/>
      <c r="L143" s="1055">
        <f t="shared" si="13"/>
        <v>3819</v>
      </c>
      <c r="M143" s="1055">
        <f t="shared" si="13"/>
        <v>122176</v>
      </c>
      <c r="N143" s="1055">
        <f t="shared" si="13"/>
        <v>65741</v>
      </c>
      <c r="O143" s="243">
        <f>SUM(F143:M143)</f>
        <v>167087</v>
      </c>
    </row>
    <row r="144" spans="1:16" s="193" customFormat="1" ht="18" customHeight="1">
      <c r="A144" s="35">
        <v>136</v>
      </c>
      <c r="B144" s="227"/>
      <c r="C144" s="224">
        <v>1</v>
      </c>
      <c r="D144" s="2061" t="s">
        <v>137</v>
      </c>
      <c r="E144" s="2062"/>
      <c r="F144" s="94"/>
      <c r="G144" s="94"/>
      <c r="H144" s="94"/>
      <c r="I144" s="94"/>
      <c r="J144" s="94"/>
      <c r="K144" s="94"/>
      <c r="L144" s="94"/>
      <c r="M144" s="94"/>
      <c r="N144" s="116"/>
      <c r="O144" s="243"/>
      <c r="P144" s="23"/>
    </row>
    <row r="145" spans="1:16" s="618" customFormat="1" ht="18" customHeight="1">
      <c r="A145" s="35">
        <v>137</v>
      </c>
      <c r="B145" s="603"/>
      <c r="C145" s="592"/>
      <c r="D145" s="593"/>
      <c r="E145" s="1069" t="s">
        <v>283</v>
      </c>
      <c r="F145" s="595"/>
      <c r="G145" s="595">
        <v>1054</v>
      </c>
      <c r="H145" s="595"/>
      <c r="I145" s="595"/>
      <c r="J145" s="595"/>
      <c r="K145" s="595"/>
      <c r="L145" s="595"/>
      <c r="M145" s="595"/>
      <c r="N145" s="596"/>
      <c r="O145" s="611">
        <f>SUM(F145:M145)</f>
        <v>1054</v>
      </c>
      <c r="P145" s="617"/>
    </row>
    <row r="146" spans="1:16" s="618" customFormat="1" ht="18" customHeight="1">
      <c r="A146" s="35">
        <v>138</v>
      </c>
      <c r="B146" s="603"/>
      <c r="C146" s="592"/>
      <c r="D146" s="593"/>
      <c r="E146" s="260" t="s">
        <v>938</v>
      </c>
      <c r="F146" s="595"/>
      <c r="G146" s="1062">
        <v>1755</v>
      </c>
      <c r="H146" s="1062"/>
      <c r="I146" s="1062"/>
      <c r="J146" s="1062"/>
      <c r="K146" s="1062"/>
      <c r="L146" s="1062"/>
      <c r="M146" s="1062"/>
      <c r="N146" s="1062"/>
      <c r="O146" s="243">
        <f>SUM(F146:M146)</f>
        <v>1755</v>
      </c>
      <c r="P146" s="617"/>
    </row>
    <row r="147" spans="1:16" s="618" customFormat="1" ht="18" customHeight="1">
      <c r="A147" s="35">
        <v>139</v>
      </c>
      <c r="B147" s="603"/>
      <c r="C147" s="592"/>
      <c r="D147" s="593"/>
      <c r="E147" s="1151" t="s">
        <v>674</v>
      </c>
      <c r="F147" s="595"/>
      <c r="G147" s="595"/>
      <c r="H147" s="595"/>
      <c r="I147" s="595"/>
      <c r="J147" s="595"/>
      <c r="K147" s="595"/>
      <c r="L147" s="595"/>
      <c r="M147" s="595"/>
      <c r="N147" s="596"/>
      <c r="O147" s="876">
        <f>SUM(F147:M147)</f>
        <v>0</v>
      </c>
      <c r="P147" s="617"/>
    </row>
    <row r="148" spans="1:16" s="618" customFormat="1" ht="18" customHeight="1">
      <c r="A148" s="35">
        <v>140</v>
      </c>
      <c r="B148" s="603"/>
      <c r="C148" s="592"/>
      <c r="D148" s="593"/>
      <c r="E148" s="260" t="s">
        <v>1091</v>
      </c>
      <c r="F148" s="595"/>
      <c r="G148" s="1062">
        <f>SUM(G146:G147)</f>
        <v>1755</v>
      </c>
      <c r="H148" s="595"/>
      <c r="I148" s="595"/>
      <c r="J148" s="595"/>
      <c r="K148" s="595"/>
      <c r="L148" s="595"/>
      <c r="M148" s="595"/>
      <c r="N148" s="596"/>
      <c r="O148" s="243">
        <f>SUM(F148:M148)</f>
        <v>1755</v>
      </c>
      <c r="P148" s="617"/>
    </row>
    <row r="149" spans="1:16" s="31" customFormat="1" ht="18" customHeight="1">
      <c r="A149" s="35">
        <v>141</v>
      </c>
      <c r="B149" s="223"/>
      <c r="C149" s="224">
        <v>2</v>
      </c>
      <c r="D149" s="2059" t="s">
        <v>539</v>
      </c>
      <c r="E149" s="2060"/>
      <c r="F149" s="94"/>
      <c r="G149" s="94"/>
      <c r="H149" s="94"/>
      <c r="I149" s="94"/>
      <c r="J149" s="94"/>
      <c r="K149" s="94"/>
      <c r="L149" s="94"/>
      <c r="M149" s="94"/>
      <c r="N149" s="116"/>
      <c r="O149" s="243"/>
      <c r="P149" s="22"/>
    </row>
    <row r="150" spans="1:15" s="598" customFormat="1" ht="18" customHeight="1">
      <c r="A150" s="35">
        <v>142</v>
      </c>
      <c r="B150" s="603"/>
      <c r="C150" s="604"/>
      <c r="D150" s="605"/>
      <c r="E150" s="629" t="s">
        <v>283</v>
      </c>
      <c r="F150" s="606"/>
      <c r="G150" s="606"/>
      <c r="H150" s="606">
        <v>4099</v>
      </c>
      <c r="I150" s="606"/>
      <c r="J150" s="606"/>
      <c r="K150" s="606"/>
      <c r="L150" s="606">
        <v>2602</v>
      </c>
      <c r="M150" s="606"/>
      <c r="N150" s="607"/>
      <c r="O150" s="608">
        <f>SUM(F150:M150)</f>
        <v>6701</v>
      </c>
    </row>
    <row r="151" spans="1:15" s="598" customFormat="1" ht="18" customHeight="1">
      <c r="A151" s="35">
        <v>143</v>
      </c>
      <c r="B151" s="603"/>
      <c r="C151" s="604"/>
      <c r="D151" s="605"/>
      <c r="E151" s="260" t="s">
        <v>938</v>
      </c>
      <c r="F151" s="606"/>
      <c r="G151" s="606"/>
      <c r="H151" s="1162">
        <v>4099</v>
      </c>
      <c r="I151" s="1162"/>
      <c r="J151" s="1162"/>
      <c r="K151" s="1162"/>
      <c r="L151" s="1162">
        <v>2602</v>
      </c>
      <c r="M151" s="1162"/>
      <c r="N151" s="1598"/>
      <c r="O151" s="1599">
        <f>SUM(F151:M151)</f>
        <v>6701</v>
      </c>
    </row>
    <row r="152" spans="1:15" s="598" customFormat="1" ht="18" customHeight="1">
      <c r="A152" s="35">
        <v>144</v>
      </c>
      <c r="B152" s="603"/>
      <c r="C152" s="604"/>
      <c r="D152" s="605"/>
      <c r="E152" s="1146" t="s">
        <v>674</v>
      </c>
      <c r="F152" s="606"/>
      <c r="G152" s="606"/>
      <c r="H152" s="606"/>
      <c r="I152" s="606"/>
      <c r="J152" s="606"/>
      <c r="K152" s="606"/>
      <c r="L152" s="606"/>
      <c r="M152" s="606"/>
      <c r="N152" s="607"/>
      <c r="O152" s="876">
        <f>SUM(F152:M152)</f>
        <v>0</v>
      </c>
    </row>
    <row r="153" spans="1:15" s="598" customFormat="1" ht="18" customHeight="1">
      <c r="A153" s="35">
        <v>145</v>
      </c>
      <c r="B153" s="603"/>
      <c r="C153" s="604"/>
      <c r="D153" s="605"/>
      <c r="E153" s="260" t="s">
        <v>1091</v>
      </c>
      <c r="F153" s="606"/>
      <c r="G153" s="606"/>
      <c r="H153" s="1162">
        <f>SUM(H151:H152)</f>
        <v>4099</v>
      </c>
      <c r="I153" s="1162"/>
      <c r="J153" s="1162"/>
      <c r="K153" s="1162"/>
      <c r="L153" s="1162">
        <f>SUM(L151:L152)</f>
        <v>2602</v>
      </c>
      <c r="M153" s="606"/>
      <c r="N153" s="607"/>
      <c r="O153" s="243">
        <f>SUM(F153:M153)</f>
        <v>6701</v>
      </c>
    </row>
    <row r="154" spans="1:15" s="598" customFormat="1" ht="46.5" customHeight="1">
      <c r="A154" s="35">
        <v>146</v>
      </c>
      <c r="B154" s="603"/>
      <c r="C154" s="228">
        <v>3</v>
      </c>
      <c r="D154" s="2068" t="s">
        <v>985</v>
      </c>
      <c r="E154" s="2069"/>
      <c r="F154" s="606"/>
      <c r="G154" s="606"/>
      <c r="H154" s="1162"/>
      <c r="I154" s="1162"/>
      <c r="J154" s="1162"/>
      <c r="K154" s="1162"/>
      <c r="L154" s="1162"/>
      <c r="M154" s="606"/>
      <c r="N154" s="607"/>
      <c r="O154" s="243"/>
    </row>
    <row r="155" spans="1:15" s="598" customFormat="1" ht="18" customHeight="1">
      <c r="A155" s="35">
        <v>147</v>
      </c>
      <c r="B155" s="603"/>
      <c r="C155" s="604"/>
      <c r="D155" s="605"/>
      <c r="E155" s="1151" t="s">
        <v>674</v>
      </c>
      <c r="F155" s="1849">
        <v>1312</v>
      </c>
      <c r="G155" s="1849">
        <v>12000</v>
      </c>
      <c r="H155" s="1849"/>
      <c r="I155" s="1849"/>
      <c r="J155" s="1849">
        <v>3000</v>
      </c>
      <c r="K155" s="1162"/>
      <c r="L155" s="1162"/>
      <c r="M155" s="606"/>
      <c r="N155" s="607"/>
      <c r="O155" s="876">
        <f>SUM(F155:M155)</f>
        <v>16312</v>
      </c>
    </row>
    <row r="156" spans="1:15" s="598" customFormat="1" ht="18" customHeight="1">
      <c r="A156" s="35">
        <v>148</v>
      </c>
      <c r="B156" s="603"/>
      <c r="C156" s="604"/>
      <c r="D156" s="605"/>
      <c r="E156" s="260" t="s">
        <v>1091</v>
      </c>
      <c r="F156" s="1596">
        <f>SUM(F155)</f>
        <v>1312</v>
      </c>
      <c r="G156" s="1596">
        <f>SUM(G155)</f>
        <v>12000</v>
      </c>
      <c r="H156" s="1596"/>
      <c r="I156" s="1596"/>
      <c r="J156" s="1596">
        <f>SUM(J155)</f>
        <v>3000</v>
      </c>
      <c r="K156" s="1596"/>
      <c r="L156" s="1596"/>
      <c r="M156" s="1597"/>
      <c r="N156" s="607"/>
      <c r="O156" s="243">
        <f>SUM(F156:M156)</f>
        <v>16312</v>
      </c>
    </row>
    <row r="157" spans="1:15" s="111" customFormat="1" ht="22.5" customHeight="1">
      <c r="A157" s="35">
        <v>149</v>
      </c>
      <c r="B157" s="223">
        <v>15</v>
      </c>
      <c r="C157" s="224"/>
      <c r="D157" s="2059" t="s">
        <v>142</v>
      </c>
      <c r="E157" s="2060"/>
      <c r="F157" s="232"/>
      <c r="G157" s="232"/>
      <c r="H157" s="232"/>
      <c r="I157" s="232"/>
      <c r="J157" s="232"/>
      <c r="K157" s="232"/>
      <c r="L157" s="232"/>
      <c r="M157" s="232"/>
      <c r="N157" s="233"/>
      <c r="O157" s="234"/>
    </row>
    <row r="158" spans="1:15" s="600" customFormat="1" ht="18" customHeight="1">
      <c r="A158" s="35">
        <v>150</v>
      </c>
      <c r="B158" s="591"/>
      <c r="C158" s="604"/>
      <c r="D158" s="605"/>
      <c r="E158" s="628" t="s">
        <v>283</v>
      </c>
      <c r="F158" s="619">
        <v>127760</v>
      </c>
      <c r="G158" s="619">
        <v>55000</v>
      </c>
      <c r="H158" s="619"/>
      <c r="I158" s="619"/>
      <c r="J158" s="619"/>
      <c r="K158" s="619"/>
      <c r="L158" s="619">
        <v>15204</v>
      </c>
      <c r="M158" s="619">
        <v>549188</v>
      </c>
      <c r="N158" s="620">
        <v>375129</v>
      </c>
      <c r="O158" s="612">
        <f>SUM(F158:M158)</f>
        <v>747152</v>
      </c>
    </row>
    <row r="159" spans="1:15" s="600" customFormat="1" ht="18" customHeight="1">
      <c r="A159" s="35">
        <v>151</v>
      </c>
      <c r="B159" s="591"/>
      <c r="C159" s="604"/>
      <c r="D159" s="605"/>
      <c r="E159" s="260" t="s">
        <v>938</v>
      </c>
      <c r="F159" s="1057">
        <v>127760</v>
      </c>
      <c r="G159" s="1057">
        <v>141364</v>
      </c>
      <c r="H159" s="1057"/>
      <c r="I159" s="1057"/>
      <c r="J159" s="1057"/>
      <c r="K159" s="1057"/>
      <c r="L159" s="1057">
        <v>132781</v>
      </c>
      <c r="M159" s="1057">
        <v>549188</v>
      </c>
      <c r="N159" s="1594">
        <v>375129</v>
      </c>
      <c r="O159" s="1600">
        <f>SUM(F159:M159)</f>
        <v>951093</v>
      </c>
    </row>
    <row r="160" spans="1:15" s="600" customFormat="1" ht="18" customHeight="1">
      <c r="A160" s="35">
        <v>152</v>
      </c>
      <c r="B160" s="591"/>
      <c r="C160" s="592"/>
      <c r="D160" s="1485"/>
      <c r="E160" s="1151" t="s">
        <v>1037</v>
      </c>
      <c r="F160" s="613"/>
      <c r="G160" s="230">
        <v>-22606</v>
      </c>
      <c r="H160" s="613"/>
      <c r="I160" s="613"/>
      <c r="J160" s="613"/>
      <c r="K160" s="613"/>
      <c r="L160" s="230"/>
      <c r="M160" s="613"/>
      <c r="N160" s="614"/>
      <c r="O160" s="876">
        <f>SUM(F160:M160)</f>
        <v>-22606</v>
      </c>
    </row>
    <row r="161" spans="1:15" s="600" customFormat="1" ht="18" customHeight="1" thickBot="1">
      <c r="A161" s="35">
        <v>153</v>
      </c>
      <c r="B161" s="591"/>
      <c r="C161" s="1135"/>
      <c r="D161" s="1572"/>
      <c r="E161" s="1577" t="s">
        <v>1091</v>
      </c>
      <c r="F161" s="1161">
        <f>SUM(F159:F160)</f>
        <v>127760</v>
      </c>
      <c r="G161" s="1161">
        <f aca="true" t="shared" si="14" ref="G161:N161">SUM(G159:G160)</f>
        <v>118758</v>
      </c>
      <c r="H161" s="1161"/>
      <c r="I161" s="1161"/>
      <c r="J161" s="1161"/>
      <c r="K161" s="1161"/>
      <c r="L161" s="1161">
        <f t="shared" si="14"/>
        <v>132781</v>
      </c>
      <c r="M161" s="1161">
        <f t="shared" si="14"/>
        <v>549188</v>
      </c>
      <c r="N161" s="1161">
        <f t="shared" si="14"/>
        <v>375129</v>
      </c>
      <c r="O161" s="243">
        <f>SUM(F161:M161)</f>
        <v>928487</v>
      </c>
    </row>
    <row r="162" spans="1:15" s="111" customFormat="1" ht="22.5" customHeight="1" thickTop="1">
      <c r="A162" s="35">
        <v>154</v>
      </c>
      <c r="B162" s="225"/>
      <c r="C162" s="2065" t="s">
        <v>426</v>
      </c>
      <c r="D162" s="2066"/>
      <c r="E162" s="2067"/>
      <c r="F162" s="589"/>
      <c r="G162" s="589"/>
      <c r="H162" s="589"/>
      <c r="I162" s="589"/>
      <c r="J162" s="589"/>
      <c r="K162" s="589"/>
      <c r="L162" s="589"/>
      <c r="M162" s="589"/>
      <c r="N162" s="589"/>
      <c r="O162" s="590"/>
    </row>
    <row r="163" spans="1:15" s="600" customFormat="1" ht="18" customHeight="1">
      <c r="A163" s="35">
        <v>155</v>
      </c>
      <c r="B163" s="591"/>
      <c r="C163" s="604"/>
      <c r="D163" s="605"/>
      <c r="E163" s="628" t="s">
        <v>283</v>
      </c>
      <c r="F163" s="619">
        <f aca="true" t="shared" si="15" ref="F163:N163">SUM(F80,F87,F96,F113,F120,F125,F139,F145,F158,F105,F131,F150)</f>
        <v>409742</v>
      </c>
      <c r="G163" s="619">
        <f t="shared" si="15"/>
        <v>149773</v>
      </c>
      <c r="H163" s="619">
        <f t="shared" si="15"/>
        <v>4569</v>
      </c>
      <c r="I163" s="619">
        <f t="shared" si="15"/>
        <v>0</v>
      </c>
      <c r="J163" s="619">
        <f t="shared" si="15"/>
        <v>4050</v>
      </c>
      <c r="K163" s="619">
        <f t="shared" si="15"/>
        <v>0</v>
      </c>
      <c r="L163" s="619">
        <f t="shared" si="15"/>
        <v>101659</v>
      </c>
      <c r="M163" s="619">
        <f t="shared" si="15"/>
        <v>1670283</v>
      </c>
      <c r="N163" s="619">
        <f t="shared" si="15"/>
        <v>880069</v>
      </c>
      <c r="O163" s="612">
        <f>SUM(F163:M163)</f>
        <v>2340076</v>
      </c>
    </row>
    <row r="164" spans="1:15" s="600" customFormat="1" ht="18" customHeight="1">
      <c r="A164" s="35">
        <v>156</v>
      </c>
      <c r="B164" s="1139"/>
      <c r="C164" s="604"/>
      <c r="D164" s="605"/>
      <c r="E164" s="260" t="s">
        <v>938</v>
      </c>
      <c r="F164" s="1057">
        <f aca="true" t="shared" si="16" ref="F164:N164">SUM(F81,F88,F97,F114,F121,F126,F140,F146,F159,F106,F132,F151,F92)</f>
        <v>366213</v>
      </c>
      <c r="G164" s="1057">
        <f t="shared" si="16"/>
        <v>277474</v>
      </c>
      <c r="H164" s="1057">
        <f t="shared" si="16"/>
        <v>22127</v>
      </c>
      <c r="I164" s="1057">
        <f t="shared" si="16"/>
        <v>0</v>
      </c>
      <c r="J164" s="1057">
        <f t="shared" si="16"/>
        <v>5368</v>
      </c>
      <c r="K164" s="1057">
        <f t="shared" si="16"/>
        <v>19048</v>
      </c>
      <c r="L164" s="1057">
        <f t="shared" si="16"/>
        <v>298991</v>
      </c>
      <c r="M164" s="1057">
        <f t="shared" si="16"/>
        <v>1681936</v>
      </c>
      <c r="N164" s="1057">
        <f t="shared" si="16"/>
        <v>882086</v>
      </c>
      <c r="O164" s="1600">
        <f>SUM(F164:M164)</f>
        <v>2671157</v>
      </c>
    </row>
    <row r="165" spans="1:15" s="600" customFormat="1" ht="18" customHeight="1">
      <c r="A165" s="35">
        <v>157</v>
      </c>
      <c r="B165" s="1139"/>
      <c r="C165" s="592"/>
      <c r="D165" s="1485"/>
      <c r="E165" s="1151" t="s">
        <v>674</v>
      </c>
      <c r="F165" s="230">
        <f>SUM(F82:F84,F89,F98:F102,F107,F115:F117,F122,F127:F128,F133,F141:F142,F147,F152,F160:F160)+F93+F110+F155+F136</f>
        <v>48222</v>
      </c>
      <c r="G165" s="230">
        <f aca="true" t="shared" si="17" ref="G165:N165">SUM(G82:G84,G89,G98:G102,G107,G115:G117,G122,G127:G128,G133,G141:G142,G147,G152,G160:G160)+G93+G110+G155+G136</f>
        <v>17124</v>
      </c>
      <c r="H165" s="230">
        <f t="shared" si="17"/>
        <v>25314</v>
      </c>
      <c r="I165" s="230">
        <f t="shared" si="17"/>
        <v>0</v>
      </c>
      <c r="J165" s="230">
        <f t="shared" si="17"/>
        <v>32940</v>
      </c>
      <c r="K165" s="230">
        <f t="shared" si="17"/>
        <v>3487</v>
      </c>
      <c r="L165" s="230">
        <f t="shared" si="17"/>
        <v>0</v>
      </c>
      <c r="M165" s="230">
        <f t="shared" si="17"/>
        <v>1650</v>
      </c>
      <c r="N165" s="230">
        <f t="shared" si="17"/>
        <v>140745</v>
      </c>
      <c r="O165" s="876">
        <f>SUM(F165:M165)</f>
        <v>128737</v>
      </c>
    </row>
    <row r="166" spans="1:15" s="600" customFormat="1" ht="18" customHeight="1" thickBot="1">
      <c r="A166" s="35">
        <v>158</v>
      </c>
      <c r="B166" s="1139"/>
      <c r="C166" s="1140"/>
      <c r="D166" s="1141"/>
      <c r="E166" s="1150" t="s">
        <v>1091</v>
      </c>
      <c r="F166" s="1158">
        <f>SUM(F164:F165)</f>
        <v>414435</v>
      </c>
      <c r="G166" s="1158">
        <f aca="true" t="shared" si="18" ref="G166:N166">SUM(G164:G165)</f>
        <v>294598</v>
      </c>
      <c r="H166" s="1158">
        <f t="shared" si="18"/>
        <v>47441</v>
      </c>
      <c r="I166" s="1158">
        <f t="shared" si="18"/>
        <v>0</v>
      </c>
      <c r="J166" s="1158">
        <f t="shared" si="18"/>
        <v>38308</v>
      </c>
      <c r="K166" s="1158">
        <f t="shared" si="18"/>
        <v>22535</v>
      </c>
      <c r="L166" s="1158">
        <f t="shared" si="18"/>
        <v>298991</v>
      </c>
      <c r="M166" s="1158">
        <f t="shared" si="18"/>
        <v>1683586</v>
      </c>
      <c r="N166" s="1158">
        <f t="shared" si="18"/>
        <v>1022831</v>
      </c>
      <c r="O166" s="1152">
        <f>SUM(F166:M166)</f>
        <v>2799894</v>
      </c>
    </row>
    <row r="167" spans="1:16" ht="22.5" customHeight="1" thickTop="1">
      <c r="A167" s="35">
        <v>159</v>
      </c>
      <c r="B167" s="237">
        <v>16</v>
      </c>
      <c r="C167" s="238"/>
      <c r="D167" s="2063" t="s">
        <v>251</v>
      </c>
      <c r="E167" s="2064"/>
      <c r="F167" s="249"/>
      <c r="G167" s="249"/>
      <c r="H167" s="249"/>
      <c r="I167" s="249"/>
      <c r="J167" s="249"/>
      <c r="K167" s="249"/>
      <c r="L167" s="249"/>
      <c r="M167" s="249"/>
      <c r="N167" s="250"/>
      <c r="O167" s="251"/>
      <c r="P167" s="22"/>
    </row>
    <row r="168" spans="1:16" s="618" customFormat="1" ht="18" customHeight="1">
      <c r="A168" s="35">
        <v>160</v>
      </c>
      <c r="B168" s="627"/>
      <c r="C168" s="604"/>
      <c r="D168" s="605"/>
      <c r="E168" s="628" t="s">
        <v>283</v>
      </c>
      <c r="F168" s="619">
        <v>346280</v>
      </c>
      <c r="G168" s="619"/>
      <c r="H168" s="619"/>
      <c r="I168" s="619"/>
      <c r="J168" s="619"/>
      <c r="K168" s="619"/>
      <c r="L168" s="619">
        <v>58857</v>
      </c>
      <c r="M168" s="619">
        <v>794675</v>
      </c>
      <c r="N168" s="620">
        <v>336855</v>
      </c>
      <c r="O168" s="612">
        <f>SUM(F168:M168)</f>
        <v>1199812</v>
      </c>
      <c r="P168" s="617"/>
    </row>
    <row r="169" spans="1:16" s="618" customFormat="1" ht="18" customHeight="1">
      <c r="A169" s="35">
        <v>161</v>
      </c>
      <c r="B169" s="627"/>
      <c r="C169" s="604"/>
      <c r="D169" s="605"/>
      <c r="E169" s="260" t="s">
        <v>938</v>
      </c>
      <c r="F169" s="1057">
        <v>346280</v>
      </c>
      <c r="G169" s="1057"/>
      <c r="H169" s="1057"/>
      <c r="I169" s="1057"/>
      <c r="J169" s="1057"/>
      <c r="K169" s="1057"/>
      <c r="L169" s="1057">
        <v>192291</v>
      </c>
      <c r="M169" s="1057">
        <v>794675</v>
      </c>
      <c r="N169" s="1594">
        <v>340863</v>
      </c>
      <c r="O169" s="612">
        <f>SUM(F169:M169)</f>
        <v>1333246</v>
      </c>
      <c r="P169" s="617"/>
    </row>
    <row r="170" spans="1:16" s="618" customFormat="1" ht="18" customHeight="1">
      <c r="A170" s="35">
        <v>162</v>
      </c>
      <c r="B170" s="591"/>
      <c r="C170" s="592"/>
      <c r="D170" s="1485"/>
      <c r="E170" s="1151" t="s">
        <v>947</v>
      </c>
      <c r="F170" s="613"/>
      <c r="G170" s="613"/>
      <c r="H170" s="613"/>
      <c r="I170" s="613"/>
      <c r="J170" s="613"/>
      <c r="K170" s="613"/>
      <c r="L170" s="230"/>
      <c r="M170" s="613"/>
      <c r="N170" s="230">
        <v>12015</v>
      </c>
      <c r="O170" s="876">
        <f>SUM(F170:M170)</f>
        <v>0</v>
      </c>
      <c r="P170" s="617"/>
    </row>
    <row r="171" spans="1:16" s="618" customFormat="1" ht="18" customHeight="1" thickBot="1">
      <c r="A171" s="35">
        <v>163</v>
      </c>
      <c r="B171" s="1153"/>
      <c r="C171" s="622"/>
      <c r="D171" s="1470"/>
      <c r="E171" s="1269" t="s">
        <v>1091</v>
      </c>
      <c r="F171" s="1160">
        <f>SUM(F169:F170)</f>
        <v>346280</v>
      </c>
      <c r="G171" s="1160"/>
      <c r="H171" s="1160"/>
      <c r="I171" s="1160"/>
      <c r="J171" s="1160"/>
      <c r="K171" s="1160"/>
      <c r="L171" s="1160">
        <f>SUM(L169:L170)</f>
        <v>192291</v>
      </c>
      <c r="M171" s="1160">
        <f>SUM(M169:M170)</f>
        <v>794675</v>
      </c>
      <c r="N171" s="1160">
        <f>SUM(N169:N170)</f>
        <v>352878</v>
      </c>
      <c r="O171" s="251">
        <f>SUM(F171:M171)</f>
        <v>1333246</v>
      </c>
      <c r="P171" s="617"/>
    </row>
    <row r="172" spans="1:16" s="193" customFormat="1" ht="36" customHeight="1">
      <c r="A172" s="35">
        <v>164</v>
      </c>
      <c r="B172" s="2056" t="s">
        <v>143</v>
      </c>
      <c r="C172" s="2057"/>
      <c r="D172" s="2057"/>
      <c r="E172" s="2058"/>
      <c r="F172" s="623"/>
      <c r="G172" s="623"/>
      <c r="H172" s="623"/>
      <c r="I172" s="623"/>
      <c r="J172" s="623"/>
      <c r="K172" s="623"/>
      <c r="L172" s="623"/>
      <c r="M172" s="623"/>
      <c r="N172" s="624"/>
      <c r="O172" s="625"/>
      <c r="P172" s="23"/>
    </row>
    <row r="173" spans="1:16" s="618" customFormat="1" ht="18" customHeight="1">
      <c r="A173" s="35">
        <v>165</v>
      </c>
      <c r="B173" s="627"/>
      <c r="C173" s="604"/>
      <c r="D173" s="605"/>
      <c r="E173" s="628" t="s">
        <v>283</v>
      </c>
      <c r="F173" s="619">
        <f aca="true" t="shared" si="19" ref="F173:N173">SUM(F168,F163,F75,F46)</f>
        <v>853570</v>
      </c>
      <c r="G173" s="619">
        <f t="shared" si="19"/>
        <v>151275</v>
      </c>
      <c r="H173" s="619">
        <f t="shared" si="19"/>
        <v>4569</v>
      </c>
      <c r="I173" s="619">
        <f t="shared" si="19"/>
        <v>0</v>
      </c>
      <c r="J173" s="619">
        <f t="shared" si="19"/>
        <v>4050</v>
      </c>
      <c r="K173" s="619">
        <f t="shared" si="19"/>
        <v>0</v>
      </c>
      <c r="L173" s="619">
        <f t="shared" si="19"/>
        <v>332417</v>
      </c>
      <c r="M173" s="619">
        <f t="shared" si="19"/>
        <v>5599937</v>
      </c>
      <c r="N173" s="620">
        <f t="shared" si="19"/>
        <v>3558966</v>
      </c>
      <c r="O173" s="612">
        <f>SUM(F173:M173)</f>
        <v>6945818</v>
      </c>
      <c r="P173" s="617"/>
    </row>
    <row r="174" spans="1:16" s="618" customFormat="1" ht="18" customHeight="1">
      <c r="A174" s="35">
        <v>166</v>
      </c>
      <c r="B174" s="627"/>
      <c r="C174" s="604"/>
      <c r="D174" s="605"/>
      <c r="E174" s="260" t="s">
        <v>938</v>
      </c>
      <c r="F174" s="1057">
        <f aca="true" t="shared" si="20" ref="F174:N174">SUM(F169,F164,F76,F47)</f>
        <v>810620</v>
      </c>
      <c r="G174" s="1057">
        <f t="shared" si="20"/>
        <v>295156</v>
      </c>
      <c r="H174" s="1057">
        <f t="shared" si="20"/>
        <v>22127</v>
      </c>
      <c r="I174" s="1057">
        <f t="shared" si="20"/>
        <v>0</v>
      </c>
      <c r="J174" s="1057">
        <f t="shared" si="20"/>
        <v>6039</v>
      </c>
      <c r="K174" s="1057">
        <f t="shared" si="20"/>
        <v>19048</v>
      </c>
      <c r="L174" s="1057">
        <f t="shared" si="20"/>
        <v>757775</v>
      </c>
      <c r="M174" s="1057">
        <f t="shared" si="20"/>
        <v>5671573</v>
      </c>
      <c r="N174" s="1057">
        <f t="shared" si="20"/>
        <v>3664671</v>
      </c>
      <c r="O174" s="612">
        <f>SUM(F174:M174)</f>
        <v>7582338</v>
      </c>
      <c r="P174" s="617"/>
    </row>
    <row r="175" spans="1:16" s="618" customFormat="1" ht="18" customHeight="1">
      <c r="A175" s="35">
        <v>167</v>
      </c>
      <c r="B175" s="591"/>
      <c r="C175" s="592"/>
      <c r="D175" s="1485"/>
      <c r="E175" s="1151" t="s">
        <v>674</v>
      </c>
      <c r="F175" s="230">
        <f aca="true" t="shared" si="21" ref="F175:N175">F170+F165+F77+F48</f>
        <v>48222</v>
      </c>
      <c r="G175" s="230">
        <f t="shared" si="21"/>
        <v>18456</v>
      </c>
      <c r="H175" s="230">
        <f t="shared" si="21"/>
        <v>25314</v>
      </c>
      <c r="I175" s="230">
        <f t="shared" si="21"/>
        <v>0</v>
      </c>
      <c r="J175" s="230">
        <f t="shared" si="21"/>
        <v>32940</v>
      </c>
      <c r="K175" s="230">
        <f t="shared" si="21"/>
        <v>3487</v>
      </c>
      <c r="L175" s="230">
        <f t="shared" si="21"/>
        <v>0</v>
      </c>
      <c r="M175" s="230">
        <f t="shared" si="21"/>
        <v>43478</v>
      </c>
      <c r="N175" s="230">
        <f t="shared" si="21"/>
        <v>150479</v>
      </c>
      <c r="O175" s="876">
        <f>SUM(F175:M175)</f>
        <v>171897</v>
      </c>
      <c r="P175" s="617"/>
    </row>
    <row r="176" spans="1:16" s="618" customFormat="1" ht="18" customHeight="1" thickBot="1">
      <c r="A176" s="35">
        <v>168</v>
      </c>
      <c r="B176" s="621"/>
      <c r="C176" s="622"/>
      <c r="D176" s="1470"/>
      <c r="E176" s="1269" t="s">
        <v>1091</v>
      </c>
      <c r="F176" s="1060">
        <f>SUM(F174:F175)</f>
        <v>858842</v>
      </c>
      <c r="G176" s="1060">
        <f aca="true" t="shared" si="22" ref="G176:N176">SUM(G174:G175)</f>
        <v>313612</v>
      </c>
      <c r="H176" s="1060">
        <f t="shared" si="22"/>
        <v>47441</v>
      </c>
      <c r="I176" s="1060">
        <f t="shared" si="22"/>
        <v>0</v>
      </c>
      <c r="J176" s="1060">
        <f t="shared" si="22"/>
        <v>38979</v>
      </c>
      <c r="K176" s="1060">
        <f t="shared" si="22"/>
        <v>22535</v>
      </c>
      <c r="L176" s="1060">
        <f t="shared" si="22"/>
        <v>757775</v>
      </c>
      <c r="M176" s="1060">
        <f t="shared" si="22"/>
        <v>5715051</v>
      </c>
      <c r="N176" s="1060">
        <f t="shared" si="22"/>
        <v>3815150</v>
      </c>
      <c r="O176" s="1163">
        <f>SUM(F176:M176)</f>
        <v>7754235</v>
      </c>
      <c r="P176" s="617"/>
    </row>
    <row r="177" spans="1:16" ht="22.5" customHeight="1">
      <c r="A177" s="35">
        <v>169</v>
      </c>
      <c r="B177" s="219">
        <v>17</v>
      </c>
      <c r="C177" s="220"/>
      <c r="D177" s="1993" t="s">
        <v>144</v>
      </c>
      <c r="E177" s="1574"/>
      <c r="F177" s="1575"/>
      <c r="G177" s="486"/>
      <c r="H177" s="221"/>
      <c r="I177" s="221"/>
      <c r="J177" s="221"/>
      <c r="K177" s="221"/>
      <c r="L177" s="221"/>
      <c r="M177" s="221"/>
      <c r="N177" s="222"/>
      <c r="O177" s="246"/>
      <c r="P177" s="22"/>
    </row>
    <row r="178" spans="1:16" s="618" customFormat="1" ht="18" customHeight="1">
      <c r="A178" s="35">
        <v>170</v>
      </c>
      <c r="B178" s="627"/>
      <c r="C178" s="604"/>
      <c r="D178" s="1573"/>
      <c r="E178" s="628" t="s">
        <v>283</v>
      </c>
      <c r="F178" s="619">
        <v>4445</v>
      </c>
      <c r="G178" s="619">
        <v>16195</v>
      </c>
      <c r="H178" s="619"/>
      <c r="I178" s="619"/>
      <c r="J178" s="619"/>
      <c r="K178" s="619"/>
      <c r="L178" s="619">
        <v>81050</v>
      </c>
      <c r="M178" s="619">
        <f>1800194-12700</f>
        <v>1787494</v>
      </c>
      <c r="N178" s="620">
        <v>776793</v>
      </c>
      <c r="O178" s="612">
        <f>SUM(F178:M178)</f>
        <v>1889184</v>
      </c>
      <c r="P178" s="617"/>
    </row>
    <row r="179" spans="1:16" s="618" customFormat="1" ht="18" customHeight="1">
      <c r="A179" s="35">
        <v>171</v>
      </c>
      <c r="B179" s="627"/>
      <c r="C179" s="604"/>
      <c r="D179" s="1573"/>
      <c r="E179" s="260" t="s">
        <v>938</v>
      </c>
      <c r="F179" s="1057">
        <v>4445</v>
      </c>
      <c r="G179" s="1057">
        <v>0</v>
      </c>
      <c r="H179" s="1057"/>
      <c r="I179" s="1057"/>
      <c r="J179" s="1057"/>
      <c r="K179" s="1057"/>
      <c r="L179" s="1057">
        <v>457982</v>
      </c>
      <c r="M179" s="1057">
        <v>1835073</v>
      </c>
      <c r="N179" s="1594">
        <v>779205</v>
      </c>
      <c r="O179" s="1600">
        <f>SUM(F179:M179)</f>
        <v>2297500</v>
      </c>
      <c r="P179" s="617"/>
    </row>
    <row r="180" spans="1:16" s="618" customFormat="1" ht="48" customHeight="1">
      <c r="A180" s="35">
        <v>172</v>
      </c>
      <c r="B180" s="627"/>
      <c r="C180" s="604"/>
      <c r="D180" s="1573"/>
      <c r="E180" s="1578" t="s">
        <v>1007</v>
      </c>
      <c r="F180" s="1578"/>
      <c r="G180" s="1497"/>
      <c r="H180" s="619"/>
      <c r="I180" s="619"/>
      <c r="J180" s="619"/>
      <c r="K180" s="619"/>
      <c r="L180" s="619"/>
      <c r="M180" s="1497">
        <v>2030</v>
      </c>
      <c r="N180" s="620"/>
      <c r="O180" s="1156">
        <f>SUM(F180:M180)</f>
        <v>2030</v>
      </c>
      <c r="P180" s="617"/>
    </row>
    <row r="181" spans="1:16" s="618" customFormat="1" ht="18" customHeight="1">
      <c r="A181" s="35">
        <v>173</v>
      </c>
      <c r="B181" s="591"/>
      <c r="C181" s="592"/>
      <c r="D181" s="1485"/>
      <c r="E181" s="1578" t="s">
        <v>1027</v>
      </c>
      <c r="F181" s="613"/>
      <c r="G181" s="613"/>
      <c r="H181" s="613"/>
      <c r="I181" s="613"/>
      <c r="J181" s="613"/>
      <c r="K181" s="613"/>
      <c r="L181" s="230"/>
      <c r="M181" s="230">
        <v>3000</v>
      </c>
      <c r="N181" s="614"/>
      <c r="O181" s="876">
        <f>SUM(F181:M181)</f>
        <v>3000</v>
      </c>
      <c r="P181" s="617"/>
    </row>
    <row r="182" spans="1:16" s="618" customFormat="1" ht="18" customHeight="1">
      <c r="A182" s="35">
        <v>174</v>
      </c>
      <c r="B182" s="1143"/>
      <c r="C182" s="604"/>
      <c r="D182" s="1136"/>
      <c r="E182" s="1578" t="s">
        <v>1035</v>
      </c>
      <c r="F182" s="1151"/>
      <c r="G182" s="1137"/>
      <c r="H182" s="1137"/>
      <c r="I182" s="1137"/>
      <c r="J182" s="1137"/>
      <c r="K182" s="1137"/>
      <c r="L182" s="1438"/>
      <c r="M182" s="1438">
        <f>5559+945</f>
        <v>6504</v>
      </c>
      <c r="N182" s="1138"/>
      <c r="O182" s="876">
        <f>SUM(F182:M182)</f>
        <v>6504</v>
      </c>
      <c r="P182" s="617"/>
    </row>
    <row r="183" spans="1:16" s="618" customFormat="1" ht="18" customHeight="1">
      <c r="A183" s="35">
        <v>175</v>
      </c>
      <c r="B183" s="591"/>
      <c r="C183" s="592"/>
      <c r="D183" s="1485"/>
      <c r="E183" s="1578" t="s">
        <v>721</v>
      </c>
      <c r="F183" s="1578"/>
      <c r="G183" s="613"/>
      <c r="H183" s="613"/>
      <c r="I183" s="613"/>
      <c r="J183" s="613"/>
      <c r="K183" s="613"/>
      <c r="L183" s="230"/>
      <c r="M183" s="230">
        <f>-2427-454</f>
        <v>-2881</v>
      </c>
      <c r="N183" s="614"/>
      <c r="O183" s="876">
        <f>SUM(F183:M183)</f>
        <v>-2881</v>
      </c>
      <c r="P183" s="617"/>
    </row>
    <row r="184" spans="1:16" s="618" customFormat="1" ht="18" customHeight="1" thickBot="1">
      <c r="A184" s="35">
        <v>176</v>
      </c>
      <c r="B184" s="1153"/>
      <c r="C184" s="622"/>
      <c r="D184" s="1470"/>
      <c r="E184" s="1269" t="s">
        <v>1091</v>
      </c>
      <c r="F184" s="1060">
        <f>SUM(F179:F183)</f>
        <v>4445</v>
      </c>
      <c r="G184" s="1060">
        <f>SUM(G179:G183)</f>
        <v>0</v>
      </c>
      <c r="H184" s="1060"/>
      <c r="I184" s="1060"/>
      <c r="J184" s="1060"/>
      <c r="K184" s="1060"/>
      <c r="L184" s="1060">
        <f>SUM(L179:L183)</f>
        <v>457982</v>
      </c>
      <c r="M184" s="1060">
        <f>SUM(M179:M183)</f>
        <v>1843726</v>
      </c>
      <c r="N184" s="1060">
        <f>SUM(N179:N183)</f>
        <v>779205</v>
      </c>
      <c r="O184" s="1163">
        <f>SUM(F184:M184)</f>
        <v>2306153</v>
      </c>
      <c r="P184" s="617"/>
    </row>
    <row r="185" spans="1:16" s="193" customFormat="1" ht="36" customHeight="1">
      <c r="A185" s="35">
        <v>177</v>
      </c>
      <c r="B185" s="2079" t="s">
        <v>13</v>
      </c>
      <c r="C185" s="2080"/>
      <c r="D185" s="2080"/>
      <c r="E185" s="2081"/>
      <c r="F185" s="356"/>
      <c r="G185" s="356"/>
      <c r="H185" s="356"/>
      <c r="I185" s="356"/>
      <c r="J185" s="356"/>
      <c r="K185" s="356"/>
      <c r="L185" s="356"/>
      <c r="M185" s="356"/>
      <c r="N185" s="626"/>
      <c r="O185" s="625"/>
      <c r="P185" s="23"/>
    </row>
    <row r="186" spans="1:16" s="618" customFormat="1" ht="18" customHeight="1">
      <c r="A186" s="35">
        <v>178</v>
      </c>
      <c r="B186" s="627"/>
      <c r="C186" s="604"/>
      <c r="D186" s="1573"/>
      <c r="E186" s="629" t="s">
        <v>283</v>
      </c>
      <c r="F186" s="619">
        <f aca="true" t="shared" si="23" ref="F186:N186">SUM(F173,F178)</f>
        <v>858015</v>
      </c>
      <c r="G186" s="619">
        <f t="shared" si="23"/>
        <v>167470</v>
      </c>
      <c r="H186" s="619">
        <f t="shared" si="23"/>
        <v>4569</v>
      </c>
      <c r="I186" s="619">
        <f t="shared" si="23"/>
        <v>0</v>
      </c>
      <c r="J186" s="619">
        <f t="shared" si="23"/>
        <v>4050</v>
      </c>
      <c r="K186" s="619">
        <f t="shared" si="23"/>
        <v>0</v>
      </c>
      <c r="L186" s="619">
        <f t="shared" si="23"/>
        <v>413467</v>
      </c>
      <c r="M186" s="619">
        <f t="shared" si="23"/>
        <v>7387431</v>
      </c>
      <c r="N186" s="620">
        <f t="shared" si="23"/>
        <v>4335759</v>
      </c>
      <c r="O186" s="612">
        <f>SUM(F186:M186)</f>
        <v>8835002</v>
      </c>
      <c r="P186" s="617"/>
    </row>
    <row r="187" spans="1:16" s="618" customFormat="1" ht="18" customHeight="1">
      <c r="A187" s="35">
        <v>179</v>
      </c>
      <c r="B187" s="627"/>
      <c r="C187" s="604"/>
      <c r="D187" s="1573"/>
      <c r="E187" s="260" t="s">
        <v>938</v>
      </c>
      <c r="F187" s="1057">
        <f aca="true" t="shared" si="24" ref="F187:N187">SUM(F174,F179)</f>
        <v>815065</v>
      </c>
      <c r="G187" s="1057">
        <f t="shared" si="24"/>
        <v>295156</v>
      </c>
      <c r="H187" s="1057">
        <f t="shared" si="24"/>
        <v>22127</v>
      </c>
      <c r="I187" s="1057">
        <f t="shared" si="24"/>
        <v>0</v>
      </c>
      <c r="J187" s="1057">
        <f t="shared" si="24"/>
        <v>6039</v>
      </c>
      <c r="K187" s="1057">
        <f t="shared" si="24"/>
        <v>19048</v>
      </c>
      <c r="L187" s="1057">
        <f t="shared" si="24"/>
        <v>1215757</v>
      </c>
      <c r="M187" s="1057">
        <f t="shared" si="24"/>
        <v>7506646</v>
      </c>
      <c r="N187" s="1057">
        <f t="shared" si="24"/>
        <v>4443876</v>
      </c>
      <c r="O187" s="1600">
        <f>SUM(F187:M187)</f>
        <v>9879838</v>
      </c>
      <c r="P187" s="617"/>
    </row>
    <row r="188" spans="1:16" s="618" customFormat="1" ht="18" customHeight="1">
      <c r="A188" s="35">
        <v>180</v>
      </c>
      <c r="B188" s="591"/>
      <c r="C188" s="592"/>
      <c r="D188" s="1485"/>
      <c r="E188" s="1151" t="s">
        <v>674</v>
      </c>
      <c r="F188" s="230">
        <f>F181+F175+F182+F183+F180</f>
        <v>48222</v>
      </c>
      <c r="G188" s="230">
        <f aca="true" t="shared" si="25" ref="G188:N188">G181+G175+G182+G183+G180</f>
        <v>18456</v>
      </c>
      <c r="H188" s="230">
        <f t="shared" si="25"/>
        <v>25314</v>
      </c>
      <c r="I188" s="230">
        <f t="shared" si="25"/>
        <v>0</v>
      </c>
      <c r="J188" s="230">
        <f t="shared" si="25"/>
        <v>32940</v>
      </c>
      <c r="K188" s="230">
        <f t="shared" si="25"/>
        <v>3487</v>
      </c>
      <c r="L188" s="230">
        <f t="shared" si="25"/>
        <v>0</v>
      </c>
      <c r="M188" s="230">
        <f t="shared" si="25"/>
        <v>52131</v>
      </c>
      <c r="N188" s="230">
        <f t="shared" si="25"/>
        <v>150479</v>
      </c>
      <c r="O188" s="1156">
        <f>SUM(F188:M188)</f>
        <v>180550</v>
      </c>
      <c r="P188" s="617"/>
    </row>
    <row r="189" spans="1:16" s="618" customFormat="1" ht="18" customHeight="1" thickBot="1">
      <c r="A189" s="35">
        <v>181</v>
      </c>
      <c r="B189" s="621"/>
      <c r="C189" s="622"/>
      <c r="D189" s="1576"/>
      <c r="E189" s="1269" t="s">
        <v>1091</v>
      </c>
      <c r="F189" s="1060">
        <f>SUM(F187:F188)</f>
        <v>863287</v>
      </c>
      <c r="G189" s="1060">
        <f aca="true" t="shared" si="26" ref="G189:N189">SUM(G187:G188)</f>
        <v>313612</v>
      </c>
      <c r="H189" s="1060">
        <f t="shared" si="26"/>
        <v>47441</v>
      </c>
      <c r="I189" s="1060">
        <f t="shared" si="26"/>
        <v>0</v>
      </c>
      <c r="J189" s="1060">
        <f t="shared" si="26"/>
        <v>38979</v>
      </c>
      <c r="K189" s="1060">
        <f t="shared" si="26"/>
        <v>22535</v>
      </c>
      <c r="L189" s="1060">
        <f t="shared" si="26"/>
        <v>1215757</v>
      </c>
      <c r="M189" s="1060">
        <f t="shared" si="26"/>
        <v>7558777</v>
      </c>
      <c r="N189" s="1060">
        <f t="shared" si="26"/>
        <v>4594355</v>
      </c>
      <c r="O189" s="1163">
        <f>SUM(F189:M189)</f>
        <v>10060388</v>
      </c>
      <c r="P189" s="617"/>
    </row>
  </sheetData>
  <sheetProtection/>
  <mergeCells count="50">
    <mergeCell ref="B185:E185"/>
    <mergeCell ref="L7:L8"/>
    <mergeCell ref="B7:B8"/>
    <mergeCell ref="C45:E45"/>
    <mergeCell ref="C74:E74"/>
    <mergeCell ref="C7:C8"/>
    <mergeCell ref="D7:E8"/>
    <mergeCell ref="F7:H7"/>
    <mergeCell ref="D10:E10"/>
    <mergeCell ref="D15:E15"/>
    <mergeCell ref="D16:E16"/>
    <mergeCell ref="D21:E21"/>
    <mergeCell ref="D22:E22"/>
    <mergeCell ref="D27:E27"/>
    <mergeCell ref="D28:E28"/>
    <mergeCell ref="D33:E33"/>
    <mergeCell ref="B1:M1"/>
    <mergeCell ref="M7:N7"/>
    <mergeCell ref="O7:O8"/>
    <mergeCell ref="I7:K7"/>
    <mergeCell ref="B2:E2"/>
    <mergeCell ref="B3:O3"/>
    <mergeCell ref="B4:O4"/>
    <mergeCell ref="N5:O5"/>
    <mergeCell ref="D6:E6"/>
    <mergeCell ref="D34:E34"/>
    <mergeCell ref="D39:E39"/>
    <mergeCell ref="D40:E40"/>
    <mergeCell ref="D50:E50"/>
    <mergeCell ref="D59:E59"/>
    <mergeCell ref="D65:E65"/>
    <mergeCell ref="D79:E79"/>
    <mergeCell ref="D86:E86"/>
    <mergeCell ref="D95:E95"/>
    <mergeCell ref="D91:E91"/>
    <mergeCell ref="B172:E172"/>
    <mergeCell ref="D104:E104"/>
    <mergeCell ref="D112:E112"/>
    <mergeCell ref="D119:E119"/>
    <mergeCell ref="D124:E124"/>
    <mergeCell ref="D167:E167"/>
    <mergeCell ref="D130:E130"/>
    <mergeCell ref="D138:E138"/>
    <mergeCell ref="D144:E144"/>
    <mergeCell ref="D149:E149"/>
    <mergeCell ref="D157:E157"/>
    <mergeCell ref="C162:E162"/>
    <mergeCell ref="D109:E109"/>
    <mergeCell ref="D154:E154"/>
    <mergeCell ref="D135:E135"/>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74"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view="pageBreakPreview" zoomScaleSheetLayoutView="100" zoomScalePageLayoutView="0" workbookViewId="0" topLeftCell="A1">
      <selection activeCell="B1" sqref="B1:H1"/>
    </sheetView>
  </sheetViews>
  <sheetFormatPr defaultColWidth="9.125" defaultRowHeight="12.75"/>
  <cols>
    <col min="1" max="1" width="3.75390625" style="103" customWidth="1"/>
    <col min="2" max="3" width="5.75390625" style="192" customWidth="1"/>
    <col min="4" max="4" width="58.75390625" style="192" customWidth="1"/>
    <col min="5" max="7" width="10.75390625" style="192" customWidth="1"/>
    <col min="8" max="8" width="13.75390625" style="192" customWidth="1"/>
    <col min="9" max="16384" width="9.125" style="192" customWidth="1"/>
  </cols>
  <sheetData>
    <row r="1" spans="2:13" ht="38.25" customHeight="1">
      <c r="B1" s="2092" t="s">
        <v>1099</v>
      </c>
      <c r="C1" s="2092"/>
      <c r="D1" s="2092"/>
      <c r="E1" s="2092"/>
      <c r="F1" s="2092"/>
      <c r="G1" s="2092"/>
      <c r="H1" s="2092"/>
      <c r="I1" s="1483"/>
      <c r="J1" s="1483"/>
      <c r="K1" s="1483"/>
      <c r="L1" s="1483"/>
      <c r="M1" s="1483"/>
    </row>
    <row r="2" spans="1:8" s="205" customFormat="1" ht="18" customHeight="1">
      <c r="A2" s="196"/>
      <c r="B2" s="2075" t="s">
        <v>728</v>
      </c>
      <c r="C2" s="2075"/>
      <c r="D2" s="2075"/>
      <c r="E2" s="503"/>
      <c r="F2" s="503"/>
      <c r="G2" s="503"/>
      <c r="H2" s="347"/>
    </row>
    <row r="3" spans="1:8" s="205" customFormat="1" ht="24.75" customHeight="1">
      <c r="A3" s="35"/>
      <c r="B3" s="2076" t="s">
        <v>127</v>
      </c>
      <c r="C3" s="2076"/>
      <c r="D3" s="2076"/>
      <c r="E3" s="2076"/>
      <c r="F3" s="2076"/>
      <c r="G3" s="2076"/>
      <c r="H3" s="2076"/>
    </row>
    <row r="4" spans="1:8" s="205" customFormat="1" ht="24.75" customHeight="1">
      <c r="A4" s="35"/>
      <c r="B4" s="2076" t="s">
        <v>540</v>
      </c>
      <c r="C4" s="2076"/>
      <c r="D4" s="2076"/>
      <c r="E4" s="2076"/>
      <c r="F4" s="2076"/>
      <c r="G4" s="2076"/>
      <c r="H4" s="2076"/>
    </row>
    <row r="5" spans="1:8" ht="18" customHeight="1">
      <c r="A5" s="35"/>
      <c r="B5" s="24"/>
      <c r="C5" s="22"/>
      <c r="D5" s="22"/>
      <c r="E5" s="22"/>
      <c r="F5" s="22"/>
      <c r="G5" s="22"/>
      <c r="H5" s="797" t="s">
        <v>0</v>
      </c>
    </row>
    <row r="6" spans="2:8" s="35" customFormat="1" ht="18" customHeight="1" thickBot="1">
      <c r="B6" s="35" t="s">
        <v>1</v>
      </c>
      <c r="C6" s="35" t="s">
        <v>3</v>
      </c>
      <c r="D6" s="35" t="s">
        <v>2</v>
      </c>
      <c r="E6" s="35" t="s">
        <v>4</v>
      </c>
      <c r="F6" s="35" t="s">
        <v>5</v>
      </c>
      <c r="G6" s="35" t="s">
        <v>15</v>
      </c>
      <c r="H6" s="35" t="s">
        <v>16</v>
      </c>
    </row>
    <row r="7" spans="1:8" s="24" customFormat="1" ht="30" customHeight="1">
      <c r="A7" s="35"/>
      <c r="B7" s="2083" t="s">
        <v>18</v>
      </c>
      <c r="C7" s="2101" t="s">
        <v>19</v>
      </c>
      <c r="D7" s="2103" t="s">
        <v>6</v>
      </c>
      <c r="E7" s="2093" t="s">
        <v>541</v>
      </c>
      <c r="F7" s="2105" t="s">
        <v>536</v>
      </c>
      <c r="G7" s="2093" t="s">
        <v>614</v>
      </c>
      <c r="H7" s="2073" t="s">
        <v>542</v>
      </c>
    </row>
    <row r="8" spans="1:8" ht="60.75" customHeight="1" thickBot="1">
      <c r="A8" s="35"/>
      <c r="B8" s="2084"/>
      <c r="C8" s="2102"/>
      <c r="D8" s="2104"/>
      <c r="E8" s="2094"/>
      <c r="F8" s="2106"/>
      <c r="G8" s="2094"/>
      <c r="H8" s="2074"/>
    </row>
    <row r="9" spans="1:8" ht="29.25" customHeight="1">
      <c r="A9" s="35">
        <v>1</v>
      </c>
      <c r="B9" s="491">
        <v>1</v>
      </c>
      <c r="C9" s="255"/>
      <c r="D9" s="630" t="s">
        <v>311</v>
      </c>
      <c r="E9" s="239">
        <v>4440</v>
      </c>
      <c r="F9" s="239">
        <v>4940</v>
      </c>
      <c r="G9" s="239">
        <v>3634</v>
      </c>
      <c r="H9" s="248">
        <v>4343</v>
      </c>
    </row>
    <row r="10" spans="1:8" ht="30" customHeight="1">
      <c r="A10" s="35">
        <v>2</v>
      </c>
      <c r="B10" s="487">
        <v>2</v>
      </c>
      <c r="C10" s="226"/>
      <c r="D10" s="630" t="s">
        <v>409</v>
      </c>
      <c r="E10" s="229">
        <v>8462</v>
      </c>
      <c r="F10" s="229">
        <v>9516</v>
      </c>
      <c r="G10" s="229">
        <v>6016</v>
      </c>
      <c r="H10" s="242">
        <v>8467</v>
      </c>
    </row>
    <row r="11" spans="1:8" ht="30" customHeight="1">
      <c r="A11" s="35">
        <v>3</v>
      </c>
      <c r="B11" s="487">
        <v>3</v>
      </c>
      <c r="C11" s="226"/>
      <c r="D11" s="630" t="s">
        <v>410</v>
      </c>
      <c r="E11" s="229">
        <v>15398</v>
      </c>
      <c r="F11" s="229">
        <v>17581</v>
      </c>
      <c r="G11" s="229">
        <v>9514</v>
      </c>
      <c r="H11" s="242">
        <v>12371</v>
      </c>
    </row>
    <row r="12" spans="1:8" ht="30" customHeight="1">
      <c r="A12" s="35">
        <v>4</v>
      </c>
      <c r="B12" s="487">
        <v>4</v>
      </c>
      <c r="C12" s="226"/>
      <c r="D12" s="630" t="s">
        <v>411</v>
      </c>
      <c r="E12" s="229">
        <v>10994</v>
      </c>
      <c r="F12" s="229">
        <v>10020</v>
      </c>
      <c r="G12" s="229">
        <v>8264</v>
      </c>
      <c r="H12" s="242">
        <v>12961</v>
      </c>
    </row>
    <row r="13" spans="1:8" ht="30" customHeight="1">
      <c r="A13" s="35">
        <v>5</v>
      </c>
      <c r="B13" s="487">
        <v>5</v>
      </c>
      <c r="C13" s="226"/>
      <c r="D13" s="630" t="s">
        <v>412</v>
      </c>
      <c r="E13" s="229">
        <v>17279</v>
      </c>
      <c r="F13" s="229">
        <v>18635</v>
      </c>
      <c r="G13" s="229">
        <v>14426</v>
      </c>
      <c r="H13" s="242">
        <v>17622</v>
      </c>
    </row>
    <row r="14" spans="1:8" ht="30" customHeight="1" thickBot="1">
      <c r="A14" s="35">
        <v>6</v>
      </c>
      <c r="B14" s="487">
        <v>6</v>
      </c>
      <c r="C14" s="252"/>
      <c r="D14" s="631" t="s">
        <v>312</v>
      </c>
      <c r="E14" s="253">
        <v>4464</v>
      </c>
      <c r="F14" s="253">
        <v>5441</v>
      </c>
      <c r="G14" s="253">
        <v>5191</v>
      </c>
      <c r="H14" s="254">
        <v>5471</v>
      </c>
    </row>
    <row r="15" spans="1:8" s="245" customFormat="1" ht="30" customHeight="1" thickBot="1">
      <c r="A15" s="35">
        <v>7</v>
      </c>
      <c r="B15" s="488"/>
      <c r="C15" s="341"/>
      <c r="D15" s="633" t="s">
        <v>424</v>
      </c>
      <c r="E15" s="341">
        <f>SUM(E9:E14)</f>
        <v>61037</v>
      </c>
      <c r="F15" s="341">
        <f>SUM(F9:F14)</f>
        <v>66133</v>
      </c>
      <c r="G15" s="341">
        <f>SUM(G9:G14)</f>
        <v>47045</v>
      </c>
      <c r="H15" s="502">
        <f>SUM(H9:H14)</f>
        <v>61235</v>
      </c>
    </row>
    <row r="16" spans="1:8" ht="30" customHeight="1">
      <c r="A16" s="35">
        <v>8</v>
      </c>
      <c r="B16" s="487">
        <v>7</v>
      </c>
      <c r="C16" s="255"/>
      <c r="D16" s="632" t="s">
        <v>296</v>
      </c>
      <c r="E16" s="239">
        <v>23407</v>
      </c>
      <c r="F16" s="239">
        <v>21777</v>
      </c>
      <c r="G16" s="239">
        <v>21493</v>
      </c>
      <c r="H16" s="248">
        <v>20992</v>
      </c>
    </row>
    <row r="17" spans="1:8" ht="30" customHeight="1">
      <c r="A17" s="35">
        <v>9</v>
      </c>
      <c r="B17" s="487">
        <v>8</v>
      </c>
      <c r="C17" s="252"/>
      <c r="D17" s="630" t="s">
        <v>113</v>
      </c>
      <c r="E17" s="253">
        <v>15109</v>
      </c>
      <c r="F17" s="253">
        <v>13800</v>
      </c>
      <c r="G17" s="253">
        <v>9656</v>
      </c>
      <c r="H17" s="254">
        <v>14100</v>
      </c>
    </row>
    <row r="18" spans="1:8" ht="30" customHeight="1" thickBot="1">
      <c r="A18" s="35">
        <v>10</v>
      </c>
      <c r="B18" s="487">
        <v>9</v>
      </c>
      <c r="C18" s="252"/>
      <c r="D18" s="631" t="s">
        <v>376</v>
      </c>
      <c r="E18" s="253">
        <v>2909</v>
      </c>
      <c r="F18" s="253">
        <v>1800</v>
      </c>
      <c r="G18" s="253">
        <v>2937</v>
      </c>
      <c r="H18" s="254">
        <v>1800</v>
      </c>
    </row>
    <row r="19" spans="1:8" s="245" customFormat="1" ht="30" customHeight="1" thickBot="1">
      <c r="A19" s="35">
        <v>11</v>
      </c>
      <c r="B19" s="488"/>
      <c r="C19" s="341"/>
      <c r="D19" s="633" t="s">
        <v>425</v>
      </c>
      <c r="E19" s="341">
        <f>SUM(E16:E18)</f>
        <v>41425</v>
      </c>
      <c r="F19" s="341">
        <f>SUM(F16:F18)</f>
        <v>37377</v>
      </c>
      <c r="G19" s="341">
        <f>SUM(G16:G18)</f>
        <v>34086</v>
      </c>
      <c r="H19" s="502">
        <f>SUM(H16:H18)</f>
        <v>36892</v>
      </c>
    </row>
    <row r="20" spans="1:8" ht="30" customHeight="1">
      <c r="A20" s="35">
        <v>12</v>
      </c>
      <c r="B20" s="487">
        <v>10</v>
      </c>
      <c r="C20" s="255"/>
      <c r="D20" s="582" t="s">
        <v>378</v>
      </c>
      <c r="E20" s="239">
        <v>43824</v>
      </c>
      <c r="F20" s="239">
        <v>39412</v>
      </c>
      <c r="G20" s="239">
        <v>24647</v>
      </c>
      <c r="H20" s="248">
        <v>35916</v>
      </c>
    </row>
    <row r="21" spans="1:8" ht="30" customHeight="1">
      <c r="A21" s="35">
        <v>13</v>
      </c>
      <c r="B21" s="489">
        <v>11</v>
      </c>
      <c r="C21" s="226"/>
      <c r="D21" s="579" t="s">
        <v>370</v>
      </c>
      <c r="E21" s="229">
        <v>8889</v>
      </c>
      <c r="F21" s="229">
        <v>9529</v>
      </c>
      <c r="G21" s="229">
        <v>5799</v>
      </c>
      <c r="H21" s="242">
        <v>11431</v>
      </c>
    </row>
    <row r="22" spans="1:8" ht="30" customHeight="1">
      <c r="A22" s="35">
        <v>14</v>
      </c>
      <c r="B22" s="487">
        <v>12</v>
      </c>
      <c r="C22" s="226"/>
      <c r="D22" s="581" t="s">
        <v>24</v>
      </c>
      <c r="E22" s="229">
        <v>31157</v>
      </c>
      <c r="F22" s="229">
        <v>21200</v>
      </c>
      <c r="G22" s="229">
        <v>29249</v>
      </c>
      <c r="H22" s="242">
        <v>29954</v>
      </c>
    </row>
    <row r="23" spans="1:8" ht="30" customHeight="1">
      <c r="A23" s="35">
        <v>15</v>
      </c>
      <c r="B23" s="487">
        <v>13</v>
      </c>
      <c r="C23" s="226"/>
      <c r="D23" s="581" t="s">
        <v>31</v>
      </c>
      <c r="E23" s="229">
        <v>200194</v>
      </c>
      <c r="F23" s="229">
        <v>209389</v>
      </c>
      <c r="G23" s="229">
        <v>185069</v>
      </c>
      <c r="H23" s="242">
        <v>198062</v>
      </c>
    </row>
    <row r="24" spans="1:8" ht="30" customHeight="1">
      <c r="A24" s="35">
        <v>16</v>
      </c>
      <c r="B24" s="487">
        <v>14</v>
      </c>
      <c r="C24" s="228"/>
      <c r="D24" s="579" t="s">
        <v>371</v>
      </c>
      <c r="E24" s="229">
        <v>25393</v>
      </c>
      <c r="F24" s="229">
        <f>30270</f>
        <v>30270</v>
      </c>
      <c r="G24" s="229">
        <f>9171+228</f>
        <v>9399</v>
      </c>
      <c r="H24" s="242">
        <v>11312</v>
      </c>
    </row>
    <row r="25" spans="1:8" ht="30" customHeight="1" thickBot="1">
      <c r="A25" s="35">
        <v>17</v>
      </c>
      <c r="B25" s="487">
        <v>15</v>
      </c>
      <c r="C25" s="252"/>
      <c r="D25" s="580" t="s">
        <v>142</v>
      </c>
      <c r="E25" s="253">
        <v>303830</v>
      </c>
      <c r="F25" s="253">
        <v>205000</v>
      </c>
      <c r="G25" s="253">
        <v>122522</v>
      </c>
      <c r="H25" s="254">
        <v>127760</v>
      </c>
    </row>
    <row r="26" spans="1:8" s="245" customFormat="1" ht="30" customHeight="1" thickBot="1">
      <c r="A26" s="35">
        <v>18</v>
      </c>
      <c r="B26" s="488"/>
      <c r="C26" s="341"/>
      <c r="D26" s="633" t="s">
        <v>426</v>
      </c>
      <c r="E26" s="341">
        <f>SUM(E20:E25)</f>
        <v>613287</v>
      </c>
      <c r="F26" s="341">
        <f>SUM(F20:F25)</f>
        <v>514800</v>
      </c>
      <c r="G26" s="341">
        <f>SUM(G20:G25)</f>
        <v>376685</v>
      </c>
      <c r="H26" s="502">
        <f>SUM(H20:H25)</f>
        <v>414435</v>
      </c>
    </row>
    <row r="27" spans="1:8" s="31" customFormat="1" ht="30" customHeight="1" thickBot="1">
      <c r="A27" s="35">
        <v>19</v>
      </c>
      <c r="B27" s="492">
        <v>16</v>
      </c>
      <c r="C27" s="490"/>
      <c r="D27" s="634" t="s">
        <v>251</v>
      </c>
      <c r="E27" s="507">
        <v>386604</v>
      </c>
      <c r="F27" s="507">
        <v>410302</v>
      </c>
      <c r="G27" s="507">
        <v>289834</v>
      </c>
      <c r="H27" s="256">
        <v>346280</v>
      </c>
    </row>
    <row r="28" spans="1:10" ht="33" customHeight="1" thickBot="1">
      <c r="A28" s="35">
        <v>20</v>
      </c>
      <c r="B28" s="2095" t="s">
        <v>143</v>
      </c>
      <c r="C28" s="2096"/>
      <c r="D28" s="2097"/>
      <c r="E28" s="340">
        <f>SUM(E15,E19,E26,E27)</f>
        <v>1102353</v>
      </c>
      <c r="F28" s="340">
        <f>SUM(F15,F19,F26,F27)</f>
        <v>1028612</v>
      </c>
      <c r="G28" s="340">
        <f>SUM(G15,G19,G26,G27)</f>
        <v>747650</v>
      </c>
      <c r="H28" s="257">
        <f>SUM(H15,H19,H26,H27)</f>
        <v>858842</v>
      </c>
      <c r="I28" s="22"/>
      <c r="J28" s="22"/>
    </row>
    <row r="29" spans="1:10" ht="33" customHeight="1" thickBot="1">
      <c r="A29" s="35">
        <v>21</v>
      </c>
      <c r="B29" s="258">
        <v>17</v>
      </c>
      <c r="C29" s="493"/>
      <c r="D29" s="493" t="s">
        <v>144</v>
      </c>
      <c r="E29" s="507">
        <v>9526</v>
      </c>
      <c r="F29" s="507"/>
      <c r="G29" s="507">
        <v>7335</v>
      </c>
      <c r="H29" s="256">
        <v>4445</v>
      </c>
      <c r="I29" s="22"/>
      <c r="J29" s="22"/>
    </row>
    <row r="30" spans="1:10" ht="33" customHeight="1" thickBot="1" thickTop="1">
      <c r="A30" s="35">
        <v>22</v>
      </c>
      <c r="B30" s="2098" t="s">
        <v>13</v>
      </c>
      <c r="C30" s="2099"/>
      <c r="D30" s="2100"/>
      <c r="E30" s="508">
        <f>SUM(E28,E29)</f>
        <v>1111879</v>
      </c>
      <c r="F30" s="508">
        <f>SUM(F28,F29)</f>
        <v>1028612</v>
      </c>
      <c r="G30" s="508">
        <f>SUM(G28,G29)</f>
        <v>754985</v>
      </c>
      <c r="H30" s="259">
        <f>SUM(H28,H29)</f>
        <v>863287</v>
      </c>
      <c r="I30" s="22"/>
      <c r="J30" s="22"/>
    </row>
    <row r="31" spans="5:8" ht="12.75">
      <c r="E31" s="462">
        <f>+E30-'1.Onbe'!G31</f>
        <v>0</v>
      </c>
      <c r="F31" s="462">
        <f>+F30-'1.Onbe'!H31</f>
        <v>0</v>
      </c>
      <c r="G31" s="462">
        <f>+G30-'1.Onbe'!I31</f>
        <v>0</v>
      </c>
      <c r="H31" s="462">
        <f>+H30-'1.Onbe'!M31</f>
        <v>0</v>
      </c>
    </row>
  </sheetData>
  <sheetProtection/>
  <mergeCells count="13">
    <mergeCell ref="B1:H1"/>
    <mergeCell ref="G7:G8"/>
    <mergeCell ref="H7:H8"/>
    <mergeCell ref="B28:D28"/>
    <mergeCell ref="B30:D30"/>
    <mergeCell ref="B2:D2"/>
    <mergeCell ref="B3:H3"/>
    <mergeCell ref="B4:H4"/>
    <mergeCell ref="B7:B8"/>
    <mergeCell ref="C7:C8"/>
    <mergeCell ref="D7:D8"/>
    <mergeCell ref="E7:E8"/>
    <mergeCell ref="F7:F8"/>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84"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E334"/>
  <sheetViews>
    <sheetView view="pageBreakPreview" zoomScaleSheetLayoutView="100" zoomScalePageLayoutView="0" workbookViewId="0" topLeftCell="A1">
      <selection activeCell="B1" sqref="B1:M1"/>
    </sheetView>
  </sheetViews>
  <sheetFormatPr defaultColWidth="9.125" defaultRowHeight="12.75"/>
  <cols>
    <col min="1" max="1" width="3.75390625" style="35" customWidth="1"/>
    <col min="2" max="2" width="5.625" style="36" customWidth="1"/>
    <col min="3" max="3" width="5.75390625" style="36" customWidth="1"/>
    <col min="4" max="4" width="4.75390625" style="36" customWidth="1"/>
    <col min="5" max="5" width="60.75390625" style="27" customWidth="1"/>
    <col min="6" max="6" width="6.75390625" style="198" customWidth="1"/>
    <col min="7" max="9" width="10.75390625" style="199" customWidth="1"/>
    <col min="10" max="10" width="13.75390625" style="114" customWidth="1"/>
    <col min="11" max="18" width="14.75390625" style="199" customWidth="1"/>
    <col min="19" max="19" width="9.625" style="199" bestFit="1" customWidth="1"/>
    <col min="20" max="31" width="9.125" style="199" customWidth="1"/>
    <col min="32" max="16384" width="9.125" style="200" customWidth="1"/>
  </cols>
  <sheetData>
    <row r="1" spans="2:13" ht="17.25">
      <c r="B1" s="2116" t="s">
        <v>1100</v>
      </c>
      <c r="C1" s="2116"/>
      <c r="D1" s="2116"/>
      <c r="E1" s="2116"/>
      <c r="F1" s="2116"/>
      <c r="G1" s="2116"/>
      <c r="H1" s="2116"/>
      <c r="I1" s="2116"/>
      <c r="J1" s="2116"/>
      <c r="K1" s="2116"/>
      <c r="L1" s="2116"/>
      <c r="M1" s="2116"/>
    </row>
    <row r="2" spans="1:31" s="503" customFormat="1" ht="18" customHeight="1">
      <c r="A2" s="35"/>
      <c r="B2" s="2075" t="s">
        <v>730</v>
      </c>
      <c r="C2" s="2075"/>
      <c r="D2" s="2075"/>
      <c r="E2" s="2075"/>
      <c r="F2" s="2075"/>
      <c r="G2" s="2075"/>
      <c r="H2" s="347"/>
      <c r="I2" s="347"/>
      <c r="J2" s="348"/>
      <c r="K2" s="347"/>
      <c r="L2" s="347"/>
      <c r="M2" s="347"/>
      <c r="N2" s="347"/>
      <c r="O2" s="347"/>
      <c r="P2" s="347"/>
      <c r="Q2" s="347"/>
      <c r="R2" s="347"/>
      <c r="S2" s="347"/>
      <c r="T2" s="347"/>
      <c r="U2" s="347"/>
      <c r="V2" s="347"/>
      <c r="W2" s="347"/>
      <c r="X2" s="347"/>
      <c r="Y2" s="347"/>
      <c r="Z2" s="347"/>
      <c r="AA2" s="347"/>
      <c r="AB2" s="347"/>
      <c r="AC2" s="347"/>
      <c r="AD2" s="347"/>
      <c r="AE2" s="347"/>
    </row>
    <row r="3" spans="1:31" s="503" customFormat="1" ht="24.75" customHeight="1">
      <c r="A3" s="35"/>
      <c r="B3" s="2076" t="s">
        <v>127</v>
      </c>
      <c r="C3" s="2076"/>
      <c r="D3" s="2076"/>
      <c r="E3" s="2076"/>
      <c r="F3" s="2076"/>
      <c r="G3" s="2076"/>
      <c r="H3" s="2076"/>
      <c r="I3" s="2076"/>
      <c r="J3" s="2076"/>
      <c r="K3" s="2076"/>
      <c r="L3" s="2076"/>
      <c r="M3" s="2076"/>
      <c r="N3" s="2076"/>
      <c r="O3" s="2076"/>
      <c r="P3" s="2076"/>
      <c r="Q3" s="2076"/>
      <c r="R3" s="2076"/>
      <c r="S3" s="347"/>
      <c r="T3" s="347"/>
      <c r="U3" s="347"/>
      <c r="V3" s="347"/>
      <c r="W3" s="347"/>
      <c r="X3" s="347"/>
      <c r="Y3" s="347"/>
      <c r="Z3" s="347"/>
      <c r="AA3" s="347"/>
      <c r="AB3" s="347"/>
      <c r="AC3" s="347"/>
      <c r="AD3" s="347"/>
      <c r="AE3" s="347"/>
    </row>
    <row r="4" spans="1:31" s="503" customFormat="1" ht="24.75" customHeight="1">
      <c r="A4" s="35"/>
      <c r="B4" s="2076" t="s">
        <v>538</v>
      </c>
      <c r="C4" s="2076"/>
      <c r="D4" s="2076"/>
      <c r="E4" s="2076"/>
      <c r="F4" s="2076"/>
      <c r="G4" s="2076"/>
      <c r="H4" s="2076"/>
      <c r="I4" s="2076"/>
      <c r="J4" s="2076"/>
      <c r="K4" s="2076"/>
      <c r="L4" s="2076"/>
      <c r="M4" s="2076"/>
      <c r="N4" s="2076"/>
      <c r="O4" s="2076"/>
      <c r="P4" s="2076"/>
      <c r="Q4" s="2076"/>
      <c r="R4" s="2076"/>
      <c r="S4" s="347"/>
      <c r="T4" s="347"/>
      <c r="U4" s="347"/>
      <c r="V4" s="347"/>
      <c r="W4" s="347"/>
      <c r="X4" s="347"/>
      <c r="Y4" s="347"/>
      <c r="Z4" s="347"/>
      <c r="AA4" s="347"/>
      <c r="AB4" s="347"/>
      <c r="AC4" s="347"/>
      <c r="AD4" s="347"/>
      <c r="AE4" s="347"/>
    </row>
    <row r="5" spans="17:18" ht="18" customHeight="1">
      <c r="Q5" s="2121" t="s">
        <v>0</v>
      </c>
      <c r="R5" s="2121"/>
    </row>
    <row r="6" spans="2:18" s="35" customFormat="1" ht="18" customHeight="1" thickBot="1">
      <c r="B6" s="35" t="s">
        <v>1</v>
      </c>
      <c r="C6" s="35" t="s">
        <v>3</v>
      </c>
      <c r="D6" s="2078" t="s">
        <v>2</v>
      </c>
      <c r="E6" s="2078"/>
      <c r="F6" s="35" t="s">
        <v>4</v>
      </c>
      <c r="G6" s="35" t="s">
        <v>5</v>
      </c>
      <c r="H6" s="35" t="s">
        <v>15</v>
      </c>
      <c r="I6" s="35" t="s">
        <v>16</v>
      </c>
      <c r="J6" s="35" t="s">
        <v>17</v>
      </c>
      <c r="K6" s="35" t="s">
        <v>33</v>
      </c>
      <c r="L6" s="35" t="s">
        <v>29</v>
      </c>
      <c r="M6" s="35" t="s">
        <v>22</v>
      </c>
      <c r="N6" s="35" t="s">
        <v>34</v>
      </c>
      <c r="O6" s="35" t="s">
        <v>35</v>
      </c>
      <c r="P6" s="35" t="s">
        <v>145</v>
      </c>
      <c r="Q6" s="35" t="s">
        <v>146</v>
      </c>
      <c r="R6" s="35" t="s">
        <v>147</v>
      </c>
    </row>
    <row r="7" spans="1:18" s="198" customFormat="1" ht="30" customHeight="1">
      <c r="A7" s="35"/>
      <c r="B7" s="2083" t="s">
        <v>18</v>
      </c>
      <c r="C7" s="2101" t="s">
        <v>19</v>
      </c>
      <c r="D7" s="2087" t="s">
        <v>6</v>
      </c>
      <c r="E7" s="2123"/>
      <c r="F7" s="2125" t="s">
        <v>20</v>
      </c>
      <c r="G7" s="2093" t="s">
        <v>513</v>
      </c>
      <c r="H7" s="2093" t="s">
        <v>536</v>
      </c>
      <c r="I7" s="2127" t="s">
        <v>614</v>
      </c>
      <c r="J7" s="2150" t="s">
        <v>545</v>
      </c>
      <c r="K7" s="2131" t="s">
        <v>36</v>
      </c>
      <c r="L7" s="2132"/>
      <c r="M7" s="2132"/>
      <c r="N7" s="2132"/>
      <c r="O7" s="2133"/>
      <c r="P7" s="2122" t="s">
        <v>148</v>
      </c>
      <c r="Q7" s="2122"/>
      <c r="R7" s="2122"/>
    </row>
    <row r="8" spans="1:18" s="198" customFormat="1" ht="60.75" customHeight="1" thickBot="1">
      <c r="A8" s="35"/>
      <c r="B8" s="2084"/>
      <c r="C8" s="2152"/>
      <c r="D8" s="2089"/>
      <c r="E8" s="2124"/>
      <c r="F8" s="2126"/>
      <c r="G8" s="2094"/>
      <c r="H8" s="2094"/>
      <c r="I8" s="2128"/>
      <c r="J8" s="2151"/>
      <c r="K8" s="1966" t="s">
        <v>37</v>
      </c>
      <c r="L8" s="1966" t="s">
        <v>38</v>
      </c>
      <c r="M8" s="1966" t="s">
        <v>39</v>
      </c>
      <c r="N8" s="1966" t="s">
        <v>205</v>
      </c>
      <c r="O8" s="1966" t="s">
        <v>40</v>
      </c>
      <c r="P8" s="37" t="s">
        <v>213</v>
      </c>
      <c r="Q8" s="1966" t="s">
        <v>214</v>
      </c>
      <c r="R8" s="1966" t="s">
        <v>149</v>
      </c>
    </row>
    <row r="9" spans="1:31" s="28" customFormat="1" ht="22.5" customHeight="1">
      <c r="A9" s="98">
        <v>1</v>
      </c>
      <c r="B9" s="237">
        <v>1</v>
      </c>
      <c r="C9" s="497"/>
      <c r="D9" s="2134" t="s">
        <v>286</v>
      </c>
      <c r="E9" s="2135"/>
      <c r="F9" s="351" t="s">
        <v>22</v>
      </c>
      <c r="G9" s="249">
        <v>212753</v>
      </c>
      <c r="H9" s="249">
        <v>213625</v>
      </c>
      <c r="I9" s="352">
        <v>204045</v>
      </c>
      <c r="J9" s="498"/>
      <c r="K9" s="249"/>
      <c r="L9" s="249"/>
      <c r="M9" s="249"/>
      <c r="N9" s="249"/>
      <c r="O9" s="249"/>
      <c r="P9" s="249"/>
      <c r="Q9" s="249"/>
      <c r="R9" s="272"/>
      <c r="S9" s="88"/>
      <c r="T9" s="88"/>
      <c r="U9" s="88"/>
      <c r="V9" s="88"/>
      <c r="W9" s="88"/>
      <c r="X9" s="88"/>
      <c r="Y9" s="88"/>
      <c r="Z9" s="88"/>
      <c r="AA9" s="88"/>
      <c r="AB9" s="88"/>
      <c r="AC9" s="88"/>
      <c r="AD9" s="88"/>
      <c r="AE9" s="88"/>
    </row>
    <row r="10" spans="1:31" s="28" customFormat="1" ht="18" customHeight="1">
      <c r="A10" s="98">
        <v>2</v>
      </c>
      <c r="B10" s="223"/>
      <c r="C10" s="495"/>
      <c r="D10" s="2061" t="s">
        <v>294</v>
      </c>
      <c r="E10" s="2062"/>
      <c r="F10" s="94"/>
      <c r="G10" s="94"/>
      <c r="H10" s="94"/>
      <c r="I10" s="266"/>
      <c r="J10" s="269"/>
      <c r="K10" s="94"/>
      <c r="L10" s="94"/>
      <c r="M10" s="94"/>
      <c r="N10" s="94"/>
      <c r="O10" s="94"/>
      <c r="P10" s="94"/>
      <c r="Q10" s="94"/>
      <c r="R10" s="102"/>
      <c r="S10" s="88"/>
      <c r="T10" s="88"/>
      <c r="U10" s="88"/>
      <c r="V10" s="88"/>
      <c r="W10" s="88"/>
      <c r="X10" s="88"/>
      <c r="Y10" s="88"/>
      <c r="Z10" s="88"/>
      <c r="AA10" s="88"/>
      <c r="AB10" s="88"/>
      <c r="AC10" s="88"/>
      <c r="AD10" s="88"/>
      <c r="AE10" s="88"/>
    </row>
    <row r="11" spans="1:31" s="642" customFormat="1" ht="18" customHeight="1">
      <c r="A11" s="98">
        <v>3</v>
      </c>
      <c r="B11" s="591"/>
      <c r="C11" s="635"/>
      <c r="D11" s="635"/>
      <c r="E11" s="636" t="s">
        <v>283</v>
      </c>
      <c r="F11" s="613"/>
      <c r="G11" s="613"/>
      <c r="H11" s="613"/>
      <c r="I11" s="637"/>
      <c r="J11" s="638">
        <f>SUM(K11:R11)</f>
        <v>228773</v>
      </c>
      <c r="K11" s="639">
        <v>145314</v>
      </c>
      <c r="L11" s="639">
        <v>25560</v>
      </c>
      <c r="M11" s="639">
        <v>52787</v>
      </c>
      <c r="N11" s="639"/>
      <c r="O11" s="639"/>
      <c r="P11" s="639">
        <v>5112</v>
      </c>
      <c r="Q11" s="639"/>
      <c r="R11" s="640"/>
      <c r="S11" s="641"/>
      <c r="T11" s="641"/>
      <c r="U11" s="641"/>
      <c r="V11" s="641"/>
      <c r="W11" s="641"/>
      <c r="X11" s="641"/>
      <c r="Y11" s="641"/>
      <c r="Z11" s="641"/>
      <c r="AA11" s="641"/>
      <c r="AB11" s="641"/>
      <c r="AC11" s="641"/>
      <c r="AD11" s="641"/>
      <c r="AE11" s="641"/>
    </row>
    <row r="12" spans="1:31" s="642" customFormat="1" ht="18" customHeight="1">
      <c r="A12" s="98">
        <v>4</v>
      </c>
      <c r="B12" s="591"/>
      <c r="C12" s="635"/>
      <c r="D12" s="635"/>
      <c r="E12" s="483" t="s">
        <v>938</v>
      </c>
      <c r="F12" s="613"/>
      <c r="G12" s="613"/>
      <c r="H12" s="613"/>
      <c r="I12" s="637"/>
      <c r="J12" s="269">
        <f>SUM(K12:R12)</f>
        <v>239591</v>
      </c>
      <c r="K12" s="1200">
        <v>147314</v>
      </c>
      <c r="L12" s="1200">
        <v>26175</v>
      </c>
      <c r="M12" s="1200">
        <v>59752</v>
      </c>
      <c r="N12" s="1200"/>
      <c r="O12" s="1200"/>
      <c r="P12" s="1200">
        <v>6350</v>
      </c>
      <c r="Q12" s="639"/>
      <c r="R12" s="640"/>
      <c r="S12" s="641"/>
      <c r="T12" s="641"/>
      <c r="U12" s="641"/>
      <c r="V12" s="641"/>
      <c r="W12" s="641"/>
      <c r="X12" s="641"/>
      <c r="Y12" s="641"/>
      <c r="Z12" s="641"/>
      <c r="AA12" s="641"/>
      <c r="AB12" s="641"/>
      <c r="AC12" s="641"/>
      <c r="AD12" s="641"/>
      <c r="AE12" s="641"/>
    </row>
    <row r="13" spans="1:31" s="642" customFormat="1" ht="18" customHeight="1">
      <c r="A13" s="98">
        <v>5</v>
      </c>
      <c r="B13" s="591"/>
      <c r="C13" s="635"/>
      <c r="D13" s="635"/>
      <c r="E13" s="1146" t="s">
        <v>689</v>
      </c>
      <c r="F13" s="613"/>
      <c r="G13" s="613"/>
      <c r="H13" s="613"/>
      <c r="I13" s="637"/>
      <c r="J13" s="1197">
        <f>SUM(K13:R13)</f>
        <v>0</v>
      </c>
      <c r="K13" s="273">
        <v>-1500</v>
      </c>
      <c r="L13" s="273"/>
      <c r="M13" s="273">
        <v>850</v>
      </c>
      <c r="N13" s="273"/>
      <c r="O13" s="273"/>
      <c r="P13" s="273">
        <v>650</v>
      </c>
      <c r="Q13" s="1198"/>
      <c r="R13" s="1199"/>
      <c r="S13" s="641"/>
      <c r="T13" s="641"/>
      <c r="U13" s="641"/>
      <c r="V13" s="641"/>
      <c r="W13" s="641"/>
      <c r="X13" s="641"/>
      <c r="Y13" s="641"/>
      <c r="Z13" s="641"/>
      <c r="AA13" s="641"/>
      <c r="AB13" s="641"/>
      <c r="AC13" s="641"/>
      <c r="AD13" s="641"/>
      <c r="AE13" s="641"/>
    </row>
    <row r="14" spans="1:31" s="642" customFormat="1" ht="18" customHeight="1">
      <c r="A14" s="98">
        <v>6</v>
      </c>
      <c r="B14" s="591"/>
      <c r="C14" s="635"/>
      <c r="D14" s="635"/>
      <c r="E14" s="483" t="s">
        <v>1091</v>
      </c>
      <c r="F14" s="613"/>
      <c r="G14" s="613"/>
      <c r="H14" s="613"/>
      <c r="I14" s="637"/>
      <c r="J14" s="269">
        <f>SUM(K14:R14)</f>
        <v>239591</v>
      </c>
      <c r="K14" s="1200">
        <f>SUM(K12:K13)</f>
        <v>145814</v>
      </c>
      <c r="L14" s="1200">
        <f>SUM(L12:L13)</f>
        <v>26175</v>
      </c>
      <c r="M14" s="1200">
        <f>SUM(M12:M13)</f>
        <v>60602</v>
      </c>
      <c r="N14" s="1200"/>
      <c r="O14" s="1200"/>
      <c r="P14" s="1200">
        <f>SUM(P12:P13)</f>
        <v>7000</v>
      </c>
      <c r="Q14" s="1200"/>
      <c r="R14" s="1227"/>
      <c r="S14" s="641"/>
      <c r="T14" s="641"/>
      <c r="U14" s="641"/>
      <c r="V14" s="641"/>
      <c r="W14" s="641"/>
      <c r="X14" s="641"/>
      <c r="Y14" s="641"/>
      <c r="Z14" s="641"/>
      <c r="AA14" s="641"/>
      <c r="AB14" s="641"/>
      <c r="AC14" s="641"/>
      <c r="AD14" s="641"/>
      <c r="AE14" s="641"/>
    </row>
    <row r="15" spans="1:31" s="32" customFormat="1" ht="22.5" customHeight="1">
      <c r="A15" s="98">
        <v>7</v>
      </c>
      <c r="B15" s="223">
        <v>2</v>
      </c>
      <c r="C15" s="495"/>
      <c r="D15" s="2059" t="s">
        <v>285</v>
      </c>
      <c r="E15" s="2060"/>
      <c r="F15" s="350" t="s">
        <v>22</v>
      </c>
      <c r="G15" s="94">
        <v>358902</v>
      </c>
      <c r="H15" s="94">
        <v>367090</v>
      </c>
      <c r="I15" s="266">
        <v>376590</v>
      </c>
      <c r="J15" s="269"/>
      <c r="K15" s="94"/>
      <c r="L15" s="94"/>
      <c r="M15" s="94"/>
      <c r="N15" s="94"/>
      <c r="O15" s="94"/>
      <c r="P15" s="94"/>
      <c r="Q15" s="94"/>
      <c r="R15" s="102"/>
      <c r="S15" s="201"/>
      <c r="T15" s="201"/>
      <c r="U15" s="201"/>
      <c r="V15" s="201"/>
      <c r="W15" s="201"/>
      <c r="X15" s="201"/>
      <c r="Y15" s="201"/>
      <c r="Z15" s="201"/>
      <c r="AA15" s="201"/>
      <c r="AB15" s="201"/>
      <c r="AC15" s="201"/>
      <c r="AD15" s="201"/>
      <c r="AE15" s="201"/>
    </row>
    <row r="16" spans="1:31" s="28" customFormat="1" ht="18" customHeight="1">
      <c r="A16" s="98">
        <v>8</v>
      </c>
      <c r="B16" s="223"/>
      <c r="C16" s="495"/>
      <c r="D16" s="2061" t="s">
        <v>284</v>
      </c>
      <c r="E16" s="2062"/>
      <c r="F16" s="94"/>
      <c r="G16" s="94"/>
      <c r="H16" s="94"/>
      <c r="I16" s="266"/>
      <c r="J16" s="269"/>
      <c r="K16" s="94"/>
      <c r="L16" s="94"/>
      <c r="M16" s="94"/>
      <c r="N16" s="94"/>
      <c r="O16" s="94"/>
      <c r="P16" s="94"/>
      <c r="Q16" s="94"/>
      <c r="R16" s="102"/>
      <c r="S16" s="88"/>
      <c r="T16" s="88"/>
      <c r="U16" s="88"/>
      <c r="V16" s="88"/>
      <c r="W16" s="88"/>
      <c r="X16" s="88"/>
      <c r="Y16" s="88"/>
      <c r="Z16" s="88"/>
      <c r="AA16" s="88"/>
      <c r="AB16" s="88"/>
      <c r="AC16" s="88"/>
      <c r="AD16" s="88"/>
      <c r="AE16" s="88"/>
    </row>
    <row r="17" spans="1:31" s="644" customFormat="1" ht="18" customHeight="1">
      <c r="A17" s="98">
        <v>9</v>
      </c>
      <c r="B17" s="591"/>
      <c r="C17" s="635"/>
      <c r="D17" s="635"/>
      <c r="E17" s="636" t="s">
        <v>283</v>
      </c>
      <c r="F17" s="613"/>
      <c r="G17" s="613"/>
      <c r="H17" s="613"/>
      <c r="I17" s="637"/>
      <c r="J17" s="638">
        <f>SUM(K17:R17)</f>
        <v>379260</v>
      </c>
      <c r="K17" s="639">
        <v>251787</v>
      </c>
      <c r="L17" s="639">
        <v>44952</v>
      </c>
      <c r="M17" s="639">
        <v>77711</v>
      </c>
      <c r="N17" s="639"/>
      <c r="O17" s="639"/>
      <c r="P17" s="639">
        <v>4810</v>
      </c>
      <c r="Q17" s="639"/>
      <c r="R17" s="640"/>
      <c r="S17" s="643"/>
      <c r="T17" s="643"/>
      <c r="U17" s="643"/>
      <c r="V17" s="643"/>
      <c r="W17" s="643"/>
      <c r="X17" s="643"/>
      <c r="Y17" s="643"/>
      <c r="Z17" s="643"/>
      <c r="AA17" s="643"/>
      <c r="AB17" s="643"/>
      <c r="AC17" s="643"/>
      <c r="AD17" s="643"/>
      <c r="AE17" s="643"/>
    </row>
    <row r="18" spans="1:31" s="644" customFormat="1" ht="18" customHeight="1">
      <c r="A18" s="98">
        <v>10</v>
      </c>
      <c r="B18" s="591"/>
      <c r="C18" s="635"/>
      <c r="D18" s="635"/>
      <c r="E18" s="483" t="s">
        <v>938</v>
      </c>
      <c r="F18" s="613"/>
      <c r="G18" s="613"/>
      <c r="H18" s="613"/>
      <c r="I18" s="637"/>
      <c r="J18" s="269">
        <f>SUM(K18:R18)</f>
        <v>389181</v>
      </c>
      <c r="K18" s="1200">
        <v>255244</v>
      </c>
      <c r="L18" s="1200">
        <v>45417</v>
      </c>
      <c r="M18" s="1200">
        <v>79490</v>
      </c>
      <c r="N18" s="1200"/>
      <c r="O18" s="1200"/>
      <c r="P18" s="1200">
        <v>9030</v>
      </c>
      <c r="Q18" s="639"/>
      <c r="R18" s="640"/>
      <c r="S18" s="643"/>
      <c r="T18" s="643"/>
      <c r="U18" s="643"/>
      <c r="V18" s="643"/>
      <c r="W18" s="643"/>
      <c r="X18" s="643"/>
      <c r="Y18" s="643"/>
      <c r="Z18" s="643"/>
      <c r="AA18" s="643"/>
      <c r="AB18" s="643"/>
      <c r="AC18" s="643"/>
      <c r="AD18" s="643"/>
      <c r="AE18" s="643"/>
    </row>
    <row r="19" spans="1:31" s="644" customFormat="1" ht="18" customHeight="1">
      <c r="A19" s="98">
        <v>11</v>
      </c>
      <c r="B19" s="591"/>
      <c r="C19" s="635"/>
      <c r="D19" s="635"/>
      <c r="E19" s="1146" t="s">
        <v>725</v>
      </c>
      <c r="F19" s="613"/>
      <c r="G19" s="613"/>
      <c r="H19" s="613"/>
      <c r="I19" s="637"/>
      <c r="J19" s="1197">
        <f>SUM(K19:R19)</f>
        <v>0</v>
      </c>
      <c r="K19" s="273"/>
      <c r="L19" s="273"/>
      <c r="M19" s="273"/>
      <c r="N19" s="273"/>
      <c r="O19" s="273"/>
      <c r="P19" s="273"/>
      <c r="Q19" s="1200"/>
      <c r="R19" s="1227"/>
      <c r="S19" s="643"/>
      <c r="T19" s="643"/>
      <c r="U19" s="643"/>
      <c r="V19" s="643"/>
      <c r="W19" s="643"/>
      <c r="X19" s="643"/>
      <c r="Y19" s="643"/>
      <c r="Z19" s="643"/>
      <c r="AA19" s="643"/>
      <c r="AB19" s="643"/>
      <c r="AC19" s="643"/>
      <c r="AD19" s="643"/>
      <c r="AE19" s="643"/>
    </row>
    <row r="20" spans="1:31" s="644" customFormat="1" ht="18" customHeight="1">
      <c r="A20" s="98">
        <v>12</v>
      </c>
      <c r="B20" s="591"/>
      <c r="C20" s="635"/>
      <c r="D20" s="635"/>
      <c r="E20" s="483" t="s">
        <v>1091</v>
      </c>
      <c r="F20" s="613"/>
      <c r="G20" s="613"/>
      <c r="H20" s="613"/>
      <c r="I20" s="637"/>
      <c r="J20" s="269">
        <f>SUM(K20:R20)</f>
        <v>389181</v>
      </c>
      <c r="K20" s="1200">
        <f>SUM(K18:K19)</f>
        <v>255244</v>
      </c>
      <c r="L20" s="1200">
        <f>SUM(L18:L19)</f>
        <v>45417</v>
      </c>
      <c r="M20" s="1200">
        <f>SUM(M18:M19)</f>
        <v>79490</v>
      </c>
      <c r="N20" s="1200"/>
      <c r="O20" s="1200"/>
      <c r="P20" s="1200">
        <f>SUM(P18:P19)</f>
        <v>9030</v>
      </c>
      <c r="Q20" s="1200"/>
      <c r="R20" s="1227"/>
      <c r="S20" s="643"/>
      <c r="T20" s="643"/>
      <c r="U20" s="643"/>
      <c r="V20" s="643"/>
      <c r="W20" s="643"/>
      <c r="X20" s="643"/>
      <c r="Y20" s="643"/>
      <c r="Z20" s="643"/>
      <c r="AA20" s="643"/>
      <c r="AB20" s="643"/>
      <c r="AC20" s="643"/>
      <c r="AD20" s="643"/>
      <c r="AE20" s="643"/>
    </row>
    <row r="21" spans="1:31" s="28" customFormat="1" ht="22.5" customHeight="1">
      <c r="A21" s="98">
        <v>13</v>
      </c>
      <c r="B21" s="223">
        <v>3</v>
      </c>
      <c r="C21" s="495"/>
      <c r="D21" s="2059" t="s">
        <v>247</v>
      </c>
      <c r="E21" s="2060"/>
      <c r="F21" s="350" t="s">
        <v>22</v>
      </c>
      <c r="G21" s="94">
        <v>431030</v>
      </c>
      <c r="H21" s="94">
        <v>428960</v>
      </c>
      <c r="I21" s="266">
        <v>410352</v>
      </c>
      <c r="J21" s="269"/>
      <c r="K21" s="94"/>
      <c r="L21" s="94"/>
      <c r="M21" s="94"/>
      <c r="N21" s="94"/>
      <c r="O21" s="94"/>
      <c r="P21" s="94"/>
      <c r="Q21" s="94"/>
      <c r="R21" s="102"/>
      <c r="S21" s="88"/>
      <c r="T21" s="88"/>
      <c r="U21" s="88"/>
      <c r="V21" s="88"/>
      <c r="W21" s="88"/>
      <c r="X21" s="88"/>
      <c r="Y21" s="88"/>
      <c r="Z21" s="88"/>
      <c r="AA21" s="88"/>
      <c r="AB21" s="88"/>
      <c r="AC21" s="88"/>
      <c r="AD21" s="88"/>
      <c r="AE21" s="88"/>
    </row>
    <row r="22" spans="1:31" s="25" customFormat="1" ht="18" customHeight="1">
      <c r="A22" s="98">
        <v>14</v>
      </c>
      <c r="B22" s="223"/>
      <c r="C22" s="495"/>
      <c r="D22" s="2061" t="s">
        <v>138</v>
      </c>
      <c r="E22" s="2062"/>
      <c r="F22" s="94"/>
      <c r="G22" s="94"/>
      <c r="H22" s="94"/>
      <c r="I22" s="266"/>
      <c r="J22" s="269"/>
      <c r="K22" s="94"/>
      <c r="L22" s="94"/>
      <c r="M22" s="94"/>
      <c r="N22" s="94"/>
      <c r="O22" s="94"/>
      <c r="P22" s="94"/>
      <c r="Q22" s="94"/>
      <c r="R22" s="102"/>
      <c r="S22" s="34"/>
      <c r="T22" s="34"/>
      <c r="U22" s="34"/>
      <c r="V22" s="34"/>
      <c r="W22" s="34"/>
      <c r="X22" s="34"/>
      <c r="Y22" s="34"/>
      <c r="Z22" s="34"/>
      <c r="AA22" s="34"/>
      <c r="AB22" s="34"/>
      <c r="AC22" s="34"/>
      <c r="AD22" s="34"/>
      <c r="AE22" s="34"/>
    </row>
    <row r="23" spans="1:31" s="642" customFormat="1" ht="18" customHeight="1">
      <c r="A23" s="98">
        <v>15</v>
      </c>
      <c r="B23" s="591"/>
      <c r="C23" s="635"/>
      <c r="D23" s="635"/>
      <c r="E23" s="636" t="s">
        <v>283</v>
      </c>
      <c r="F23" s="613"/>
      <c r="G23" s="613"/>
      <c r="H23" s="613"/>
      <c r="I23" s="637"/>
      <c r="J23" s="638">
        <f>SUM(K23:R23)</f>
        <v>430451</v>
      </c>
      <c r="K23" s="639">
        <v>292892</v>
      </c>
      <c r="L23" s="639">
        <v>52138</v>
      </c>
      <c r="M23" s="639">
        <v>81928</v>
      </c>
      <c r="N23" s="639"/>
      <c r="O23" s="639"/>
      <c r="P23" s="639">
        <v>3493</v>
      </c>
      <c r="Q23" s="639"/>
      <c r="R23" s="640"/>
      <c r="S23" s="641"/>
      <c r="T23" s="641"/>
      <c r="U23" s="641"/>
      <c r="V23" s="641"/>
      <c r="W23" s="641"/>
      <c r="X23" s="641"/>
      <c r="Y23" s="641"/>
      <c r="Z23" s="641"/>
      <c r="AA23" s="641"/>
      <c r="AB23" s="641"/>
      <c r="AC23" s="641"/>
      <c r="AD23" s="641"/>
      <c r="AE23" s="641"/>
    </row>
    <row r="24" spans="1:31" s="642" customFormat="1" ht="18" customHeight="1">
      <c r="A24" s="98">
        <v>16</v>
      </c>
      <c r="B24" s="591"/>
      <c r="C24" s="635"/>
      <c r="D24" s="635"/>
      <c r="E24" s="483" t="s">
        <v>938</v>
      </c>
      <c r="F24" s="613"/>
      <c r="G24" s="613"/>
      <c r="H24" s="613"/>
      <c r="I24" s="637"/>
      <c r="J24" s="269">
        <f>SUM(K24:R24)</f>
        <v>443946</v>
      </c>
      <c r="K24" s="1200">
        <v>298580</v>
      </c>
      <c r="L24" s="1200">
        <v>53014</v>
      </c>
      <c r="M24" s="1200">
        <v>88859</v>
      </c>
      <c r="N24" s="1200"/>
      <c r="O24" s="1200"/>
      <c r="P24" s="1200">
        <v>3493</v>
      </c>
      <c r="Q24" s="639"/>
      <c r="R24" s="640"/>
      <c r="S24" s="641"/>
      <c r="T24" s="641"/>
      <c r="U24" s="641"/>
      <c r="V24" s="641"/>
      <c r="W24" s="641"/>
      <c r="X24" s="641"/>
      <c r="Y24" s="641"/>
      <c r="Z24" s="641"/>
      <c r="AA24" s="641"/>
      <c r="AB24" s="641"/>
      <c r="AC24" s="641"/>
      <c r="AD24" s="641"/>
      <c r="AE24" s="641"/>
    </row>
    <row r="25" spans="1:31" s="642" customFormat="1" ht="18" customHeight="1">
      <c r="A25" s="98">
        <v>17</v>
      </c>
      <c r="B25" s="591"/>
      <c r="C25" s="635"/>
      <c r="D25" s="635"/>
      <c r="E25" s="1146" t="s">
        <v>725</v>
      </c>
      <c r="F25" s="613"/>
      <c r="G25" s="613"/>
      <c r="H25" s="613"/>
      <c r="I25" s="637"/>
      <c r="J25" s="1197">
        <f>SUM(K25:R25)</f>
        <v>0</v>
      </c>
      <c r="K25" s="273"/>
      <c r="L25" s="273"/>
      <c r="M25" s="273"/>
      <c r="N25" s="639"/>
      <c r="O25" s="639"/>
      <c r="P25" s="639"/>
      <c r="Q25" s="639"/>
      <c r="R25" s="640"/>
      <c r="S25" s="641"/>
      <c r="T25" s="641"/>
      <c r="U25" s="641"/>
      <c r="V25" s="641"/>
      <c r="W25" s="641"/>
      <c r="X25" s="641"/>
      <c r="Y25" s="641"/>
      <c r="Z25" s="641"/>
      <c r="AA25" s="641"/>
      <c r="AB25" s="641"/>
      <c r="AC25" s="641"/>
      <c r="AD25" s="641"/>
      <c r="AE25" s="641"/>
    </row>
    <row r="26" spans="1:31" s="642" customFormat="1" ht="18" customHeight="1">
      <c r="A26" s="98">
        <v>18</v>
      </c>
      <c r="B26" s="591"/>
      <c r="C26" s="635"/>
      <c r="D26" s="635"/>
      <c r="E26" s="483" t="s">
        <v>1091</v>
      </c>
      <c r="F26" s="613"/>
      <c r="G26" s="613"/>
      <c r="H26" s="613"/>
      <c r="I26" s="637"/>
      <c r="J26" s="269">
        <f>SUM(K26:R26)</f>
        <v>443946</v>
      </c>
      <c r="K26" s="1200">
        <f>SUM(K24:K25)</f>
        <v>298580</v>
      </c>
      <c r="L26" s="1200">
        <f>SUM(L24:L25)</f>
        <v>53014</v>
      </c>
      <c r="M26" s="1200">
        <f>SUM(M24:M25)</f>
        <v>88859</v>
      </c>
      <c r="N26" s="1200"/>
      <c r="O26" s="1200"/>
      <c r="P26" s="1200">
        <f>SUM(P24:P25)</f>
        <v>3493</v>
      </c>
      <c r="Q26" s="1200"/>
      <c r="R26" s="1227"/>
      <c r="S26" s="641"/>
      <c r="T26" s="641"/>
      <c r="U26" s="641"/>
      <c r="V26" s="641"/>
      <c r="W26" s="641"/>
      <c r="X26" s="641"/>
      <c r="Y26" s="641"/>
      <c r="Z26" s="641"/>
      <c r="AA26" s="641"/>
      <c r="AB26" s="641"/>
      <c r="AC26" s="641"/>
      <c r="AD26" s="641"/>
      <c r="AE26" s="641"/>
    </row>
    <row r="27" spans="1:31" s="28" customFormat="1" ht="22.5" customHeight="1">
      <c r="A27" s="98">
        <v>19</v>
      </c>
      <c r="B27" s="223">
        <v>4</v>
      </c>
      <c r="C27" s="495"/>
      <c r="D27" s="2059" t="s">
        <v>248</v>
      </c>
      <c r="E27" s="2060"/>
      <c r="F27" s="350" t="s">
        <v>22</v>
      </c>
      <c r="G27" s="94">
        <v>318994</v>
      </c>
      <c r="H27" s="94">
        <v>319512</v>
      </c>
      <c r="I27" s="266">
        <v>314958</v>
      </c>
      <c r="J27" s="269"/>
      <c r="K27" s="94"/>
      <c r="L27" s="94"/>
      <c r="M27" s="94"/>
      <c r="N27" s="94"/>
      <c r="O27" s="94"/>
      <c r="P27" s="94"/>
      <c r="Q27" s="94"/>
      <c r="R27" s="102"/>
      <c r="S27" s="88"/>
      <c r="T27" s="88"/>
      <c r="U27" s="88"/>
      <c r="V27" s="88"/>
      <c r="W27" s="88"/>
      <c r="X27" s="88"/>
      <c r="Y27" s="88"/>
      <c r="Z27" s="88"/>
      <c r="AA27" s="88"/>
      <c r="AB27" s="88"/>
      <c r="AC27" s="88"/>
      <c r="AD27" s="88"/>
      <c r="AE27" s="88"/>
    </row>
    <row r="28" spans="1:31" s="28" customFormat="1" ht="18" customHeight="1">
      <c r="A28" s="98">
        <v>20</v>
      </c>
      <c r="B28" s="223"/>
      <c r="C28" s="495"/>
      <c r="D28" s="2061" t="s">
        <v>139</v>
      </c>
      <c r="E28" s="2062"/>
      <c r="F28" s="94"/>
      <c r="G28" s="94"/>
      <c r="H28" s="94"/>
      <c r="I28" s="266"/>
      <c r="J28" s="269"/>
      <c r="K28" s="94"/>
      <c r="L28" s="94"/>
      <c r="M28" s="94"/>
      <c r="N28" s="94"/>
      <c r="O28" s="94"/>
      <c r="P28" s="94"/>
      <c r="Q28" s="94"/>
      <c r="R28" s="102"/>
      <c r="S28" s="88"/>
      <c r="T28" s="88"/>
      <c r="U28" s="88"/>
      <c r="V28" s="88"/>
      <c r="W28" s="88"/>
      <c r="X28" s="88"/>
      <c r="Y28" s="88"/>
      <c r="Z28" s="88"/>
      <c r="AA28" s="88"/>
      <c r="AB28" s="88"/>
      <c r="AC28" s="88"/>
      <c r="AD28" s="88"/>
      <c r="AE28" s="88"/>
    </row>
    <row r="29" spans="1:31" s="642" customFormat="1" ht="18" customHeight="1">
      <c r="A29" s="98">
        <v>21</v>
      </c>
      <c r="B29" s="591"/>
      <c r="C29" s="635"/>
      <c r="D29" s="635"/>
      <c r="E29" s="636" t="s">
        <v>283</v>
      </c>
      <c r="F29" s="613"/>
      <c r="G29" s="613"/>
      <c r="H29" s="613"/>
      <c r="I29" s="637"/>
      <c r="J29" s="638">
        <f>SUM(K29:R29)</f>
        <v>340680</v>
      </c>
      <c r="K29" s="639">
        <v>231028</v>
      </c>
      <c r="L29" s="639">
        <v>41094</v>
      </c>
      <c r="M29" s="639">
        <v>65297</v>
      </c>
      <c r="N29" s="639"/>
      <c r="O29" s="639"/>
      <c r="P29" s="639">
        <v>3261</v>
      </c>
      <c r="Q29" s="639"/>
      <c r="R29" s="640"/>
      <c r="S29" s="641"/>
      <c r="T29" s="641"/>
      <c r="U29" s="641"/>
      <c r="V29" s="641"/>
      <c r="W29" s="641"/>
      <c r="X29" s="641"/>
      <c r="Y29" s="641"/>
      <c r="Z29" s="641"/>
      <c r="AA29" s="641"/>
      <c r="AB29" s="641"/>
      <c r="AC29" s="641"/>
      <c r="AD29" s="641"/>
      <c r="AE29" s="641"/>
    </row>
    <row r="30" spans="1:31" s="642" customFormat="1" ht="18" customHeight="1">
      <c r="A30" s="98">
        <v>22</v>
      </c>
      <c r="B30" s="591"/>
      <c r="C30" s="635"/>
      <c r="D30" s="635"/>
      <c r="E30" s="483" t="s">
        <v>938</v>
      </c>
      <c r="F30" s="613"/>
      <c r="G30" s="613"/>
      <c r="H30" s="613"/>
      <c r="I30" s="637"/>
      <c r="J30" s="269">
        <f>SUM(K30:R30)</f>
        <v>351375</v>
      </c>
      <c r="K30" s="1200">
        <v>233448</v>
      </c>
      <c r="L30" s="1200">
        <v>41913</v>
      </c>
      <c r="M30" s="1200">
        <v>72423</v>
      </c>
      <c r="N30" s="1200"/>
      <c r="O30" s="1200"/>
      <c r="P30" s="1200">
        <v>3591</v>
      </c>
      <c r="Q30" s="639"/>
      <c r="R30" s="640"/>
      <c r="S30" s="641"/>
      <c r="T30" s="641"/>
      <c r="U30" s="641"/>
      <c r="V30" s="641"/>
      <c r="W30" s="641"/>
      <c r="X30" s="641"/>
      <c r="Y30" s="641"/>
      <c r="Z30" s="641"/>
      <c r="AA30" s="641"/>
      <c r="AB30" s="641"/>
      <c r="AC30" s="641"/>
      <c r="AD30" s="641"/>
      <c r="AE30" s="641"/>
    </row>
    <row r="31" spans="1:31" s="642" customFormat="1" ht="18" customHeight="1">
      <c r="A31" s="98">
        <v>23</v>
      </c>
      <c r="B31" s="591"/>
      <c r="C31" s="635"/>
      <c r="D31" s="635"/>
      <c r="E31" s="1146" t="s">
        <v>725</v>
      </c>
      <c r="F31" s="613"/>
      <c r="G31" s="613"/>
      <c r="H31" s="613"/>
      <c r="I31" s="637"/>
      <c r="J31" s="1197">
        <f>SUM(K31:R31)</f>
        <v>0</v>
      </c>
      <c r="K31" s="273"/>
      <c r="L31" s="273"/>
      <c r="M31" s="273"/>
      <c r="N31" s="639"/>
      <c r="O31" s="639"/>
      <c r="P31" s="273"/>
      <c r="Q31" s="639"/>
      <c r="R31" s="640"/>
      <c r="S31" s="641"/>
      <c r="T31" s="641"/>
      <c r="U31" s="641"/>
      <c r="V31" s="641"/>
      <c r="W31" s="641"/>
      <c r="X31" s="641"/>
      <c r="Y31" s="641"/>
      <c r="Z31" s="641"/>
      <c r="AA31" s="641"/>
      <c r="AB31" s="641"/>
      <c r="AC31" s="641"/>
      <c r="AD31" s="641"/>
      <c r="AE31" s="641"/>
    </row>
    <row r="32" spans="1:31" s="642" customFormat="1" ht="18" customHeight="1">
      <c r="A32" s="98">
        <v>24</v>
      </c>
      <c r="B32" s="591"/>
      <c r="C32" s="635"/>
      <c r="D32" s="635"/>
      <c r="E32" s="483" t="s">
        <v>1091</v>
      </c>
      <c r="F32" s="613"/>
      <c r="G32" s="613"/>
      <c r="H32" s="613"/>
      <c r="I32" s="637"/>
      <c r="J32" s="269">
        <f>SUM(K32:R32)</f>
        <v>351375</v>
      </c>
      <c r="K32" s="1200">
        <f>SUM(K30:K31)</f>
        <v>233448</v>
      </c>
      <c r="L32" s="1200">
        <f>SUM(L30:L31)</f>
        <v>41913</v>
      </c>
      <c r="M32" s="1200">
        <f>SUM(M30:M31)</f>
        <v>72423</v>
      </c>
      <c r="N32" s="1200"/>
      <c r="O32" s="1200"/>
      <c r="P32" s="1200">
        <f>SUM(P30:P31)</f>
        <v>3591</v>
      </c>
      <c r="Q32" s="1200"/>
      <c r="R32" s="1227"/>
      <c r="S32" s="641"/>
      <c r="T32" s="641"/>
      <c r="U32" s="641"/>
      <c r="V32" s="641"/>
      <c r="W32" s="641"/>
      <c r="X32" s="641"/>
      <c r="Y32" s="641"/>
      <c r="Z32" s="641"/>
      <c r="AA32" s="641"/>
      <c r="AB32" s="641"/>
      <c r="AC32" s="641"/>
      <c r="AD32" s="641"/>
      <c r="AE32" s="641"/>
    </row>
    <row r="33" spans="1:31" s="32" customFormat="1" ht="22.5" customHeight="1">
      <c r="A33" s="98">
        <v>25</v>
      </c>
      <c r="B33" s="223">
        <v>5</v>
      </c>
      <c r="C33" s="495"/>
      <c r="D33" s="2059" t="s">
        <v>249</v>
      </c>
      <c r="E33" s="2060"/>
      <c r="F33" s="350" t="s">
        <v>22</v>
      </c>
      <c r="G33" s="94">
        <v>350092</v>
      </c>
      <c r="H33" s="94">
        <v>341538</v>
      </c>
      <c r="I33" s="266">
        <v>343526</v>
      </c>
      <c r="J33" s="269"/>
      <c r="K33" s="94"/>
      <c r="L33" s="94"/>
      <c r="M33" s="94"/>
      <c r="N33" s="261"/>
      <c r="O33" s="261"/>
      <c r="P33" s="261"/>
      <c r="Q33" s="261"/>
      <c r="R33" s="262"/>
      <c r="S33" s="201"/>
      <c r="T33" s="201"/>
      <c r="U33" s="201"/>
      <c r="V33" s="201"/>
      <c r="W33" s="201"/>
      <c r="X33" s="201"/>
      <c r="Y33" s="201"/>
      <c r="Z33" s="201"/>
      <c r="AA33" s="201"/>
      <c r="AB33" s="201"/>
      <c r="AC33" s="201"/>
      <c r="AD33" s="201"/>
      <c r="AE33" s="201"/>
    </row>
    <row r="34" spans="1:31" s="28" customFormat="1" ht="18" customHeight="1">
      <c r="A34" s="98">
        <v>26</v>
      </c>
      <c r="B34" s="223"/>
      <c r="C34" s="495"/>
      <c r="D34" s="2061" t="s">
        <v>140</v>
      </c>
      <c r="E34" s="2062"/>
      <c r="F34" s="94"/>
      <c r="G34" s="94"/>
      <c r="H34" s="94"/>
      <c r="I34" s="266"/>
      <c r="J34" s="269"/>
      <c r="K34" s="94"/>
      <c r="L34" s="94"/>
      <c r="M34" s="94"/>
      <c r="N34" s="261"/>
      <c r="O34" s="261"/>
      <c r="P34" s="261"/>
      <c r="Q34" s="261"/>
      <c r="R34" s="262"/>
      <c r="S34" s="88"/>
      <c r="T34" s="88"/>
      <c r="U34" s="88"/>
      <c r="V34" s="88"/>
      <c r="W34" s="88"/>
      <c r="X34" s="88"/>
      <c r="Y34" s="88"/>
      <c r="Z34" s="88"/>
      <c r="AA34" s="88"/>
      <c r="AB34" s="88"/>
      <c r="AC34" s="88"/>
      <c r="AD34" s="88"/>
      <c r="AE34" s="88"/>
    </row>
    <row r="35" spans="1:31" s="644" customFormat="1" ht="18" customHeight="1">
      <c r="A35" s="98">
        <v>27</v>
      </c>
      <c r="B35" s="591"/>
      <c r="C35" s="635"/>
      <c r="D35" s="635"/>
      <c r="E35" s="636" t="s">
        <v>283</v>
      </c>
      <c r="F35" s="613"/>
      <c r="G35" s="613"/>
      <c r="H35" s="613"/>
      <c r="I35" s="637"/>
      <c r="J35" s="638">
        <f>SUM(K35:R35)</f>
        <v>362829</v>
      </c>
      <c r="K35" s="639">
        <v>226356</v>
      </c>
      <c r="L35" s="639">
        <v>40179</v>
      </c>
      <c r="M35" s="639">
        <v>88800</v>
      </c>
      <c r="N35" s="639"/>
      <c r="O35" s="639"/>
      <c r="P35" s="639">
        <v>7494</v>
      </c>
      <c r="Q35" s="639"/>
      <c r="R35" s="640"/>
      <c r="S35" s="643"/>
      <c r="T35" s="643"/>
      <c r="U35" s="643"/>
      <c r="V35" s="643"/>
      <c r="W35" s="643"/>
      <c r="X35" s="643"/>
      <c r="Y35" s="643"/>
      <c r="Z35" s="643"/>
      <c r="AA35" s="643"/>
      <c r="AB35" s="643"/>
      <c r="AC35" s="643"/>
      <c r="AD35" s="643"/>
      <c r="AE35" s="643"/>
    </row>
    <row r="36" spans="1:31" s="644" customFormat="1" ht="18" customHeight="1">
      <c r="A36" s="98">
        <v>28</v>
      </c>
      <c r="B36" s="591"/>
      <c r="C36" s="635"/>
      <c r="D36" s="635"/>
      <c r="E36" s="483" t="s">
        <v>938</v>
      </c>
      <c r="F36" s="613"/>
      <c r="G36" s="613"/>
      <c r="H36" s="613"/>
      <c r="I36" s="637"/>
      <c r="J36" s="269">
        <f>SUM(K36:R36)</f>
        <v>373591</v>
      </c>
      <c r="K36" s="1200">
        <v>229357</v>
      </c>
      <c r="L36" s="1200">
        <v>40894</v>
      </c>
      <c r="M36" s="1200">
        <v>93846</v>
      </c>
      <c r="N36" s="1200"/>
      <c r="O36" s="1200"/>
      <c r="P36" s="1200">
        <v>9494</v>
      </c>
      <c r="Q36" s="639"/>
      <c r="R36" s="640"/>
      <c r="S36" s="643"/>
      <c r="T36" s="643"/>
      <c r="U36" s="643"/>
      <c r="V36" s="643"/>
      <c r="W36" s="643"/>
      <c r="X36" s="643"/>
      <c r="Y36" s="643"/>
      <c r="Z36" s="643"/>
      <c r="AA36" s="643"/>
      <c r="AB36" s="643"/>
      <c r="AC36" s="643"/>
      <c r="AD36" s="643"/>
      <c r="AE36" s="643"/>
    </row>
    <row r="37" spans="1:31" s="644" customFormat="1" ht="18" customHeight="1">
      <c r="A37" s="98">
        <v>29</v>
      </c>
      <c r="B37" s="591"/>
      <c r="C37" s="635"/>
      <c r="D37" s="635"/>
      <c r="E37" s="1146" t="s">
        <v>725</v>
      </c>
      <c r="F37" s="613"/>
      <c r="G37" s="613"/>
      <c r="H37" s="613"/>
      <c r="I37" s="637"/>
      <c r="J37" s="1197">
        <f>SUM(K37:R37)</f>
        <v>0</v>
      </c>
      <c r="K37" s="273"/>
      <c r="L37" s="273"/>
      <c r="M37" s="273"/>
      <c r="N37" s="273"/>
      <c r="O37" s="273"/>
      <c r="P37" s="273"/>
      <c r="Q37" s="639"/>
      <c r="R37" s="640"/>
      <c r="S37" s="643"/>
      <c r="T37" s="643"/>
      <c r="U37" s="643"/>
      <c r="V37" s="643"/>
      <c r="W37" s="643"/>
      <c r="X37" s="643"/>
      <c r="Y37" s="643"/>
      <c r="Z37" s="643"/>
      <c r="AA37" s="643"/>
      <c r="AB37" s="643"/>
      <c r="AC37" s="643"/>
      <c r="AD37" s="643"/>
      <c r="AE37" s="643"/>
    </row>
    <row r="38" spans="1:31" s="644" customFormat="1" ht="18" customHeight="1">
      <c r="A38" s="98">
        <v>30</v>
      </c>
      <c r="B38" s="591"/>
      <c r="C38" s="635"/>
      <c r="D38" s="635"/>
      <c r="E38" s="483" t="s">
        <v>1091</v>
      </c>
      <c r="F38" s="613"/>
      <c r="G38" s="613"/>
      <c r="H38" s="613"/>
      <c r="I38" s="637"/>
      <c r="J38" s="269">
        <f>SUM(K38:R38)</f>
        <v>373591</v>
      </c>
      <c r="K38" s="1200">
        <f>SUM(K36:K37)</f>
        <v>229357</v>
      </c>
      <c r="L38" s="1200">
        <f>SUM(L36:L37)</f>
        <v>40894</v>
      </c>
      <c r="M38" s="1200">
        <f>SUM(M36:M37)</f>
        <v>93846</v>
      </c>
      <c r="N38" s="1200"/>
      <c r="O38" s="1200"/>
      <c r="P38" s="1200">
        <f>SUM(P36:P37)</f>
        <v>9494</v>
      </c>
      <c r="Q38" s="639"/>
      <c r="R38" s="640"/>
      <c r="S38" s="643"/>
      <c r="T38" s="643"/>
      <c r="U38" s="643"/>
      <c r="V38" s="643"/>
      <c r="W38" s="643"/>
      <c r="X38" s="643"/>
      <c r="Y38" s="643"/>
      <c r="Z38" s="643"/>
      <c r="AA38" s="643"/>
      <c r="AB38" s="643"/>
      <c r="AC38" s="643"/>
      <c r="AD38" s="643"/>
      <c r="AE38" s="643"/>
    </row>
    <row r="39" spans="1:31" s="29" customFormat="1" ht="22.5" customHeight="1">
      <c r="A39" s="98">
        <v>31</v>
      </c>
      <c r="B39" s="223">
        <v>6</v>
      </c>
      <c r="C39" s="495"/>
      <c r="D39" s="2059" t="s">
        <v>250</v>
      </c>
      <c r="E39" s="2060"/>
      <c r="F39" s="350" t="s">
        <v>22</v>
      </c>
      <c r="G39" s="94">
        <v>168688</v>
      </c>
      <c r="H39" s="94">
        <v>172406</v>
      </c>
      <c r="I39" s="266">
        <v>171451</v>
      </c>
      <c r="J39" s="269"/>
      <c r="K39" s="94"/>
      <c r="L39" s="94"/>
      <c r="M39" s="94"/>
      <c r="N39" s="261"/>
      <c r="O39" s="261"/>
      <c r="P39" s="261"/>
      <c r="Q39" s="261"/>
      <c r="R39" s="262"/>
      <c r="S39" s="113"/>
      <c r="T39" s="113"/>
      <c r="U39" s="113"/>
      <c r="V39" s="113"/>
      <c r="W39" s="113"/>
      <c r="X39" s="113"/>
      <c r="Y39" s="113"/>
      <c r="Z39" s="113"/>
      <c r="AA39" s="113"/>
      <c r="AB39" s="113"/>
      <c r="AC39" s="113"/>
      <c r="AD39" s="113"/>
      <c r="AE39" s="113"/>
    </row>
    <row r="40" spans="1:31" s="32" customFormat="1" ht="18" customHeight="1">
      <c r="A40" s="98">
        <v>32</v>
      </c>
      <c r="B40" s="223"/>
      <c r="C40" s="495"/>
      <c r="D40" s="2061" t="s">
        <v>141</v>
      </c>
      <c r="E40" s="2062"/>
      <c r="F40" s="94"/>
      <c r="G40" s="94"/>
      <c r="H40" s="94"/>
      <c r="I40" s="266"/>
      <c r="J40" s="269"/>
      <c r="K40" s="94"/>
      <c r="L40" s="94"/>
      <c r="M40" s="94"/>
      <c r="N40" s="261"/>
      <c r="O40" s="261"/>
      <c r="P40" s="261"/>
      <c r="Q40" s="261"/>
      <c r="R40" s="262"/>
      <c r="S40" s="201"/>
      <c r="T40" s="201"/>
      <c r="U40" s="201"/>
      <c r="V40" s="201"/>
      <c r="W40" s="201"/>
      <c r="X40" s="201"/>
      <c r="Y40" s="201"/>
      <c r="Z40" s="201"/>
      <c r="AA40" s="201"/>
      <c r="AB40" s="201"/>
      <c r="AC40" s="201"/>
      <c r="AD40" s="201"/>
      <c r="AE40" s="201"/>
    </row>
    <row r="41" spans="1:31" s="644" customFormat="1" ht="18" customHeight="1">
      <c r="A41" s="98">
        <v>33</v>
      </c>
      <c r="B41" s="591"/>
      <c r="C41" s="635"/>
      <c r="D41" s="635"/>
      <c r="E41" s="636" t="s">
        <v>283</v>
      </c>
      <c r="F41" s="613"/>
      <c r="G41" s="613"/>
      <c r="H41" s="613"/>
      <c r="I41" s="637"/>
      <c r="J41" s="638">
        <f>SUM(K41:R41)</f>
        <v>206083</v>
      </c>
      <c r="K41" s="639">
        <v>130459</v>
      </c>
      <c r="L41" s="639">
        <v>23235</v>
      </c>
      <c r="M41" s="639">
        <v>39256</v>
      </c>
      <c r="N41" s="639"/>
      <c r="O41" s="639"/>
      <c r="P41" s="639">
        <v>13133</v>
      </c>
      <c r="Q41" s="639"/>
      <c r="R41" s="640"/>
      <c r="S41" s="643"/>
      <c r="T41" s="643"/>
      <c r="U41" s="643"/>
      <c r="V41" s="643"/>
      <c r="W41" s="643"/>
      <c r="X41" s="643"/>
      <c r="Y41" s="643"/>
      <c r="Z41" s="643"/>
      <c r="AA41" s="643"/>
      <c r="AB41" s="643"/>
      <c r="AC41" s="643"/>
      <c r="AD41" s="643"/>
      <c r="AE41" s="643"/>
    </row>
    <row r="42" spans="1:31" s="644" customFormat="1" ht="18" customHeight="1">
      <c r="A42" s="98">
        <v>34</v>
      </c>
      <c r="B42" s="591"/>
      <c r="C42" s="635"/>
      <c r="D42" s="1178"/>
      <c r="E42" s="483" t="s">
        <v>938</v>
      </c>
      <c r="F42" s="613"/>
      <c r="G42" s="613"/>
      <c r="H42" s="613"/>
      <c r="I42" s="637"/>
      <c r="J42" s="269">
        <f>SUM(K42:R42)</f>
        <v>209248</v>
      </c>
      <c r="K42" s="1200">
        <v>131116</v>
      </c>
      <c r="L42" s="1200">
        <v>23337</v>
      </c>
      <c r="M42" s="1200">
        <v>41662</v>
      </c>
      <c r="N42" s="1200"/>
      <c r="O42" s="1200"/>
      <c r="P42" s="1200">
        <v>13133</v>
      </c>
      <c r="Q42" s="639"/>
      <c r="R42" s="640"/>
      <c r="S42" s="643"/>
      <c r="T42" s="643"/>
      <c r="U42" s="643"/>
      <c r="V42" s="643"/>
      <c r="W42" s="643"/>
      <c r="X42" s="643"/>
      <c r="Y42" s="643"/>
      <c r="Z42" s="643"/>
      <c r="AA42" s="643"/>
      <c r="AB42" s="643"/>
      <c r="AC42" s="643"/>
      <c r="AD42" s="643"/>
      <c r="AE42" s="643"/>
    </row>
    <row r="43" spans="1:31" s="644" customFormat="1" ht="18" customHeight="1">
      <c r="A43" s="98">
        <v>35</v>
      </c>
      <c r="B43" s="591"/>
      <c r="C43" s="635"/>
      <c r="D43" s="1178"/>
      <c r="E43" s="1146" t="s">
        <v>674</v>
      </c>
      <c r="F43" s="613"/>
      <c r="G43" s="613"/>
      <c r="H43" s="613"/>
      <c r="I43" s="637"/>
      <c r="J43" s="1197">
        <f>SUM(K43:R43)</f>
        <v>0</v>
      </c>
      <c r="K43" s="273"/>
      <c r="L43" s="273"/>
      <c r="M43" s="273"/>
      <c r="N43" s="639"/>
      <c r="O43" s="639"/>
      <c r="P43" s="639"/>
      <c r="Q43" s="639"/>
      <c r="R43" s="640"/>
      <c r="S43" s="643"/>
      <c r="T43" s="643"/>
      <c r="U43" s="643"/>
      <c r="V43" s="643"/>
      <c r="W43" s="643"/>
      <c r="X43" s="643"/>
      <c r="Y43" s="643"/>
      <c r="Z43" s="643"/>
      <c r="AA43" s="643"/>
      <c r="AB43" s="643"/>
      <c r="AC43" s="643"/>
      <c r="AD43" s="643"/>
      <c r="AE43" s="643"/>
    </row>
    <row r="44" spans="1:31" s="644" customFormat="1" ht="18" customHeight="1">
      <c r="A44" s="98">
        <v>36</v>
      </c>
      <c r="B44" s="591"/>
      <c r="C44" s="635"/>
      <c r="D44" s="1178"/>
      <c r="E44" s="483" t="s">
        <v>1091</v>
      </c>
      <c r="F44" s="613"/>
      <c r="G44" s="613"/>
      <c r="H44" s="613"/>
      <c r="I44" s="637"/>
      <c r="J44" s="269">
        <f>SUM(K44:R44)</f>
        <v>209248</v>
      </c>
      <c r="K44" s="1200">
        <f>SUM(K42:K43)</f>
        <v>131116</v>
      </c>
      <c r="L44" s="1200">
        <f>SUM(L42:L43)</f>
        <v>23337</v>
      </c>
      <c r="M44" s="1200">
        <f>SUM(M42:M43)</f>
        <v>41662</v>
      </c>
      <c r="N44" s="1200"/>
      <c r="O44" s="1200"/>
      <c r="P44" s="1200">
        <f>SUM(P42:P43)</f>
        <v>13133</v>
      </c>
      <c r="Q44" s="1200"/>
      <c r="R44" s="640"/>
      <c r="S44" s="643"/>
      <c r="T44" s="643"/>
      <c r="U44" s="643"/>
      <c r="V44" s="643"/>
      <c r="W44" s="643"/>
      <c r="X44" s="643"/>
      <c r="Y44" s="643"/>
      <c r="Z44" s="643"/>
      <c r="AA44" s="643"/>
      <c r="AB44" s="643"/>
      <c r="AC44" s="643"/>
      <c r="AD44" s="643"/>
      <c r="AE44" s="643"/>
    </row>
    <row r="45" spans="1:31" s="29" customFormat="1" ht="18" customHeight="1">
      <c r="A45" s="98">
        <v>37</v>
      </c>
      <c r="B45" s="227"/>
      <c r="C45" s="495">
        <v>1</v>
      </c>
      <c r="D45" s="2061" t="s">
        <v>137</v>
      </c>
      <c r="E45" s="2062"/>
      <c r="F45" s="350"/>
      <c r="G45" s="94">
        <v>179</v>
      </c>
      <c r="H45" s="94">
        <v>2225</v>
      </c>
      <c r="I45" s="266">
        <v>0</v>
      </c>
      <c r="J45" s="268"/>
      <c r="K45" s="265"/>
      <c r="L45" s="265"/>
      <c r="M45" s="263"/>
      <c r="N45" s="263"/>
      <c r="O45" s="263"/>
      <c r="P45" s="263"/>
      <c r="Q45" s="263"/>
      <c r="R45" s="264"/>
      <c r="S45" s="113"/>
      <c r="T45" s="113"/>
      <c r="U45" s="113"/>
      <c r="V45" s="113"/>
      <c r="W45" s="113"/>
      <c r="X45" s="113"/>
      <c r="Y45" s="113"/>
      <c r="Z45" s="113"/>
      <c r="AA45" s="113"/>
      <c r="AB45" s="113"/>
      <c r="AC45" s="113"/>
      <c r="AD45" s="113"/>
      <c r="AE45" s="113"/>
    </row>
    <row r="46" spans="1:31" s="642" customFormat="1" ht="18" customHeight="1" thickBot="1">
      <c r="A46" s="98">
        <v>38</v>
      </c>
      <c r="B46" s="627"/>
      <c r="C46" s="645"/>
      <c r="D46" s="645"/>
      <c r="E46" s="629" t="s">
        <v>283</v>
      </c>
      <c r="F46" s="619"/>
      <c r="G46" s="619"/>
      <c r="H46" s="619"/>
      <c r="I46" s="646"/>
      <c r="J46" s="647">
        <f>SUM(K46:R46)</f>
        <v>0</v>
      </c>
      <c r="K46" s="648"/>
      <c r="L46" s="648"/>
      <c r="M46" s="648"/>
      <c r="N46" s="648"/>
      <c r="O46" s="648"/>
      <c r="P46" s="648"/>
      <c r="Q46" s="648"/>
      <c r="R46" s="649"/>
      <c r="S46" s="641"/>
      <c r="T46" s="641"/>
      <c r="U46" s="641"/>
      <c r="V46" s="641"/>
      <c r="W46" s="641"/>
      <c r="X46" s="641"/>
      <c r="Y46" s="641"/>
      <c r="Z46" s="641"/>
      <c r="AA46" s="641"/>
      <c r="AB46" s="641"/>
      <c r="AC46" s="641"/>
      <c r="AD46" s="641"/>
      <c r="AE46" s="641"/>
    </row>
    <row r="47" spans="1:31" s="33" customFormat="1" ht="22.5" customHeight="1" thickTop="1">
      <c r="A47" s="98">
        <v>39</v>
      </c>
      <c r="B47" s="270"/>
      <c r="C47" s="2065" t="s">
        <v>424</v>
      </c>
      <c r="D47" s="2066"/>
      <c r="E47" s="2067"/>
      <c r="F47" s="527"/>
      <c r="G47" s="527">
        <f>SUM(G9:G46)</f>
        <v>1840638</v>
      </c>
      <c r="H47" s="527">
        <f>SUM(H9:H46)</f>
        <v>1845356</v>
      </c>
      <c r="I47" s="529">
        <f>SUM(I9:I46)</f>
        <v>1820922</v>
      </c>
      <c r="J47" s="530"/>
      <c r="K47" s="527"/>
      <c r="L47" s="527"/>
      <c r="M47" s="527"/>
      <c r="N47" s="527"/>
      <c r="O47" s="527"/>
      <c r="P47" s="527"/>
      <c r="Q47" s="527"/>
      <c r="R47" s="528"/>
      <c r="S47" s="271"/>
      <c r="T47" s="271"/>
      <c r="U47" s="271"/>
      <c r="V47" s="271"/>
      <c r="W47" s="271"/>
      <c r="X47" s="271"/>
      <c r="Y47" s="271"/>
      <c r="Z47" s="271"/>
      <c r="AA47" s="271"/>
      <c r="AB47" s="271"/>
      <c r="AC47" s="271"/>
      <c r="AD47" s="271"/>
      <c r="AE47" s="271"/>
    </row>
    <row r="48" spans="1:31" s="642" customFormat="1" ht="18" customHeight="1">
      <c r="A48" s="98">
        <v>40</v>
      </c>
      <c r="B48" s="627"/>
      <c r="C48" s="1204"/>
      <c r="D48" s="645"/>
      <c r="E48" s="629" t="s">
        <v>283</v>
      </c>
      <c r="F48" s="619"/>
      <c r="G48" s="619"/>
      <c r="H48" s="619"/>
      <c r="I48" s="646"/>
      <c r="J48" s="647">
        <f>SUM(K48:R48)</f>
        <v>1948076</v>
      </c>
      <c r="K48" s="648">
        <f aca="true" t="shared" si="0" ref="K48:R49">SUM(K11,K17,K23,K29,K35,K41,K46)</f>
        <v>1277836</v>
      </c>
      <c r="L48" s="648">
        <f t="shared" si="0"/>
        <v>227158</v>
      </c>
      <c r="M48" s="648">
        <f t="shared" si="0"/>
        <v>405779</v>
      </c>
      <c r="N48" s="648">
        <f t="shared" si="0"/>
        <v>0</v>
      </c>
      <c r="O48" s="648">
        <f t="shared" si="0"/>
        <v>0</v>
      </c>
      <c r="P48" s="648">
        <f t="shared" si="0"/>
        <v>37303</v>
      </c>
      <c r="Q48" s="648">
        <f t="shared" si="0"/>
        <v>0</v>
      </c>
      <c r="R48" s="649">
        <f t="shared" si="0"/>
        <v>0</v>
      </c>
      <c r="S48" s="641"/>
      <c r="T48" s="641"/>
      <c r="U48" s="641"/>
      <c r="V48" s="641"/>
      <c r="W48" s="641"/>
      <c r="X48" s="641"/>
      <c r="Y48" s="641"/>
      <c r="Z48" s="641"/>
      <c r="AA48" s="641"/>
      <c r="AB48" s="641"/>
      <c r="AC48" s="641"/>
      <c r="AD48" s="641"/>
      <c r="AE48" s="641"/>
    </row>
    <row r="49" spans="1:31" s="642" customFormat="1" ht="18" customHeight="1">
      <c r="A49" s="98">
        <v>41</v>
      </c>
      <c r="B49" s="627"/>
      <c r="C49" s="645"/>
      <c r="D49" s="645"/>
      <c r="E49" s="483" t="s">
        <v>938</v>
      </c>
      <c r="F49" s="619"/>
      <c r="G49" s="619"/>
      <c r="H49" s="619"/>
      <c r="I49" s="646"/>
      <c r="J49" s="1644">
        <f>SUM(K49:R49)</f>
        <v>2006932</v>
      </c>
      <c r="K49" s="1206">
        <f t="shared" si="0"/>
        <v>1295059</v>
      </c>
      <c r="L49" s="1206">
        <f t="shared" si="0"/>
        <v>230750</v>
      </c>
      <c r="M49" s="1206">
        <f t="shared" si="0"/>
        <v>436032</v>
      </c>
      <c r="N49" s="1206">
        <f t="shared" si="0"/>
        <v>0</v>
      </c>
      <c r="O49" s="1206">
        <f t="shared" si="0"/>
        <v>0</v>
      </c>
      <c r="P49" s="1206">
        <f t="shared" si="0"/>
        <v>45091</v>
      </c>
      <c r="Q49" s="1206">
        <f t="shared" si="0"/>
        <v>0</v>
      </c>
      <c r="R49" s="1653">
        <f t="shared" si="0"/>
        <v>0</v>
      </c>
      <c r="S49" s="641"/>
      <c r="T49" s="641"/>
      <c r="U49" s="641"/>
      <c r="V49" s="641"/>
      <c r="W49" s="641"/>
      <c r="X49" s="641"/>
      <c r="Y49" s="641"/>
      <c r="Z49" s="641"/>
      <c r="AA49" s="641"/>
      <c r="AB49" s="641"/>
      <c r="AC49" s="641"/>
      <c r="AD49" s="641"/>
      <c r="AE49" s="641"/>
    </row>
    <row r="50" spans="1:31" s="642" customFormat="1" ht="18" customHeight="1">
      <c r="A50" s="98">
        <v>42</v>
      </c>
      <c r="B50" s="591"/>
      <c r="C50" s="635"/>
      <c r="D50" s="635"/>
      <c r="E50" s="1146" t="s">
        <v>674</v>
      </c>
      <c r="F50" s="613"/>
      <c r="G50" s="613"/>
      <c r="H50" s="613"/>
      <c r="I50" s="637"/>
      <c r="J50" s="1197">
        <f>SUM(K50:R50)</f>
        <v>0</v>
      </c>
      <c r="K50" s="273">
        <f aca="true" t="shared" si="1" ref="K50:R50">SUM(K13:K13,K19:K19,K25:K25,K31:K31,K37:K37,K43:K43)</f>
        <v>-1500</v>
      </c>
      <c r="L50" s="273">
        <f t="shared" si="1"/>
        <v>0</v>
      </c>
      <c r="M50" s="273">
        <f t="shared" si="1"/>
        <v>850</v>
      </c>
      <c r="N50" s="273">
        <f t="shared" si="1"/>
        <v>0</v>
      </c>
      <c r="O50" s="273">
        <f t="shared" si="1"/>
        <v>0</v>
      </c>
      <c r="P50" s="273">
        <f t="shared" si="1"/>
        <v>650</v>
      </c>
      <c r="Q50" s="273">
        <f t="shared" si="1"/>
        <v>0</v>
      </c>
      <c r="R50" s="274">
        <f t="shared" si="1"/>
        <v>0</v>
      </c>
      <c r="S50" s="641"/>
      <c r="T50" s="641"/>
      <c r="U50" s="641"/>
      <c r="V50" s="641"/>
      <c r="W50" s="641"/>
      <c r="X50" s="641"/>
      <c r="Y50" s="641"/>
      <c r="Z50" s="641"/>
      <c r="AA50" s="641"/>
      <c r="AB50" s="641"/>
      <c r="AC50" s="641"/>
      <c r="AD50" s="641"/>
      <c r="AE50" s="641"/>
    </row>
    <row r="51" spans="1:31" s="642" customFormat="1" ht="18" customHeight="1" thickBot="1">
      <c r="A51" s="98">
        <v>43</v>
      </c>
      <c r="B51" s="591"/>
      <c r="C51" s="1201"/>
      <c r="D51" s="1202"/>
      <c r="E51" s="1157" t="s">
        <v>1091</v>
      </c>
      <c r="F51" s="1142"/>
      <c r="G51" s="1142"/>
      <c r="H51" s="1142"/>
      <c r="I51" s="1203"/>
      <c r="J51" s="1205">
        <f>SUM(K51:R51)</f>
        <v>2006932</v>
      </c>
      <c r="K51" s="1210">
        <f>SUM(K49:K50)</f>
        <v>1293559</v>
      </c>
      <c r="L51" s="1210">
        <f aca="true" t="shared" si="2" ref="L51:R51">SUM(L49:L50)</f>
        <v>230750</v>
      </c>
      <c r="M51" s="1210">
        <f t="shared" si="2"/>
        <v>436882</v>
      </c>
      <c r="N51" s="1210">
        <f t="shared" si="2"/>
        <v>0</v>
      </c>
      <c r="O51" s="1210">
        <f t="shared" si="2"/>
        <v>0</v>
      </c>
      <c r="P51" s="1210">
        <f t="shared" si="2"/>
        <v>45741</v>
      </c>
      <c r="Q51" s="1210">
        <f t="shared" si="2"/>
        <v>0</v>
      </c>
      <c r="R51" s="1228">
        <f t="shared" si="2"/>
        <v>0</v>
      </c>
      <c r="S51" s="641"/>
      <c r="T51" s="641"/>
      <c r="U51" s="641"/>
      <c r="V51" s="641"/>
      <c r="W51" s="641"/>
      <c r="X51" s="641"/>
      <c r="Y51" s="641"/>
      <c r="Z51" s="641"/>
      <c r="AA51" s="641"/>
      <c r="AB51" s="641"/>
      <c r="AC51" s="641"/>
      <c r="AD51" s="641"/>
      <c r="AE51" s="641"/>
    </row>
    <row r="52" spans="1:31" s="29" customFormat="1" ht="22.5" customHeight="1" thickTop="1">
      <c r="A52" s="98">
        <v>44</v>
      </c>
      <c r="B52" s="237">
        <v>7</v>
      </c>
      <c r="C52" s="497"/>
      <c r="D52" s="2063" t="s">
        <v>296</v>
      </c>
      <c r="E52" s="2064"/>
      <c r="F52" s="351" t="s">
        <v>22</v>
      </c>
      <c r="G52" s="249">
        <v>946591</v>
      </c>
      <c r="H52" s="249">
        <v>996977</v>
      </c>
      <c r="I52" s="352">
        <v>1026913</v>
      </c>
      <c r="J52" s="342"/>
      <c r="K52" s="249"/>
      <c r="L52" s="249"/>
      <c r="M52" s="249"/>
      <c r="N52" s="249"/>
      <c r="O52" s="249"/>
      <c r="P52" s="249"/>
      <c r="Q52" s="249"/>
      <c r="R52" s="272"/>
      <c r="S52" s="113"/>
      <c r="T52" s="113"/>
      <c r="U52" s="113"/>
      <c r="V52" s="113"/>
      <c r="W52" s="113"/>
      <c r="X52" s="113"/>
      <c r="Y52" s="113"/>
      <c r="Z52" s="113"/>
      <c r="AA52" s="113"/>
      <c r="AB52" s="113"/>
      <c r="AC52" s="113"/>
      <c r="AD52" s="113"/>
      <c r="AE52" s="113"/>
    </row>
    <row r="53" spans="1:31" s="642" customFormat="1" ht="18" customHeight="1">
      <c r="A53" s="98">
        <v>45</v>
      </c>
      <c r="B53" s="591"/>
      <c r="C53" s="635"/>
      <c r="D53" s="635"/>
      <c r="E53" s="636" t="s">
        <v>283</v>
      </c>
      <c r="F53" s="613"/>
      <c r="G53" s="613"/>
      <c r="H53" s="613"/>
      <c r="I53" s="637"/>
      <c r="J53" s="638">
        <f>SUM(K53:R53)</f>
        <v>1120897</v>
      </c>
      <c r="K53" s="639">
        <v>831821</v>
      </c>
      <c r="L53" s="639">
        <v>145633</v>
      </c>
      <c r="M53" s="639">
        <v>139995</v>
      </c>
      <c r="N53" s="639"/>
      <c r="O53" s="639"/>
      <c r="P53" s="639">
        <v>3448</v>
      </c>
      <c r="Q53" s="639"/>
      <c r="R53" s="640"/>
      <c r="S53" s="641"/>
      <c r="T53" s="641"/>
      <c r="U53" s="641"/>
      <c r="V53" s="641"/>
      <c r="W53" s="641"/>
      <c r="X53" s="641"/>
      <c r="Y53" s="641"/>
      <c r="Z53" s="641"/>
      <c r="AA53" s="641"/>
      <c r="AB53" s="641"/>
      <c r="AC53" s="641"/>
      <c r="AD53" s="641"/>
      <c r="AE53" s="641"/>
    </row>
    <row r="54" spans="1:31" s="642" customFormat="1" ht="18" customHeight="1">
      <c r="A54" s="98">
        <v>46</v>
      </c>
      <c r="B54" s="591"/>
      <c r="C54" s="635"/>
      <c r="D54" s="635"/>
      <c r="E54" s="483" t="s">
        <v>938</v>
      </c>
      <c r="F54" s="613"/>
      <c r="G54" s="613"/>
      <c r="H54" s="613"/>
      <c r="I54" s="637"/>
      <c r="J54" s="269">
        <f>SUM(K54:R54)</f>
        <v>1152246</v>
      </c>
      <c r="K54" s="1200">
        <v>852305</v>
      </c>
      <c r="L54" s="1200">
        <v>148699</v>
      </c>
      <c r="M54" s="1200">
        <v>139995</v>
      </c>
      <c r="N54" s="1200"/>
      <c r="O54" s="1200"/>
      <c r="P54" s="1200">
        <v>11247</v>
      </c>
      <c r="Q54" s="639"/>
      <c r="R54" s="640"/>
      <c r="S54" s="641"/>
      <c r="T54" s="641"/>
      <c r="U54" s="641"/>
      <c r="V54" s="641"/>
      <c r="W54" s="641"/>
      <c r="X54" s="641"/>
      <c r="Y54" s="641"/>
      <c r="Z54" s="641"/>
      <c r="AA54" s="641"/>
      <c r="AB54" s="641"/>
      <c r="AC54" s="641"/>
      <c r="AD54" s="641"/>
      <c r="AE54" s="641"/>
    </row>
    <row r="55" spans="1:31" s="642" customFormat="1" ht="18" customHeight="1">
      <c r="A55" s="98">
        <v>47</v>
      </c>
      <c r="B55" s="591"/>
      <c r="C55" s="635"/>
      <c r="D55" s="635"/>
      <c r="E55" s="1151" t="s">
        <v>942</v>
      </c>
      <c r="F55" s="613"/>
      <c r="G55" s="613"/>
      <c r="H55" s="613"/>
      <c r="I55" s="637"/>
      <c r="J55" s="1197">
        <f>SUM(K55:R55)</f>
        <v>3782</v>
      </c>
      <c r="K55" s="273">
        <v>3275</v>
      </c>
      <c r="L55" s="273">
        <v>507</v>
      </c>
      <c r="M55" s="639"/>
      <c r="N55" s="639"/>
      <c r="O55" s="639"/>
      <c r="P55" s="639"/>
      <c r="Q55" s="639"/>
      <c r="R55" s="640"/>
      <c r="S55" s="641"/>
      <c r="T55" s="641"/>
      <c r="U55" s="641"/>
      <c r="V55" s="641"/>
      <c r="W55" s="641"/>
      <c r="X55" s="641"/>
      <c r="Y55" s="641"/>
      <c r="Z55" s="641"/>
      <c r="AA55" s="641"/>
      <c r="AB55" s="641"/>
      <c r="AC55" s="641"/>
      <c r="AD55" s="641"/>
      <c r="AE55" s="641"/>
    </row>
    <row r="56" spans="1:31" s="642" customFormat="1" ht="18" customHeight="1">
      <c r="A56" s="98"/>
      <c r="B56" s="591"/>
      <c r="C56" s="635"/>
      <c r="D56" s="635"/>
      <c r="E56" s="1151" t="s">
        <v>1040</v>
      </c>
      <c r="F56" s="613"/>
      <c r="G56" s="613"/>
      <c r="H56" s="613"/>
      <c r="I56" s="637"/>
      <c r="J56" s="1197">
        <f>SUM(K56:R56)</f>
        <v>17000</v>
      </c>
      <c r="K56" s="273">
        <v>5656</v>
      </c>
      <c r="L56" s="273">
        <v>877</v>
      </c>
      <c r="M56" s="273">
        <v>10467</v>
      </c>
      <c r="N56" s="639"/>
      <c r="O56" s="639"/>
      <c r="P56" s="639"/>
      <c r="Q56" s="639"/>
      <c r="R56" s="640"/>
      <c r="S56" s="641"/>
      <c r="T56" s="641"/>
      <c r="U56" s="641"/>
      <c r="V56" s="641"/>
      <c r="W56" s="641"/>
      <c r="X56" s="641"/>
      <c r="Y56" s="641"/>
      <c r="Z56" s="641"/>
      <c r="AA56" s="641"/>
      <c r="AB56" s="641"/>
      <c r="AC56" s="641"/>
      <c r="AD56" s="641"/>
      <c r="AE56" s="641"/>
    </row>
    <row r="57" spans="1:31" s="642" customFormat="1" ht="18" customHeight="1">
      <c r="A57" s="98">
        <v>48</v>
      </c>
      <c r="B57" s="591"/>
      <c r="C57" s="635"/>
      <c r="D57" s="635"/>
      <c r="E57" s="1146" t="s">
        <v>959</v>
      </c>
      <c r="F57" s="613"/>
      <c r="G57" s="613"/>
      <c r="H57" s="613"/>
      <c r="I57" s="637"/>
      <c r="J57" s="1197">
        <f>SUM(K57:R57)</f>
        <v>1332</v>
      </c>
      <c r="K57" s="273">
        <v>1332</v>
      </c>
      <c r="L57" s="273"/>
      <c r="M57" s="273"/>
      <c r="N57" s="273"/>
      <c r="O57" s="273"/>
      <c r="P57" s="273"/>
      <c r="Q57" s="639"/>
      <c r="R57" s="640"/>
      <c r="S57" s="641"/>
      <c r="T57" s="641"/>
      <c r="U57" s="641"/>
      <c r="V57" s="641"/>
      <c r="W57" s="641"/>
      <c r="X57" s="641"/>
      <c r="Y57" s="641"/>
      <c r="Z57" s="641"/>
      <c r="AA57" s="641"/>
      <c r="AB57" s="641"/>
      <c r="AC57" s="641"/>
      <c r="AD57" s="641"/>
      <c r="AE57" s="641"/>
    </row>
    <row r="58" spans="1:31" s="642" customFormat="1" ht="18" customHeight="1">
      <c r="A58" s="98">
        <v>49</v>
      </c>
      <c r="B58" s="591"/>
      <c r="C58" s="635"/>
      <c r="D58" s="635"/>
      <c r="E58" s="483" t="s">
        <v>1091</v>
      </c>
      <c r="F58" s="613"/>
      <c r="G58" s="613"/>
      <c r="H58" s="613"/>
      <c r="I58" s="637"/>
      <c r="J58" s="269">
        <f>SUM(K58:R58)</f>
        <v>1174360</v>
      </c>
      <c r="K58" s="1200">
        <f>SUM(K54:K57)</f>
        <v>862568</v>
      </c>
      <c r="L58" s="1200">
        <f>SUM(L54:L57)</f>
        <v>150083</v>
      </c>
      <c r="M58" s="1200">
        <f>SUM(M54:M57)</f>
        <v>150462</v>
      </c>
      <c r="N58" s="1200"/>
      <c r="O58" s="1200"/>
      <c r="P58" s="1200">
        <f>SUM(P54:P57)</f>
        <v>11247</v>
      </c>
      <c r="Q58" s="639"/>
      <c r="R58" s="640"/>
      <c r="S58" s="641"/>
      <c r="T58" s="641"/>
      <c r="U58" s="641"/>
      <c r="V58" s="641"/>
      <c r="W58" s="641"/>
      <c r="X58" s="641"/>
      <c r="Y58" s="641"/>
      <c r="Z58" s="641"/>
      <c r="AA58" s="641"/>
      <c r="AB58" s="641"/>
      <c r="AC58" s="641"/>
      <c r="AD58" s="641"/>
      <c r="AE58" s="641"/>
    </row>
    <row r="59" spans="1:31" s="32" customFormat="1" ht="18" customHeight="1">
      <c r="A59" s="98">
        <v>50</v>
      </c>
      <c r="B59" s="227"/>
      <c r="C59" s="495">
        <v>1</v>
      </c>
      <c r="D59" s="2061" t="s">
        <v>661</v>
      </c>
      <c r="E59" s="2062"/>
      <c r="F59" s="353"/>
      <c r="G59" s="94">
        <v>10041</v>
      </c>
      <c r="H59" s="94"/>
      <c r="I59" s="266"/>
      <c r="J59" s="277"/>
      <c r="K59" s="261"/>
      <c r="L59" s="261"/>
      <c r="M59" s="261"/>
      <c r="N59" s="273"/>
      <c r="O59" s="273"/>
      <c r="P59" s="273"/>
      <c r="Q59" s="273"/>
      <c r="R59" s="274"/>
      <c r="S59" s="201"/>
      <c r="T59" s="201"/>
      <c r="U59" s="201"/>
      <c r="V59" s="201"/>
      <c r="W59" s="201"/>
      <c r="X59" s="201"/>
      <c r="Y59" s="201"/>
      <c r="Z59" s="201"/>
      <c r="AA59" s="201"/>
      <c r="AB59" s="201"/>
      <c r="AC59" s="201"/>
      <c r="AD59" s="201"/>
      <c r="AE59" s="201"/>
    </row>
    <row r="60" spans="1:31" s="32" customFormat="1" ht="22.5" customHeight="1">
      <c r="A60" s="98">
        <v>51</v>
      </c>
      <c r="B60" s="223">
        <v>8</v>
      </c>
      <c r="C60" s="495"/>
      <c r="D60" s="2059" t="s">
        <v>113</v>
      </c>
      <c r="E60" s="2060"/>
      <c r="F60" s="350" t="s">
        <v>22</v>
      </c>
      <c r="G60" s="94">
        <v>85870</v>
      </c>
      <c r="H60" s="94">
        <v>69250</v>
      </c>
      <c r="I60" s="266">
        <v>85741</v>
      </c>
      <c r="J60" s="277"/>
      <c r="K60" s="94"/>
      <c r="L60" s="94"/>
      <c r="M60" s="94"/>
      <c r="N60" s="94"/>
      <c r="O60" s="94"/>
      <c r="P60" s="94"/>
      <c r="Q60" s="94"/>
      <c r="R60" s="102"/>
      <c r="S60" s="201"/>
      <c r="T60" s="201"/>
      <c r="U60" s="201"/>
      <c r="V60" s="201"/>
      <c r="W60" s="201"/>
      <c r="X60" s="201"/>
      <c r="Y60" s="201"/>
      <c r="Z60" s="201"/>
      <c r="AA60" s="201"/>
      <c r="AB60" s="201"/>
      <c r="AC60" s="201"/>
      <c r="AD60" s="201"/>
      <c r="AE60" s="201"/>
    </row>
    <row r="61" spans="1:31" s="601" customFormat="1" ht="18" customHeight="1">
      <c r="A61" s="98">
        <v>52</v>
      </c>
      <c r="B61" s="359"/>
      <c r="C61" s="1054"/>
      <c r="D61" s="1054"/>
      <c r="E61" s="636" t="s">
        <v>283</v>
      </c>
      <c r="F61" s="1055"/>
      <c r="G61" s="1055"/>
      <c r="H61" s="1055"/>
      <c r="I61" s="637"/>
      <c r="J61" s="638">
        <f>SUM(K61:R61)</f>
        <v>73767</v>
      </c>
      <c r="K61" s="639">
        <v>43210</v>
      </c>
      <c r="L61" s="639">
        <v>6845</v>
      </c>
      <c r="M61" s="639">
        <v>23371</v>
      </c>
      <c r="N61" s="639"/>
      <c r="O61" s="639"/>
      <c r="P61" s="639">
        <v>341</v>
      </c>
      <c r="Q61" s="639"/>
      <c r="R61" s="640"/>
      <c r="S61" s="650"/>
      <c r="T61" s="650"/>
      <c r="U61" s="650"/>
      <c r="V61" s="650"/>
      <c r="W61" s="650"/>
      <c r="X61" s="650"/>
      <c r="Y61" s="650"/>
      <c r="Z61" s="650"/>
      <c r="AA61" s="650"/>
      <c r="AB61" s="650"/>
      <c r="AC61" s="650"/>
      <c r="AD61" s="650"/>
      <c r="AE61" s="650"/>
    </row>
    <row r="62" spans="1:31" s="601" customFormat="1" ht="18" customHeight="1">
      <c r="A62" s="98">
        <v>53</v>
      </c>
      <c r="B62" s="359"/>
      <c r="C62" s="1054"/>
      <c r="D62" s="1054"/>
      <c r="E62" s="483" t="s">
        <v>938</v>
      </c>
      <c r="F62" s="1055"/>
      <c r="G62" s="1055"/>
      <c r="H62" s="1055"/>
      <c r="I62" s="637"/>
      <c r="J62" s="269">
        <f>SUM(K62:R62)</f>
        <v>100280</v>
      </c>
      <c r="K62" s="1200">
        <v>58250</v>
      </c>
      <c r="L62" s="1200">
        <v>8296</v>
      </c>
      <c r="M62" s="1200">
        <v>32893</v>
      </c>
      <c r="N62" s="1200"/>
      <c r="O62" s="1200"/>
      <c r="P62" s="1200">
        <v>841</v>
      </c>
      <c r="Q62" s="639"/>
      <c r="R62" s="640"/>
      <c r="S62" s="650"/>
      <c r="T62" s="650"/>
      <c r="U62" s="650"/>
      <c r="V62" s="650"/>
      <c r="W62" s="650"/>
      <c r="X62" s="650"/>
      <c r="Y62" s="650"/>
      <c r="Z62" s="650"/>
      <c r="AA62" s="650"/>
      <c r="AB62" s="650"/>
      <c r="AC62" s="650"/>
      <c r="AD62" s="650"/>
      <c r="AE62" s="650"/>
    </row>
    <row r="63" spans="1:31" s="601" customFormat="1" ht="18" customHeight="1">
      <c r="A63" s="98">
        <v>54</v>
      </c>
      <c r="B63" s="359"/>
      <c r="C63" s="1054"/>
      <c r="D63" s="1054"/>
      <c r="E63" s="1151" t="s">
        <v>942</v>
      </c>
      <c r="F63" s="1055"/>
      <c r="G63" s="1055"/>
      <c r="H63" s="1055"/>
      <c r="I63" s="637"/>
      <c r="J63" s="1197">
        <f>SUM(K63:R63)</f>
        <v>2676</v>
      </c>
      <c r="K63" s="273">
        <v>2317</v>
      </c>
      <c r="L63" s="273">
        <v>359</v>
      </c>
      <c r="M63" s="639"/>
      <c r="N63" s="639"/>
      <c r="O63" s="639"/>
      <c r="P63" s="639"/>
      <c r="Q63" s="639"/>
      <c r="R63" s="640"/>
      <c r="S63" s="650"/>
      <c r="T63" s="650"/>
      <c r="U63" s="650"/>
      <c r="V63" s="650"/>
      <c r="W63" s="650"/>
      <c r="X63" s="650"/>
      <c r="Y63" s="650"/>
      <c r="Z63" s="650"/>
      <c r="AA63" s="650"/>
      <c r="AB63" s="650"/>
      <c r="AC63" s="650"/>
      <c r="AD63" s="650"/>
      <c r="AE63" s="650"/>
    </row>
    <row r="64" spans="1:31" s="601" customFormat="1" ht="18" customHeight="1">
      <c r="A64" s="98">
        <v>55</v>
      </c>
      <c r="B64" s="359"/>
      <c r="C64" s="1054"/>
      <c r="D64" s="1054"/>
      <c r="E64" s="1151" t="s">
        <v>1010</v>
      </c>
      <c r="F64" s="1055"/>
      <c r="G64" s="1055"/>
      <c r="H64" s="1055"/>
      <c r="I64" s="637"/>
      <c r="J64" s="1197">
        <f>SUM(K64:R64)</f>
        <v>250</v>
      </c>
      <c r="K64" s="273">
        <v>250</v>
      </c>
      <c r="L64" s="273"/>
      <c r="M64" s="639"/>
      <c r="N64" s="639"/>
      <c r="O64" s="639"/>
      <c r="P64" s="639"/>
      <c r="Q64" s="639"/>
      <c r="R64" s="640"/>
      <c r="S64" s="650"/>
      <c r="T64" s="650"/>
      <c r="U64" s="650"/>
      <c r="V64" s="650"/>
      <c r="W64" s="650"/>
      <c r="X64" s="650"/>
      <c r="Y64" s="650"/>
      <c r="Z64" s="650"/>
      <c r="AA64" s="650"/>
      <c r="AB64" s="650"/>
      <c r="AC64" s="650"/>
      <c r="AD64" s="650"/>
      <c r="AE64" s="650"/>
    </row>
    <row r="65" spans="1:31" s="601" customFormat="1" ht="18" customHeight="1">
      <c r="A65" s="98">
        <v>56</v>
      </c>
      <c r="B65" s="359"/>
      <c r="C65" s="1054"/>
      <c r="D65" s="1054"/>
      <c r="E65" s="483" t="s">
        <v>1091</v>
      </c>
      <c r="F65" s="1055"/>
      <c r="G65" s="1055"/>
      <c r="H65" s="1055"/>
      <c r="I65" s="637"/>
      <c r="J65" s="269">
        <f>SUM(K65:R65)</f>
        <v>103206</v>
      </c>
      <c r="K65" s="1200">
        <f>SUM(K62:K64)</f>
        <v>60817</v>
      </c>
      <c r="L65" s="1200">
        <f>SUM(L62:L64)</f>
        <v>8655</v>
      </c>
      <c r="M65" s="1200">
        <f>SUM(M62:M64)</f>
        <v>32893</v>
      </c>
      <c r="N65" s="1200"/>
      <c r="O65" s="1200"/>
      <c r="P65" s="1200">
        <f>SUM(P62:P64)</f>
        <v>841</v>
      </c>
      <c r="Q65" s="639"/>
      <c r="R65" s="640"/>
      <c r="S65" s="650"/>
      <c r="T65" s="650"/>
      <c r="U65" s="650"/>
      <c r="V65" s="650"/>
      <c r="W65" s="650"/>
      <c r="X65" s="650"/>
      <c r="Y65" s="650"/>
      <c r="Z65" s="650"/>
      <c r="AA65" s="650"/>
      <c r="AB65" s="650"/>
      <c r="AC65" s="650"/>
      <c r="AD65" s="650"/>
      <c r="AE65" s="650"/>
    </row>
    <row r="66" spans="1:31" s="32" customFormat="1" ht="22.5" customHeight="1">
      <c r="A66" s="98">
        <v>57</v>
      </c>
      <c r="B66" s="223">
        <v>9</v>
      </c>
      <c r="C66" s="495"/>
      <c r="D66" s="2059" t="s">
        <v>376</v>
      </c>
      <c r="E66" s="2060"/>
      <c r="F66" s="350" t="s">
        <v>22</v>
      </c>
      <c r="G66" s="94">
        <v>274833</v>
      </c>
      <c r="H66" s="94">
        <v>243642</v>
      </c>
      <c r="I66" s="266">
        <v>300491</v>
      </c>
      <c r="J66" s="277"/>
      <c r="K66" s="94"/>
      <c r="L66" s="94"/>
      <c r="M66" s="94"/>
      <c r="N66" s="94"/>
      <c r="O66" s="94"/>
      <c r="P66" s="94"/>
      <c r="Q66" s="94"/>
      <c r="R66" s="102"/>
      <c r="S66" s="201"/>
      <c r="T66" s="201"/>
      <c r="U66" s="201"/>
      <c r="V66" s="201"/>
      <c r="W66" s="201"/>
      <c r="X66" s="201"/>
      <c r="Y66" s="201"/>
      <c r="Z66" s="201"/>
      <c r="AA66" s="201"/>
      <c r="AB66" s="201"/>
      <c r="AC66" s="201"/>
      <c r="AD66" s="201"/>
      <c r="AE66" s="201"/>
    </row>
    <row r="67" spans="1:31" s="601" customFormat="1" ht="18" customHeight="1">
      <c r="A67" s="98">
        <v>58</v>
      </c>
      <c r="B67" s="359"/>
      <c r="C67" s="1056"/>
      <c r="D67" s="1056"/>
      <c r="E67" s="636" t="s">
        <v>283</v>
      </c>
      <c r="F67" s="1057"/>
      <c r="G67" s="1057"/>
      <c r="H67" s="1057"/>
      <c r="I67" s="646"/>
      <c r="J67" s="647">
        <f>SUM(K67:R67)</f>
        <v>263190</v>
      </c>
      <c r="K67" s="648">
        <v>187374</v>
      </c>
      <c r="L67" s="648">
        <v>34010</v>
      </c>
      <c r="M67" s="648">
        <v>32676</v>
      </c>
      <c r="N67" s="648"/>
      <c r="O67" s="648"/>
      <c r="P67" s="648">
        <v>9130</v>
      </c>
      <c r="Q67" s="648"/>
      <c r="R67" s="649"/>
      <c r="S67" s="650"/>
      <c r="T67" s="650"/>
      <c r="U67" s="650"/>
      <c r="V67" s="650"/>
      <c r="W67" s="650"/>
      <c r="X67" s="650"/>
      <c r="Y67" s="650"/>
      <c r="Z67" s="650"/>
      <c r="AA67" s="650"/>
      <c r="AB67" s="650"/>
      <c r="AC67" s="650"/>
      <c r="AD67" s="650"/>
      <c r="AE67" s="650"/>
    </row>
    <row r="68" spans="1:31" s="601" customFormat="1" ht="18" customHeight="1">
      <c r="A68" s="98">
        <v>59</v>
      </c>
      <c r="B68" s="359"/>
      <c r="C68" s="1056"/>
      <c r="D68" s="1056"/>
      <c r="E68" s="483" t="s">
        <v>938</v>
      </c>
      <c r="F68" s="1057"/>
      <c r="G68" s="1057"/>
      <c r="H68" s="1057"/>
      <c r="I68" s="646"/>
      <c r="J68" s="1644">
        <f>SUM(K68:R68)</f>
        <v>303477</v>
      </c>
      <c r="K68" s="1206">
        <v>219915</v>
      </c>
      <c r="L68" s="1206">
        <v>39669</v>
      </c>
      <c r="M68" s="1206">
        <v>34763</v>
      </c>
      <c r="N68" s="1206"/>
      <c r="O68" s="1206"/>
      <c r="P68" s="1206">
        <v>9130</v>
      </c>
      <c r="Q68" s="648"/>
      <c r="R68" s="649"/>
      <c r="S68" s="650"/>
      <c r="T68" s="650"/>
      <c r="U68" s="650"/>
      <c r="V68" s="650"/>
      <c r="W68" s="650"/>
      <c r="X68" s="650"/>
      <c r="Y68" s="650"/>
      <c r="Z68" s="650"/>
      <c r="AA68" s="650"/>
      <c r="AB68" s="650"/>
      <c r="AC68" s="650"/>
      <c r="AD68" s="650"/>
      <c r="AE68" s="650"/>
    </row>
    <row r="69" spans="1:31" s="601" customFormat="1" ht="18" customHeight="1">
      <c r="A69" s="98">
        <v>60</v>
      </c>
      <c r="B69" s="359"/>
      <c r="C69" s="1056"/>
      <c r="D69" s="1056"/>
      <c r="E69" s="1151" t="s">
        <v>942</v>
      </c>
      <c r="F69" s="1057"/>
      <c r="G69" s="1057"/>
      <c r="H69" s="1057"/>
      <c r="I69" s="646"/>
      <c r="J69" s="1197">
        <f>SUM(K69:R69)</f>
        <v>18120</v>
      </c>
      <c r="K69" s="1437">
        <v>15688</v>
      </c>
      <c r="L69" s="1437">
        <v>2432</v>
      </c>
      <c r="M69" s="648"/>
      <c r="N69" s="648"/>
      <c r="O69" s="648"/>
      <c r="P69" s="648"/>
      <c r="Q69" s="648"/>
      <c r="R69" s="649"/>
      <c r="S69" s="650"/>
      <c r="T69" s="650"/>
      <c r="U69" s="650"/>
      <c r="V69" s="650"/>
      <c r="W69" s="650"/>
      <c r="X69" s="650"/>
      <c r="Y69" s="650"/>
      <c r="Z69" s="650"/>
      <c r="AA69" s="650"/>
      <c r="AB69" s="650"/>
      <c r="AC69" s="650"/>
      <c r="AD69" s="650"/>
      <c r="AE69" s="650"/>
    </row>
    <row r="70" spans="1:31" s="601" customFormat="1" ht="18" customHeight="1">
      <c r="A70" s="98">
        <v>61</v>
      </c>
      <c r="B70" s="359"/>
      <c r="C70" s="1056"/>
      <c r="D70" s="1056"/>
      <c r="E70" s="483" t="s">
        <v>1091</v>
      </c>
      <c r="F70" s="1057"/>
      <c r="G70" s="1057"/>
      <c r="H70" s="1057"/>
      <c r="I70" s="646"/>
      <c r="J70" s="269">
        <f>SUM(K70:R70)</f>
        <v>321597</v>
      </c>
      <c r="K70" s="1206">
        <f>SUM(K68:K69)</f>
        <v>235603</v>
      </c>
      <c r="L70" s="1206">
        <f>SUM(L68:L69)</f>
        <v>42101</v>
      </c>
      <c r="M70" s="1206">
        <f>SUM(M68:M69)</f>
        <v>34763</v>
      </c>
      <c r="N70" s="1206"/>
      <c r="O70" s="1206"/>
      <c r="P70" s="1206">
        <f>SUM(P68:P69)</f>
        <v>9130</v>
      </c>
      <c r="Q70" s="648"/>
      <c r="R70" s="649"/>
      <c r="S70" s="650"/>
      <c r="T70" s="650"/>
      <c r="U70" s="650"/>
      <c r="V70" s="650"/>
      <c r="W70" s="650"/>
      <c r="X70" s="650"/>
      <c r="Y70" s="650"/>
      <c r="Z70" s="650"/>
      <c r="AA70" s="650"/>
      <c r="AB70" s="650"/>
      <c r="AC70" s="650"/>
      <c r="AD70" s="650"/>
      <c r="AE70" s="650"/>
    </row>
    <row r="71" spans="1:31" s="601" customFormat="1" ht="18" customHeight="1">
      <c r="A71" s="98">
        <v>62</v>
      </c>
      <c r="B71" s="359"/>
      <c r="C71" s="1686">
        <v>1</v>
      </c>
      <c r="D71" s="1968" t="s">
        <v>854</v>
      </c>
      <c r="E71" s="1967"/>
      <c r="F71" s="1057"/>
      <c r="G71" s="1057"/>
      <c r="H71" s="1057"/>
      <c r="I71" s="646"/>
      <c r="J71" s="269"/>
      <c r="K71" s="1206"/>
      <c r="L71" s="1206"/>
      <c r="M71" s="1206"/>
      <c r="N71" s="1206"/>
      <c r="O71" s="1206"/>
      <c r="P71" s="1206"/>
      <c r="Q71" s="648"/>
      <c r="R71" s="649"/>
      <c r="S71" s="650"/>
      <c r="T71" s="650"/>
      <c r="U71" s="650"/>
      <c r="V71" s="650"/>
      <c r="W71" s="650"/>
      <c r="X71" s="650"/>
      <c r="Y71" s="650"/>
      <c r="Z71" s="650"/>
      <c r="AA71" s="650"/>
      <c r="AB71" s="650"/>
      <c r="AC71" s="650"/>
      <c r="AD71" s="650"/>
      <c r="AE71" s="650"/>
    </row>
    <row r="72" spans="1:31" s="601" customFormat="1" ht="18" customHeight="1">
      <c r="A72" s="98">
        <v>63</v>
      </c>
      <c r="B72" s="359"/>
      <c r="C72" s="1686"/>
      <c r="D72" s="1968"/>
      <c r="E72" s="260" t="s">
        <v>938</v>
      </c>
      <c r="F72" s="1057"/>
      <c r="G72" s="1057"/>
      <c r="H72" s="1057"/>
      <c r="I72" s="646"/>
      <c r="J72" s="269">
        <f>SUM(K72:R72)</f>
        <v>15000</v>
      </c>
      <c r="K72" s="1206">
        <v>1062</v>
      </c>
      <c r="L72" s="1206">
        <v>164</v>
      </c>
      <c r="M72" s="1206">
        <v>13103</v>
      </c>
      <c r="N72" s="1206"/>
      <c r="O72" s="1206"/>
      <c r="P72" s="1206">
        <v>671</v>
      </c>
      <c r="Q72" s="648"/>
      <c r="R72" s="649"/>
      <c r="S72" s="650"/>
      <c r="T72" s="650"/>
      <c r="U72" s="650"/>
      <c r="V72" s="650"/>
      <c r="W72" s="650"/>
      <c r="X72" s="650"/>
      <c r="Y72" s="650"/>
      <c r="Z72" s="650"/>
      <c r="AA72" s="650"/>
      <c r="AB72" s="650"/>
      <c r="AC72" s="650"/>
      <c r="AD72" s="650"/>
      <c r="AE72" s="650"/>
    </row>
    <row r="73" spans="1:31" s="601" customFormat="1" ht="18" customHeight="1">
      <c r="A73" s="98">
        <v>64</v>
      </c>
      <c r="B73" s="359"/>
      <c r="C73" s="1056"/>
      <c r="D73" s="592"/>
      <c r="E73" s="1151" t="s">
        <v>725</v>
      </c>
      <c r="F73" s="1057"/>
      <c r="G73" s="1057"/>
      <c r="H73" s="1057"/>
      <c r="I73" s="646"/>
      <c r="J73" s="1197">
        <f>SUM(K73:R73)</f>
        <v>0</v>
      </c>
      <c r="K73" s="1437"/>
      <c r="L73" s="1437"/>
      <c r="M73" s="1437"/>
      <c r="N73" s="1437"/>
      <c r="O73" s="1437"/>
      <c r="P73" s="1437"/>
      <c r="Q73" s="648"/>
      <c r="R73" s="649"/>
      <c r="S73" s="650"/>
      <c r="T73" s="650"/>
      <c r="U73" s="650"/>
      <c r="V73" s="650"/>
      <c r="W73" s="650"/>
      <c r="X73" s="650"/>
      <c r="Y73" s="650"/>
      <c r="Z73" s="650"/>
      <c r="AA73" s="650"/>
      <c r="AB73" s="650"/>
      <c r="AC73" s="650"/>
      <c r="AD73" s="650"/>
      <c r="AE73" s="650"/>
    </row>
    <row r="74" spans="1:31" s="601" customFormat="1" ht="18" customHeight="1">
      <c r="A74" s="98">
        <v>65</v>
      </c>
      <c r="B74" s="359"/>
      <c r="C74" s="1056"/>
      <c r="D74" s="592"/>
      <c r="E74" s="1684" t="s">
        <v>1091</v>
      </c>
      <c r="F74" s="1057"/>
      <c r="G74" s="1057"/>
      <c r="H74" s="1057"/>
      <c r="I74" s="646"/>
      <c r="J74" s="269">
        <f>SUM(K74:R74)</f>
        <v>15000</v>
      </c>
      <c r="K74" s="1206">
        <f>SUM(K72:K73)</f>
        <v>1062</v>
      </c>
      <c r="L74" s="1206">
        <f>SUM(L72:L73)</f>
        <v>164</v>
      </c>
      <c r="M74" s="1206">
        <f>SUM(M72:M73)</f>
        <v>13103</v>
      </c>
      <c r="N74" s="1206"/>
      <c r="O74" s="1206"/>
      <c r="P74" s="1206">
        <f>SUM(P72:P73)</f>
        <v>671</v>
      </c>
      <c r="Q74" s="648"/>
      <c r="R74" s="649"/>
      <c r="S74" s="650"/>
      <c r="T74" s="650"/>
      <c r="U74" s="650"/>
      <c r="V74" s="650"/>
      <c r="W74" s="650"/>
      <c r="X74" s="650"/>
      <c r="Y74" s="650"/>
      <c r="Z74" s="650"/>
      <c r="AA74" s="650"/>
      <c r="AB74" s="650"/>
      <c r="AC74" s="650"/>
      <c r="AD74" s="650"/>
      <c r="AE74" s="650"/>
    </row>
    <row r="75" spans="1:31" s="32" customFormat="1" ht="18" customHeight="1" thickBot="1">
      <c r="A75" s="98">
        <v>66</v>
      </c>
      <c r="B75" s="227"/>
      <c r="C75" s="496">
        <v>2</v>
      </c>
      <c r="D75" s="2129" t="s">
        <v>137</v>
      </c>
      <c r="E75" s="2108"/>
      <c r="F75" s="353"/>
      <c r="G75" s="94">
        <v>180</v>
      </c>
      <c r="H75" s="94"/>
      <c r="I75" s="266"/>
      <c r="J75" s="277"/>
      <c r="K75" s="261"/>
      <c r="L75" s="261"/>
      <c r="M75" s="261"/>
      <c r="N75" s="273"/>
      <c r="O75" s="273"/>
      <c r="P75" s="273"/>
      <c r="Q75" s="273"/>
      <c r="R75" s="274"/>
      <c r="S75" s="201"/>
      <c r="T75" s="201"/>
      <c r="U75" s="201"/>
      <c r="V75" s="201"/>
      <c r="W75" s="201"/>
      <c r="X75" s="201"/>
      <c r="Y75" s="201"/>
      <c r="Z75" s="201"/>
      <c r="AA75" s="201"/>
      <c r="AB75" s="201"/>
      <c r="AC75" s="201"/>
      <c r="AD75" s="201"/>
      <c r="AE75" s="201"/>
    </row>
    <row r="76" spans="1:31" s="154" customFormat="1" ht="22.5" customHeight="1" thickTop="1">
      <c r="A76" s="98">
        <v>67</v>
      </c>
      <c r="B76" s="270"/>
      <c r="C76" s="2065" t="s">
        <v>425</v>
      </c>
      <c r="D76" s="2066"/>
      <c r="E76" s="2067"/>
      <c r="F76" s="531"/>
      <c r="G76" s="527">
        <f>SUM(G52:G75)</f>
        <v>1317515</v>
      </c>
      <c r="H76" s="527">
        <f>SUM(H52:H75)</f>
        <v>1309869</v>
      </c>
      <c r="I76" s="529">
        <f>SUM(I52:I75)</f>
        <v>1413145</v>
      </c>
      <c r="J76" s="530"/>
      <c r="K76" s="532"/>
      <c r="L76" s="532"/>
      <c r="M76" s="532"/>
      <c r="N76" s="532"/>
      <c r="O76" s="532"/>
      <c r="P76" s="532"/>
      <c r="Q76" s="532"/>
      <c r="R76" s="533"/>
      <c r="S76" s="271"/>
      <c r="T76" s="276"/>
      <c r="U76" s="276"/>
      <c r="V76" s="276"/>
      <c r="W76" s="276"/>
      <c r="X76" s="276"/>
      <c r="Y76" s="276"/>
      <c r="Z76" s="276"/>
      <c r="AA76" s="276"/>
      <c r="AB76" s="276"/>
      <c r="AC76" s="276"/>
      <c r="AD76" s="276"/>
      <c r="AE76" s="276"/>
    </row>
    <row r="77" spans="1:31" s="601" customFormat="1" ht="18" customHeight="1">
      <c r="A77" s="98">
        <v>68</v>
      </c>
      <c r="B77" s="359"/>
      <c r="C77" s="1193"/>
      <c r="D77" s="1056"/>
      <c r="E77" s="628" t="s">
        <v>283</v>
      </c>
      <c r="F77" s="1057"/>
      <c r="G77" s="1057"/>
      <c r="H77" s="1057"/>
      <c r="I77" s="646"/>
      <c r="J77" s="647">
        <f>SUM(K77:R77)</f>
        <v>1457854</v>
      </c>
      <c r="K77" s="648">
        <f aca="true" t="shared" si="3" ref="K77:R77">SUM(K53,K61,K67)</f>
        <v>1062405</v>
      </c>
      <c r="L77" s="648">
        <f t="shared" si="3"/>
        <v>186488</v>
      </c>
      <c r="M77" s="648">
        <f t="shared" si="3"/>
        <v>196042</v>
      </c>
      <c r="N77" s="648">
        <f t="shared" si="3"/>
        <v>0</v>
      </c>
      <c r="O77" s="648">
        <f t="shared" si="3"/>
        <v>0</v>
      </c>
      <c r="P77" s="648">
        <f t="shared" si="3"/>
        <v>12919</v>
      </c>
      <c r="Q77" s="648">
        <f t="shared" si="3"/>
        <v>0</v>
      </c>
      <c r="R77" s="649">
        <f t="shared" si="3"/>
        <v>0</v>
      </c>
      <c r="S77" s="650"/>
      <c r="T77" s="650"/>
      <c r="U77" s="650"/>
      <c r="V77" s="650"/>
      <c r="W77" s="650"/>
      <c r="X77" s="650"/>
      <c r="Y77" s="650"/>
      <c r="Z77" s="650"/>
      <c r="AA77" s="650"/>
      <c r="AB77" s="650"/>
      <c r="AC77" s="650"/>
      <c r="AD77" s="650"/>
      <c r="AE77" s="650"/>
    </row>
    <row r="78" spans="1:31" s="601" customFormat="1" ht="18" customHeight="1">
      <c r="A78" s="98">
        <v>69</v>
      </c>
      <c r="B78" s="1207"/>
      <c r="C78" s="1193"/>
      <c r="D78" s="1056"/>
      <c r="E78" s="483" t="s">
        <v>938</v>
      </c>
      <c r="F78" s="1057"/>
      <c r="G78" s="1057"/>
      <c r="H78" s="1057"/>
      <c r="I78" s="646"/>
      <c r="J78" s="1644">
        <f>SUM(K78:R78)</f>
        <v>1571003</v>
      </c>
      <c r="K78" s="1206">
        <f aca="true" t="shared" si="4" ref="K78:R78">SUM(K54,K62,K68,K72)</f>
        <v>1131532</v>
      </c>
      <c r="L78" s="1206">
        <f t="shared" si="4"/>
        <v>196828</v>
      </c>
      <c r="M78" s="1206">
        <f t="shared" si="4"/>
        <v>220754</v>
      </c>
      <c r="N78" s="1206">
        <f t="shared" si="4"/>
        <v>0</v>
      </c>
      <c r="O78" s="1206">
        <f t="shared" si="4"/>
        <v>0</v>
      </c>
      <c r="P78" s="1206">
        <f t="shared" si="4"/>
        <v>21889</v>
      </c>
      <c r="Q78" s="1206">
        <f t="shared" si="4"/>
        <v>0</v>
      </c>
      <c r="R78" s="1653">
        <f t="shared" si="4"/>
        <v>0</v>
      </c>
      <c r="S78" s="650"/>
      <c r="T78" s="650"/>
      <c r="U78" s="650"/>
      <c r="V78" s="650"/>
      <c r="W78" s="650"/>
      <c r="X78" s="650"/>
      <c r="Y78" s="650"/>
      <c r="Z78" s="650"/>
      <c r="AA78" s="650"/>
      <c r="AB78" s="650"/>
      <c r="AC78" s="650"/>
      <c r="AD78" s="650"/>
      <c r="AE78" s="650"/>
    </row>
    <row r="79" spans="1:31" s="601" customFormat="1" ht="18" customHeight="1">
      <c r="A79" s="98">
        <v>70</v>
      </c>
      <c r="B79" s="1207"/>
      <c r="C79" s="1194"/>
      <c r="D79" s="1194"/>
      <c r="E79" s="1146" t="s">
        <v>674</v>
      </c>
      <c r="F79" s="1055"/>
      <c r="G79" s="1055"/>
      <c r="H79" s="1055"/>
      <c r="I79" s="637"/>
      <c r="J79" s="1197">
        <f>SUM(K79:R79)</f>
        <v>43160</v>
      </c>
      <c r="K79" s="273">
        <f>SUM(K55:K57,K63:K64,K69:K69)+K73</f>
        <v>28518</v>
      </c>
      <c r="L79" s="273">
        <f aca="true" t="shared" si="5" ref="L79:R79">SUM(L55:L57,L63:L64,L69:L69)+L73</f>
        <v>4175</v>
      </c>
      <c r="M79" s="273">
        <f t="shared" si="5"/>
        <v>10467</v>
      </c>
      <c r="N79" s="273">
        <f t="shared" si="5"/>
        <v>0</v>
      </c>
      <c r="O79" s="273">
        <f t="shared" si="5"/>
        <v>0</v>
      </c>
      <c r="P79" s="273">
        <f t="shared" si="5"/>
        <v>0</v>
      </c>
      <c r="Q79" s="273">
        <f t="shared" si="5"/>
        <v>0</v>
      </c>
      <c r="R79" s="274">
        <f t="shared" si="5"/>
        <v>0</v>
      </c>
      <c r="S79" s="650"/>
      <c r="T79" s="650"/>
      <c r="U79" s="650"/>
      <c r="V79" s="650"/>
      <c r="W79" s="650"/>
      <c r="X79" s="650"/>
      <c r="Y79" s="650"/>
      <c r="Z79" s="650"/>
      <c r="AA79" s="650"/>
      <c r="AB79" s="650"/>
      <c r="AC79" s="650"/>
      <c r="AD79" s="650"/>
      <c r="AE79" s="650"/>
    </row>
    <row r="80" spans="1:31" s="601" customFormat="1" ht="18" customHeight="1" thickBot="1">
      <c r="A80" s="98">
        <v>71</v>
      </c>
      <c r="B80" s="1207"/>
      <c r="C80" s="1208"/>
      <c r="D80" s="1209"/>
      <c r="E80" s="1577" t="s">
        <v>1091</v>
      </c>
      <c r="F80" s="1158"/>
      <c r="G80" s="1158"/>
      <c r="H80" s="1158"/>
      <c r="I80" s="1203"/>
      <c r="J80" s="1205">
        <f>SUM(K80:R80)</f>
        <v>1614163</v>
      </c>
      <c r="K80" s="1210">
        <f>SUM(K78:K79)</f>
        <v>1160050</v>
      </c>
      <c r="L80" s="1210">
        <f aca="true" t="shared" si="6" ref="L80:R80">SUM(L78:L79)</f>
        <v>201003</v>
      </c>
      <c r="M80" s="1210">
        <f t="shared" si="6"/>
        <v>231221</v>
      </c>
      <c r="N80" s="1210">
        <f t="shared" si="6"/>
        <v>0</v>
      </c>
      <c r="O80" s="1210">
        <f t="shared" si="6"/>
        <v>0</v>
      </c>
      <c r="P80" s="1210">
        <f t="shared" si="6"/>
        <v>21889</v>
      </c>
      <c r="Q80" s="1210">
        <f t="shared" si="6"/>
        <v>0</v>
      </c>
      <c r="R80" s="1228">
        <f t="shared" si="6"/>
        <v>0</v>
      </c>
      <c r="S80" s="650"/>
      <c r="T80" s="650"/>
      <c r="U80" s="650"/>
      <c r="V80" s="650"/>
      <c r="W80" s="650"/>
      <c r="X80" s="650"/>
      <c r="Y80" s="650"/>
      <c r="Z80" s="650"/>
      <c r="AA80" s="650"/>
      <c r="AB80" s="650"/>
      <c r="AC80" s="650"/>
      <c r="AD80" s="650"/>
      <c r="AE80" s="650"/>
    </row>
    <row r="81" spans="1:31" s="22" customFormat="1" ht="22.5" customHeight="1" thickTop="1">
      <c r="A81" s="98">
        <v>72</v>
      </c>
      <c r="B81" s="237">
        <v>10</v>
      </c>
      <c r="C81" s="497"/>
      <c r="D81" s="2063" t="s">
        <v>378</v>
      </c>
      <c r="E81" s="2064"/>
      <c r="F81" s="351" t="s">
        <v>22</v>
      </c>
      <c r="G81" s="249">
        <v>245048</v>
      </c>
      <c r="H81" s="249">
        <v>213129</v>
      </c>
      <c r="I81" s="352">
        <v>207853</v>
      </c>
      <c r="J81" s="342"/>
      <c r="K81" s="249"/>
      <c r="L81" s="249"/>
      <c r="M81" s="249"/>
      <c r="N81" s="249"/>
      <c r="O81" s="249"/>
      <c r="P81" s="249"/>
      <c r="Q81" s="249"/>
      <c r="R81" s="272"/>
      <c r="S81" s="156"/>
      <c r="T81" s="156"/>
      <c r="U81" s="156"/>
      <c r="V81" s="156"/>
      <c r="W81" s="156"/>
      <c r="X81" s="156"/>
      <c r="Y81" s="156"/>
      <c r="Z81" s="156"/>
      <c r="AA81" s="156"/>
      <c r="AB81" s="156"/>
      <c r="AC81" s="156"/>
      <c r="AD81" s="156"/>
      <c r="AE81" s="156"/>
    </row>
    <row r="82" spans="1:31" s="601" customFormat="1" ht="18" customHeight="1">
      <c r="A82" s="98">
        <v>73</v>
      </c>
      <c r="B82" s="359"/>
      <c r="C82" s="1054"/>
      <c r="D82" s="1054"/>
      <c r="E82" s="636" t="s">
        <v>283</v>
      </c>
      <c r="F82" s="1055"/>
      <c r="G82" s="1055"/>
      <c r="H82" s="1055"/>
      <c r="I82" s="637"/>
      <c r="J82" s="638">
        <f>SUM(K82:R82)</f>
        <v>239700</v>
      </c>
      <c r="K82" s="639">
        <v>99852</v>
      </c>
      <c r="L82" s="639">
        <v>16263</v>
      </c>
      <c r="M82" s="639">
        <v>120585</v>
      </c>
      <c r="N82" s="639"/>
      <c r="O82" s="639"/>
      <c r="P82" s="639">
        <v>3000</v>
      </c>
      <c r="Q82" s="639"/>
      <c r="R82" s="640"/>
      <c r="S82" s="650"/>
      <c r="T82" s="650"/>
      <c r="U82" s="650"/>
      <c r="V82" s="650"/>
      <c r="W82" s="650"/>
      <c r="X82" s="650"/>
      <c r="Y82" s="650"/>
      <c r="Z82" s="650"/>
      <c r="AA82" s="650"/>
      <c r="AB82" s="650"/>
      <c r="AC82" s="650"/>
      <c r="AD82" s="650"/>
      <c r="AE82" s="650"/>
    </row>
    <row r="83" spans="1:31" s="601" customFormat="1" ht="18" customHeight="1">
      <c r="A83" s="98">
        <v>74</v>
      </c>
      <c r="B83" s="359"/>
      <c r="C83" s="1054"/>
      <c r="D83" s="1054"/>
      <c r="E83" s="483" t="s">
        <v>938</v>
      </c>
      <c r="F83" s="1055"/>
      <c r="G83" s="1055"/>
      <c r="H83" s="1055"/>
      <c r="I83" s="637"/>
      <c r="J83" s="269">
        <f>SUM(K83:R83)</f>
        <v>285430</v>
      </c>
      <c r="K83" s="1200">
        <v>110852</v>
      </c>
      <c r="L83" s="1200">
        <v>17863</v>
      </c>
      <c r="M83" s="1200">
        <v>150475</v>
      </c>
      <c r="N83" s="1200"/>
      <c r="O83" s="1200"/>
      <c r="P83" s="1200">
        <v>6240</v>
      </c>
      <c r="Q83" s="639"/>
      <c r="R83" s="640"/>
      <c r="S83" s="650"/>
      <c r="T83" s="650"/>
      <c r="U83" s="650"/>
      <c r="V83" s="650"/>
      <c r="W83" s="650"/>
      <c r="X83" s="650"/>
      <c r="Y83" s="650"/>
      <c r="Z83" s="650"/>
      <c r="AA83" s="650"/>
      <c r="AB83" s="650"/>
      <c r="AC83" s="650"/>
      <c r="AD83" s="650"/>
      <c r="AE83" s="650"/>
    </row>
    <row r="84" spans="1:31" s="601" customFormat="1" ht="18" customHeight="1">
      <c r="A84" s="98">
        <v>75</v>
      </c>
      <c r="B84" s="359"/>
      <c r="C84" s="1054"/>
      <c r="D84" s="1054"/>
      <c r="E84" s="1146" t="s">
        <v>954</v>
      </c>
      <c r="F84" s="1055"/>
      <c r="G84" s="1055"/>
      <c r="H84" s="1055"/>
      <c r="I84" s="637"/>
      <c r="J84" s="1197">
        <f>SUM(K84:R84)</f>
        <v>20202</v>
      </c>
      <c r="K84" s="273">
        <v>4315</v>
      </c>
      <c r="L84" s="273">
        <v>642</v>
      </c>
      <c r="M84" s="273">
        <v>13166</v>
      </c>
      <c r="N84" s="273"/>
      <c r="O84" s="273"/>
      <c r="P84" s="273">
        <v>2079</v>
      </c>
      <c r="Q84" s="639"/>
      <c r="R84" s="640"/>
      <c r="S84" s="650"/>
      <c r="T84" s="650"/>
      <c r="U84" s="650"/>
      <c r="V84" s="650"/>
      <c r="W84" s="650"/>
      <c r="X84" s="650"/>
      <c r="Y84" s="650"/>
      <c r="Z84" s="650"/>
      <c r="AA84" s="650"/>
      <c r="AB84" s="650"/>
      <c r="AC84" s="650"/>
      <c r="AD84" s="650"/>
      <c r="AE84" s="650"/>
    </row>
    <row r="85" spans="1:31" s="601" customFormat="1" ht="18" customHeight="1">
      <c r="A85" s="98">
        <v>76</v>
      </c>
      <c r="B85" s="359"/>
      <c r="C85" s="1054"/>
      <c r="D85" s="1054"/>
      <c r="E85" s="1151" t="s">
        <v>1004</v>
      </c>
      <c r="F85" s="1055"/>
      <c r="G85" s="1055"/>
      <c r="H85" s="1055"/>
      <c r="I85" s="637"/>
      <c r="J85" s="1197">
        <f>SUM(K85:R85)</f>
        <v>51</v>
      </c>
      <c r="K85" s="273"/>
      <c r="L85" s="273"/>
      <c r="M85" s="273">
        <v>51</v>
      </c>
      <c r="N85" s="273"/>
      <c r="O85" s="273"/>
      <c r="P85" s="273"/>
      <c r="Q85" s="639"/>
      <c r="R85" s="640"/>
      <c r="S85" s="650"/>
      <c r="T85" s="650"/>
      <c r="U85" s="650"/>
      <c r="V85" s="650"/>
      <c r="W85" s="650"/>
      <c r="X85" s="650"/>
      <c r="Y85" s="650"/>
      <c r="Z85" s="650"/>
      <c r="AA85" s="650"/>
      <c r="AB85" s="650"/>
      <c r="AC85" s="650"/>
      <c r="AD85" s="650"/>
      <c r="AE85" s="650"/>
    </row>
    <row r="86" spans="1:31" s="601" customFormat="1" ht="18" customHeight="1">
      <c r="A86" s="98">
        <v>77</v>
      </c>
      <c r="B86" s="359"/>
      <c r="C86" s="1054"/>
      <c r="D86" s="1054"/>
      <c r="E86" s="483" t="s">
        <v>1091</v>
      </c>
      <c r="F86" s="1055"/>
      <c r="G86" s="1055"/>
      <c r="H86" s="1055"/>
      <c r="I86" s="637"/>
      <c r="J86" s="269">
        <f>SUM(K86:R86)</f>
        <v>305683</v>
      </c>
      <c r="K86" s="1200">
        <f>SUM(K83:K85)</f>
        <v>115167</v>
      </c>
      <c r="L86" s="1200">
        <f>SUM(L83:L85)</f>
        <v>18505</v>
      </c>
      <c r="M86" s="1200">
        <f>SUM(M83:M85)</f>
        <v>163692</v>
      </c>
      <c r="N86" s="1200"/>
      <c r="O86" s="1200"/>
      <c r="P86" s="1200">
        <f>SUM(P83:P85)</f>
        <v>8319</v>
      </c>
      <c r="Q86" s="639"/>
      <c r="R86" s="640"/>
      <c r="S86" s="650"/>
      <c r="T86" s="650"/>
      <c r="U86" s="650"/>
      <c r="V86" s="650"/>
      <c r="W86" s="650"/>
      <c r="X86" s="650"/>
      <c r="Y86" s="650"/>
      <c r="Z86" s="650"/>
      <c r="AA86" s="650"/>
      <c r="AB86" s="650"/>
      <c r="AC86" s="650"/>
      <c r="AD86" s="650"/>
      <c r="AE86" s="650"/>
    </row>
    <row r="87" spans="1:31" s="29" customFormat="1" ht="18" customHeight="1">
      <c r="A87" s="98">
        <v>78</v>
      </c>
      <c r="B87" s="926"/>
      <c r="C87" s="927"/>
      <c r="D87" s="2109" t="s">
        <v>525</v>
      </c>
      <c r="E87" s="2110"/>
      <c r="F87" s="928"/>
      <c r="G87" s="116"/>
      <c r="H87" s="116">
        <v>13610</v>
      </c>
      <c r="I87" s="929"/>
      <c r="J87" s="277"/>
      <c r="K87" s="273"/>
      <c r="L87" s="273"/>
      <c r="M87" s="273"/>
      <c r="N87" s="273"/>
      <c r="O87" s="273"/>
      <c r="P87" s="273"/>
      <c r="Q87" s="273"/>
      <c r="R87" s="274"/>
      <c r="S87" s="113"/>
      <c r="T87" s="113"/>
      <c r="U87" s="113"/>
      <c r="V87" s="113"/>
      <c r="W87" s="113"/>
      <c r="X87" s="113"/>
      <c r="Y87" s="113"/>
      <c r="Z87" s="113"/>
      <c r="AA87" s="113"/>
      <c r="AB87" s="113"/>
      <c r="AC87" s="113"/>
      <c r="AD87" s="113"/>
      <c r="AE87" s="113"/>
    </row>
    <row r="88" spans="1:31" s="25" customFormat="1" ht="28.5" customHeight="1">
      <c r="A88" s="98">
        <v>79</v>
      </c>
      <c r="B88" s="227"/>
      <c r="C88" s="495">
        <v>1</v>
      </c>
      <c r="D88" s="2070" t="s">
        <v>419</v>
      </c>
      <c r="E88" s="2130"/>
      <c r="F88" s="499"/>
      <c r="G88" s="94">
        <v>5228</v>
      </c>
      <c r="H88" s="94">
        <v>89379</v>
      </c>
      <c r="I88" s="266">
        <v>13739</v>
      </c>
      <c r="J88" s="277"/>
      <c r="K88" s="261"/>
      <c r="L88" s="261"/>
      <c r="M88" s="261"/>
      <c r="N88" s="273"/>
      <c r="O88" s="273"/>
      <c r="P88" s="273"/>
      <c r="Q88" s="273"/>
      <c r="R88" s="274"/>
      <c r="S88" s="34"/>
      <c r="T88" s="34"/>
      <c r="U88" s="34"/>
      <c r="V88" s="34"/>
      <c r="W88" s="34"/>
      <c r="X88" s="34"/>
      <c r="Y88" s="34"/>
      <c r="Z88" s="34"/>
      <c r="AA88" s="34"/>
      <c r="AB88" s="34"/>
      <c r="AC88" s="34"/>
      <c r="AD88" s="34"/>
      <c r="AE88" s="34"/>
    </row>
    <row r="89" spans="1:31" s="652" customFormat="1" ht="18" customHeight="1">
      <c r="A89" s="98">
        <v>80</v>
      </c>
      <c r="B89" s="359"/>
      <c r="C89" s="1054"/>
      <c r="D89" s="1054"/>
      <c r="E89" s="1069" t="s">
        <v>283</v>
      </c>
      <c r="F89" s="1059"/>
      <c r="G89" s="1055"/>
      <c r="H89" s="1055"/>
      <c r="I89" s="637"/>
      <c r="J89" s="638">
        <f>SUM(K89:R89)</f>
        <v>75640</v>
      </c>
      <c r="K89" s="639">
        <v>23241</v>
      </c>
      <c r="L89" s="639">
        <v>4479</v>
      </c>
      <c r="M89" s="639">
        <v>43870</v>
      </c>
      <c r="N89" s="639"/>
      <c r="O89" s="639"/>
      <c r="P89" s="639">
        <v>4050</v>
      </c>
      <c r="Q89" s="639"/>
      <c r="R89" s="640"/>
      <c r="S89" s="651"/>
      <c r="T89" s="651"/>
      <c r="U89" s="651"/>
      <c r="V89" s="651"/>
      <c r="W89" s="651"/>
      <c r="X89" s="651"/>
      <c r="Y89" s="651"/>
      <c r="Z89" s="651"/>
      <c r="AA89" s="651"/>
      <c r="AB89" s="651"/>
      <c r="AC89" s="651"/>
      <c r="AD89" s="651"/>
      <c r="AE89" s="651"/>
    </row>
    <row r="90" spans="1:31" s="652" customFormat="1" ht="18" customHeight="1">
      <c r="A90" s="98">
        <v>81</v>
      </c>
      <c r="B90" s="359"/>
      <c r="C90" s="1054"/>
      <c r="D90" s="1054"/>
      <c r="E90" s="483" t="s">
        <v>938</v>
      </c>
      <c r="F90" s="1059"/>
      <c r="G90" s="1055"/>
      <c r="H90" s="1055"/>
      <c r="I90" s="637"/>
      <c r="J90" s="269">
        <f>SUM(K90:R90)</f>
        <v>75640</v>
      </c>
      <c r="K90" s="1200">
        <v>23241</v>
      </c>
      <c r="L90" s="1200">
        <v>4479</v>
      </c>
      <c r="M90" s="1200">
        <v>43870</v>
      </c>
      <c r="N90" s="1200"/>
      <c r="O90" s="1200"/>
      <c r="P90" s="1200">
        <v>4050</v>
      </c>
      <c r="Q90" s="639"/>
      <c r="R90" s="640"/>
      <c r="S90" s="651"/>
      <c r="T90" s="651"/>
      <c r="U90" s="651"/>
      <c r="V90" s="651"/>
      <c r="W90" s="651"/>
      <c r="X90" s="651"/>
      <c r="Y90" s="651"/>
      <c r="Z90" s="651"/>
      <c r="AA90" s="651"/>
      <c r="AB90" s="651"/>
      <c r="AC90" s="651"/>
      <c r="AD90" s="651"/>
      <c r="AE90" s="651"/>
    </row>
    <row r="91" spans="1:31" s="652" customFormat="1" ht="18" customHeight="1">
      <c r="A91" s="98">
        <v>82</v>
      </c>
      <c r="B91" s="359"/>
      <c r="C91" s="1054"/>
      <c r="D91" s="1054"/>
      <c r="E91" s="1146" t="s">
        <v>674</v>
      </c>
      <c r="F91" s="1059"/>
      <c r="G91" s="1055"/>
      <c r="H91" s="1055"/>
      <c r="I91" s="637"/>
      <c r="J91" s="1197">
        <f>SUM(K91:R91)</f>
        <v>0</v>
      </c>
      <c r="K91" s="639"/>
      <c r="L91" s="639"/>
      <c r="M91" s="639"/>
      <c r="N91" s="639"/>
      <c r="O91" s="639"/>
      <c r="P91" s="639"/>
      <c r="Q91" s="639"/>
      <c r="R91" s="640"/>
      <c r="S91" s="651"/>
      <c r="T91" s="651"/>
      <c r="U91" s="651"/>
      <c r="V91" s="651"/>
      <c r="W91" s="651"/>
      <c r="X91" s="651"/>
      <c r="Y91" s="651"/>
      <c r="Z91" s="651"/>
      <c r="AA91" s="651"/>
      <c r="AB91" s="651"/>
      <c r="AC91" s="651"/>
      <c r="AD91" s="651"/>
      <c r="AE91" s="651"/>
    </row>
    <row r="92" spans="1:31" s="652" customFormat="1" ht="18" customHeight="1">
      <c r="A92" s="98">
        <v>83</v>
      </c>
      <c r="B92" s="359"/>
      <c r="C92" s="1054"/>
      <c r="D92" s="1054"/>
      <c r="E92" s="483" t="s">
        <v>1091</v>
      </c>
      <c r="F92" s="1059"/>
      <c r="G92" s="1055"/>
      <c r="H92" s="1055"/>
      <c r="I92" s="637"/>
      <c r="J92" s="269">
        <f>SUM(K92:R92)</f>
        <v>75640</v>
      </c>
      <c r="K92" s="1200">
        <f>SUM(K90:K91)</f>
        <v>23241</v>
      </c>
      <c r="L92" s="1200">
        <f>SUM(L90:L91)</f>
        <v>4479</v>
      </c>
      <c r="M92" s="1200">
        <f>SUM(M90:M91)</f>
        <v>43870</v>
      </c>
      <c r="N92" s="1200"/>
      <c r="O92" s="1200"/>
      <c r="P92" s="1200">
        <f>SUM(P90:P91)</f>
        <v>4050</v>
      </c>
      <c r="Q92" s="639"/>
      <c r="R92" s="640"/>
      <c r="S92" s="651"/>
      <c r="T92" s="651"/>
      <c r="U92" s="651"/>
      <c r="V92" s="651"/>
      <c r="W92" s="651"/>
      <c r="X92" s="651"/>
      <c r="Y92" s="651"/>
      <c r="Z92" s="651"/>
      <c r="AA92" s="651"/>
      <c r="AB92" s="651"/>
      <c r="AC92" s="651"/>
      <c r="AD92" s="651"/>
      <c r="AE92" s="651"/>
    </row>
    <row r="93" spans="1:31" s="652" customFormat="1" ht="34.5" customHeight="1">
      <c r="A93" s="98">
        <v>84</v>
      </c>
      <c r="B93" s="359"/>
      <c r="C93" s="1054"/>
      <c r="D93" s="2068" t="s">
        <v>877</v>
      </c>
      <c r="E93" s="2071"/>
      <c r="F93" s="1059"/>
      <c r="G93" s="1055"/>
      <c r="H93" s="1055"/>
      <c r="I93" s="637"/>
      <c r="J93" s="269"/>
      <c r="K93" s="1200"/>
      <c r="L93" s="1200"/>
      <c r="M93" s="1200"/>
      <c r="N93" s="1200"/>
      <c r="O93" s="1200"/>
      <c r="P93" s="1200"/>
      <c r="Q93" s="639"/>
      <c r="R93" s="640"/>
      <c r="S93" s="651"/>
      <c r="T93" s="651"/>
      <c r="U93" s="651"/>
      <c r="V93" s="651"/>
      <c r="W93" s="651"/>
      <c r="X93" s="651"/>
      <c r="Y93" s="651"/>
      <c r="Z93" s="651"/>
      <c r="AA93" s="651"/>
      <c r="AB93" s="651"/>
      <c r="AC93" s="651"/>
      <c r="AD93" s="651"/>
      <c r="AE93" s="651"/>
    </row>
    <row r="94" spans="1:31" s="652" customFormat="1" ht="19.5" customHeight="1">
      <c r="A94" s="98">
        <v>85</v>
      </c>
      <c r="B94" s="359"/>
      <c r="C94" s="1054"/>
      <c r="D94" s="1835"/>
      <c r="E94" s="260" t="s">
        <v>938</v>
      </c>
      <c r="F94" s="1059"/>
      <c r="G94" s="1055"/>
      <c r="H94" s="1055"/>
      <c r="I94" s="637"/>
      <c r="J94" s="269">
        <f>SUM(K94:R94)</f>
        <v>20000</v>
      </c>
      <c r="K94" s="1200">
        <v>4915</v>
      </c>
      <c r="L94" s="1200">
        <v>686</v>
      </c>
      <c r="M94" s="1200">
        <v>13831</v>
      </c>
      <c r="N94" s="1200"/>
      <c r="O94" s="1200"/>
      <c r="P94" s="1200">
        <v>568</v>
      </c>
      <c r="Q94" s="639"/>
      <c r="R94" s="640"/>
      <c r="S94" s="651"/>
      <c r="T94" s="651"/>
      <c r="U94" s="651"/>
      <c r="V94" s="651"/>
      <c r="W94" s="651"/>
      <c r="X94" s="651"/>
      <c r="Y94" s="651"/>
      <c r="Z94" s="651"/>
      <c r="AA94" s="651"/>
      <c r="AB94" s="651"/>
      <c r="AC94" s="651"/>
      <c r="AD94" s="651"/>
      <c r="AE94" s="651"/>
    </row>
    <row r="95" spans="1:31" s="652" customFormat="1" ht="18" customHeight="1">
      <c r="A95" s="98">
        <v>86</v>
      </c>
      <c r="B95" s="359"/>
      <c r="C95" s="1706">
        <v>2</v>
      </c>
      <c r="D95" s="1179"/>
      <c r="E95" s="1151" t="s">
        <v>725</v>
      </c>
      <c r="F95" s="1059"/>
      <c r="G95" s="1055"/>
      <c r="H95" s="1055"/>
      <c r="I95" s="637"/>
      <c r="J95" s="1197">
        <f>SUM(K95:R95)</f>
        <v>0</v>
      </c>
      <c r="K95" s="273"/>
      <c r="L95" s="273"/>
      <c r="M95" s="273"/>
      <c r="N95" s="273"/>
      <c r="O95" s="273"/>
      <c r="P95" s="273"/>
      <c r="Q95" s="639"/>
      <c r="R95" s="640"/>
      <c r="S95" s="651"/>
      <c r="T95" s="651"/>
      <c r="U95" s="651"/>
      <c r="V95" s="651"/>
      <c r="W95" s="651"/>
      <c r="X95" s="651"/>
      <c r="Y95" s="651"/>
      <c r="Z95" s="651"/>
      <c r="AA95" s="651"/>
      <c r="AB95" s="651"/>
      <c r="AC95" s="651"/>
      <c r="AD95" s="651"/>
      <c r="AE95" s="651"/>
    </row>
    <row r="96" spans="1:31" s="652" customFormat="1" ht="18" customHeight="1">
      <c r="A96" s="98">
        <v>87</v>
      </c>
      <c r="B96" s="359"/>
      <c r="C96" s="1054"/>
      <c r="D96" s="1179"/>
      <c r="E96" s="260" t="s">
        <v>1091</v>
      </c>
      <c r="F96" s="1059"/>
      <c r="G96" s="1055"/>
      <c r="H96" s="1055"/>
      <c r="I96" s="637"/>
      <c r="J96" s="269">
        <f>SUM(K96:R96)</f>
        <v>20000</v>
      </c>
      <c r="K96" s="1200">
        <f>SUM(K94:K95)</f>
        <v>4915</v>
      </c>
      <c r="L96" s="1200">
        <f>SUM(L94:L95)</f>
        <v>686</v>
      </c>
      <c r="M96" s="1200">
        <f>SUM(M94:M95)</f>
        <v>13831</v>
      </c>
      <c r="N96" s="1200"/>
      <c r="O96" s="1200"/>
      <c r="P96" s="1200">
        <f>SUM(P94:P95)</f>
        <v>568</v>
      </c>
      <c r="Q96" s="639"/>
      <c r="R96" s="640"/>
      <c r="S96" s="651"/>
      <c r="T96" s="651"/>
      <c r="U96" s="651"/>
      <c r="V96" s="651"/>
      <c r="W96" s="651"/>
      <c r="X96" s="651"/>
      <c r="Y96" s="651"/>
      <c r="Z96" s="651"/>
      <c r="AA96" s="651"/>
      <c r="AB96" s="651"/>
      <c r="AC96" s="651"/>
      <c r="AD96" s="651"/>
      <c r="AE96" s="651"/>
    </row>
    <row r="97" spans="1:31" s="29" customFormat="1" ht="22.5" customHeight="1">
      <c r="A97" s="98">
        <v>88</v>
      </c>
      <c r="B97" s="223">
        <v>11</v>
      </c>
      <c r="C97" s="495"/>
      <c r="D97" s="2059" t="s">
        <v>370</v>
      </c>
      <c r="E97" s="2060"/>
      <c r="F97" s="350" t="s">
        <v>22</v>
      </c>
      <c r="G97" s="94">
        <v>151034</v>
      </c>
      <c r="H97" s="94">
        <v>125328</v>
      </c>
      <c r="I97" s="266">
        <v>136279</v>
      </c>
      <c r="J97" s="277"/>
      <c r="K97" s="94"/>
      <c r="L97" s="94"/>
      <c r="M97" s="94"/>
      <c r="N97" s="94"/>
      <c r="O97" s="94"/>
      <c r="P97" s="94"/>
      <c r="Q97" s="94"/>
      <c r="R97" s="102"/>
      <c r="S97" s="113"/>
      <c r="T97" s="113"/>
      <c r="U97" s="113"/>
      <c r="V97" s="113"/>
      <c r="W97" s="113"/>
      <c r="X97" s="113"/>
      <c r="Y97" s="113"/>
      <c r="Z97" s="113"/>
      <c r="AA97" s="113"/>
      <c r="AB97" s="113"/>
      <c r="AC97" s="113"/>
      <c r="AD97" s="113"/>
      <c r="AE97" s="113"/>
    </row>
    <row r="98" spans="1:31" s="652" customFormat="1" ht="18" customHeight="1">
      <c r="A98" s="98">
        <v>89</v>
      </c>
      <c r="B98" s="359"/>
      <c r="C98" s="1054"/>
      <c r="D98" s="1054"/>
      <c r="E98" s="636" t="s">
        <v>283</v>
      </c>
      <c r="F98" s="1055"/>
      <c r="G98" s="1055"/>
      <c r="H98" s="1055"/>
      <c r="I98" s="637"/>
      <c r="J98" s="638">
        <f>SUM(K98:R98)</f>
        <v>156915</v>
      </c>
      <c r="K98" s="639">
        <v>84974</v>
      </c>
      <c r="L98" s="639">
        <v>13403</v>
      </c>
      <c r="M98" s="639">
        <v>50338</v>
      </c>
      <c r="N98" s="639"/>
      <c r="O98" s="639"/>
      <c r="P98" s="639">
        <v>8200</v>
      </c>
      <c r="Q98" s="639"/>
      <c r="R98" s="640"/>
      <c r="S98" s="651"/>
      <c r="T98" s="651"/>
      <c r="U98" s="651"/>
      <c r="V98" s="651"/>
      <c r="W98" s="651"/>
      <c r="X98" s="651"/>
      <c r="Y98" s="651"/>
      <c r="Z98" s="651"/>
      <c r="AA98" s="651"/>
      <c r="AB98" s="651"/>
      <c r="AC98" s="651"/>
      <c r="AD98" s="651"/>
      <c r="AE98" s="651"/>
    </row>
    <row r="99" spans="1:31" s="652" customFormat="1" ht="18" customHeight="1">
      <c r="A99" s="98">
        <v>90</v>
      </c>
      <c r="B99" s="359"/>
      <c r="C99" s="1054"/>
      <c r="D99" s="1054"/>
      <c r="E99" s="483" t="s">
        <v>938</v>
      </c>
      <c r="F99" s="1055"/>
      <c r="G99" s="1055"/>
      <c r="H99" s="1055"/>
      <c r="I99" s="637"/>
      <c r="J99" s="269">
        <f>SUM(K99:R99)</f>
        <v>171113</v>
      </c>
      <c r="K99" s="1200">
        <v>92342</v>
      </c>
      <c r="L99" s="1200">
        <v>14459</v>
      </c>
      <c r="M99" s="1200">
        <v>53862</v>
      </c>
      <c r="N99" s="1200"/>
      <c r="O99" s="1200"/>
      <c r="P99" s="1200">
        <v>10450</v>
      </c>
      <c r="Q99" s="639"/>
      <c r="R99" s="640"/>
      <c r="S99" s="651"/>
      <c r="T99" s="651"/>
      <c r="U99" s="651"/>
      <c r="V99" s="651"/>
      <c r="W99" s="651"/>
      <c r="X99" s="651"/>
      <c r="Y99" s="651"/>
      <c r="Z99" s="651"/>
      <c r="AA99" s="651"/>
      <c r="AB99" s="651"/>
      <c r="AC99" s="651"/>
      <c r="AD99" s="651"/>
      <c r="AE99" s="651"/>
    </row>
    <row r="100" spans="1:31" s="652" customFormat="1" ht="18" customHeight="1">
      <c r="A100" s="98">
        <v>91</v>
      </c>
      <c r="B100" s="359"/>
      <c r="C100" s="1054"/>
      <c r="D100" s="1054"/>
      <c r="E100" s="1146" t="s">
        <v>963</v>
      </c>
      <c r="F100" s="1055"/>
      <c r="G100" s="1055"/>
      <c r="H100" s="1055"/>
      <c r="I100" s="637"/>
      <c r="J100" s="1197">
        <f>SUM(K100:R100)</f>
        <v>744</v>
      </c>
      <c r="K100" s="273">
        <v>744</v>
      </c>
      <c r="L100" s="273"/>
      <c r="M100" s="273"/>
      <c r="N100" s="273"/>
      <c r="O100" s="273"/>
      <c r="P100" s="273"/>
      <c r="Q100" s="639"/>
      <c r="R100" s="640"/>
      <c r="S100" s="651"/>
      <c r="T100" s="651"/>
      <c r="U100" s="651"/>
      <c r="V100" s="651"/>
      <c r="W100" s="651"/>
      <c r="X100" s="651"/>
      <c r="Y100" s="651"/>
      <c r="Z100" s="651"/>
      <c r="AA100" s="651"/>
      <c r="AB100" s="651"/>
      <c r="AC100" s="651"/>
      <c r="AD100" s="651"/>
      <c r="AE100" s="651"/>
    </row>
    <row r="101" spans="1:31" s="652" customFormat="1" ht="18" customHeight="1">
      <c r="A101" s="98">
        <v>92</v>
      </c>
      <c r="B101" s="359"/>
      <c r="C101" s="1054"/>
      <c r="D101" s="1054"/>
      <c r="E101" s="1146" t="s">
        <v>953</v>
      </c>
      <c r="F101" s="1055"/>
      <c r="G101" s="1055"/>
      <c r="H101" s="1055"/>
      <c r="I101" s="637"/>
      <c r="J101" s="1197">
        <f>SUM(K101:R101)</f>
        <v>8299</v>
      </c>
      <c r="K101" s="273">
        <v>920</v>
      </c>
      <c r="L101" s="273">
        <v>142</v>
      </c>
      <c r="M101" s="273">
        <v>5387</v>
      </c>
      <c r="N101" s="273"/>
      <c r="O101" s="273"/>
      <c r="P101" s="273">
        <v>1850</v>
      </c>
      <c r="Q101" s="639"/>
      <c r="R101" s="640"/>
      <c r="S101" s="651"/>
      <c r="T101" s="651"/>
      <c r="U101" s="651"/>
      <c r="V101" s="651"/>
      <c r="W101" s="651"/>
      <c r="X101" s="651"/>
      <c r="Y101" s="651"/>
      <c r="Z101" s="651"/>
      <c r="AA101" s="651"/>
      <c r="AB101" s="651"/>
      <c r="AC101" s="651"/>
      <c r="AD101" s="651"/>
      <c r="AE101" s="651"/>
    </row>
    <row r="102" spans="1:31" s="652" customFormat="1" ht="18" customHeight="1">
      <c r="A102" s="98">
        <v>93</v>
      </c>
      <c r="B102" s="359"/>
      <c r="C102" s="1054"/>
      <c r="D102" s="1054"/>
      <c r="E102" s="1151" t="s">
        <v>965</v>
      </c>
      <c r="F102" s="1055"/>
      <c r="G102" s="1055"/>
      <c r="H102" s="1055"/>
      <c r="I102" s="637"/>
      <c r="J102" s="1197">
        <f>SUM(K102:R102)</f>
        <v>187</v>
      </c>
      <c r="K102" s="273">
        <v>128</v>
      </c>
      <c r="L102" s="273">
        <v>59</v>
      </c>
      <c r="M102" s="273"/>
      <c r="N102" s="273"/>
      <c r="O102" s="273"/>
      <c r="P102" s="273"/>
      <c r="Q102" s="639"/>
      <c r="R102" s="640"/>
      <c r="S102" s="651"/>
      <c r="T102" s="651"/>
      <c r="U102" s="651"/>
      <c r="V102" s="651"/>
      <c r="W102" s="651"/>
      <c r="X102" s="651"/>
      <c r="Y102" s="651"/>
      <c r="Z102" s="651"/>
      <c r="AA102" s="651"/>
      <c r="AB102" s="651"/>
      <c r="AC102" s="651"/>
      <c r="AD102" s="651"/>
      <c r="AE102" s="651"/>
    </row>
    <row r="103" spans="1:31" s="652" customFormat="1" ht="18" customHeight="1">
      <c r="A103" s="98">
        <v>94</v>
      </c>
      <c r="B103" s="359"/>
      <c r="C103" s="1054"/>
      <c r="D103" s="1054"/>
      <c r="E103" s="1151" t="s">
        <v>966</v>
      </c>
      <c r="F103" s="1055"/>
      <c r="G103" s="1055"/>
      <c r="H103" s="1055"/>
      <c r="I103" s="637"/>
      <c r="J103" s="1197">
        <f>SUM(K103:R103)</f>
        <v>-88</v>
      </c>
      <c r="K103" s="273"/>
      <c r="L103" s="273"/>
      <c r="M103" s="273">
        <v>-88</v>
      </c>
      <c r="N103" s="273"/>
      <c r="O103" s="273"/>
      <c r="P103" s="273"/>
      <c r="Q103" s="639"/>
      <c r="R103" s="640"/>
      <c r="S103" s="651"/>
      <c r="T103" s="651"/>
      <c r="U103" s="651"/>
      <c r="V103" s="651"/>
      <c r="W103" s="651"/>
      <c r="X103" s="651"/>
      <c r="Y103" s="651"/>
      <c r="Z103" s="651"/>
      <c r="AA103" s="651"/>
      <c r="AB103" s="651"/>
      <c r="AC103" s="651"/>
      <c r="AD103" s="651"/>
      <c r="AE103" s="651"/>
    </row>
    <row r="104" spans="1:31" s="652" customFormat="1" ht="18" customHeight="1">
      <c r="A104" s="98">
        <v>95</v>
      </c>
      <c r="B104" s="359"/>
      <c r="C104" s="1054"/>
      <c r="D104" s="1054"/>
      <c r="E104" s="483" t="s">
        <v>1091</v>
      </c>
      <c r="F104" s="1055"/>
      <c r="G104" s="1055"/>
      <c r="H104" s="1055"/>
      <c r="I104" s="637"/>
      <c r="J104" s="269">
        <f>SUM(K104:R104)</f>
        <v>180255</v>
      </c>
      <c r="K104" s="1200">
        <f>SUM(K99:K103)</f>
        <v>94134</v>
      </c>
      <c r="L104" s="1200">
        <f>SUM(L99:L103)</f>
        <v>14660</v>
      </c>
      <c r="M104" s="1200">
        <f>SUM(M99:M103)</f>
        <v>59161</v>
      </c>
      <c r="N104" s="1200"/>
      <c r="O104" s="1200"/>
      <c r="P104" s="1200">
        <f>SUM(P99:P103)</f>
        <v>12300</v>
      </c>
      <c r="Q104" s="639"/>
      <c r="R104" s="640"/>
      <c r="S104" s="651"/>
      <c r="T104" s="651"/>
      <c r="U104" s="651"/>
      <c r="V104" s="651"/>
      <c r="W104" s="651"/>
      <c r="X104" s="651"/>
      <c r="Y104" s="651"/>
      <c r="Z104" s="651"/>
      <c r="AA104" s="651"/>
      <c r="AB104" s="651"/>
      <c r="AC104" s="651"/>
      <c r="AD104" s="651"/>
      <c r="AE104" s="651"/>
    </row>
    <row r="105" spans="1:31" s="29" customFormat="1" ht="18" customHeight="1">
      <c r="A105" s="98">
        <v>96</v>
      </c>
      <c r="B105" s="926"/>
      <c r="C105" s="927"/>
      <c r="D105" s="2109" t="s">
        <v>525</v>
      </c>
      <c r="E105" s="2110"/>
      <c r="F105" s="928"/>
      <c r="G105" s="116"/>
      <c r="H105" s="116">
        <v>13610</v>
      </c>
      <c r="I105" s="354">
        <v>0</v>
      </c>
      <c r="J105" s="277"/>
      <c r="K105" s="273"/>
      <c r="L105" s="273"/>
      <c r="M105" s="273"/>
      <c r="N105" s="273"/>
      <c r="O105" s="273"/>
      <c r="P105" s="273"/>
      <c r="Q105" s="273"/>
      <c r="R105" s="274"/>
      <c r="S105" s="113"/>
      <c r="T105" s="113"/>
      <c r="U105" s="113"/>
      <c r="V105" s="113"/>
      <c r="W105" s="113"/>
      <c r="X105" s="113"/>
      <c r="Y105" s="113"/>
      <c r="Z105" s="113"/>
      <c r="AA105" s="113"/>
      <c r="AB105" s="113"/>
      <c r="AC105" s="113"/>
      <c r="AD105" s="113"/>
      <c r="AE105" s="113"/>
    </row>
    <row r="106" spans="1:31" s="25" customFormat="1" ht="18" customHeight="1">
      <c r="A106" s="98">
        <v>97</v>
      </c>
      <c r="B106" s="227"/>
      <c r="C106" s="495">
        <v>1</v>
      </c>
      <c r="D106" s="2059" t="s">
        <v>539</v>
      </c>
      <c r="E106" s="2060"/>
      <c r="F106" s="353"/>
      <c r="G106" s="94"/>
      <c r="H106" s="94"/>
      <c r="I106" s="354">
        <v>0</v>
      </c>
      <c r="J106" s="277"/>
      <c r="K106" s="261"/>
      <c r="L106" s="261"/>
      <c r="M106" s="261"/>
      <c r="N106" s="273"/>
      <c r="O106" s="273"/>
      <c r="P106" s="273"/>
      <c r="Q106" s="273"/>
      <c r="R106" s="274"/>
      <c r="S106" s="34"/>
      <c r="T106" s="34"/>
      <c r="U106" s="34"/>
      <c r="V106" s="34"/>
      <c r="W106" s="34"/>
      <c r="X106" s="34"/>
      <c r="Y106" s="34"/>
      <c r="Z106" s="34"/>
      <c r="AA106" s="34"/>
      <c r="AB106" s="34"/>
      <c r="AC106" s="34"/>
      <c r="AD106" s="34"/>
      <c r="AE106" s="34"/>
    </row>
    <row r="107" spans="1:31" s="652" customFormat="1" ht="18" customHeight="1">
      <c r="A107" s="98">
        <v>98</v>
      </c>
      <c r="B107" s="359"/>
      <c r="C107" s="1054"/>
      <c r="D107" s="1054"/>
      <c r="E107" s="1069" t="s">
        <v>283</v>
      </c>
      <c r="F107" s="1059"/>
      <c r="G107" s="1055"/>
      <c r="H107" s="1055"/>
      <c r="I107" s="637"/>
      <c r="J107" s="638">
        <f>SUM(K107:R107)</f>
        <v>2349</v>
      </c>
      <c r="K107" s="639"/>
      <c r="L107" s="639"/>
      <c r="M107" s="639">
        <v>2349</v>
      </c>
      <c r="N107" s="639"/>
      <c r="O107" s="639"/>
      <c r="P107" s="639"/>
      <c r="Q107" s="639"/>
      <c r="R107" s="640"/>
      <c r="S107" s="651"/>
      <c r="T107" s="651"/>
      <c r="U107" s="651"/>
      <c r="V107" s="651"/>
      <c r="W107" s="651"/>
      <c r="X107" s="651"/>
      <c r="Y107" s="651"/>
      <c r="Z107" s="651"/>
      <c r="AA107" s="651"/>
      <c r="AB107" s="651"/>
      <c r="AC107" s="651"/>
      <c r="AD107" s="651"/>
      <c r="AE107" s="651"/>
    </row>
    <row r="108" spans="1:31" s="652" customFormat="1" ht="18" customHeight="1">
      <c r="A108" s="98">
        <v>99</v>
      </c>
      <c r="B108" s="359"/>
      <c r="C108" s="1054"/>
      <c r="D108" s="1054"/>
      <c r="E108" s="483" t="s">
        <v>938</v>
      </c>
      <c r="F108" s="1059"/>
      <c r="G108" s="1055"/>
      <c r="H108" s="1055"/>
      <c r="I108" s="637"/>
      <c r="J108" s="269">
        <f>SUM(K108:R108)</f>
        <v>2349</v>
      </c>
      <c r="K108" s="639"/>
      <c r="L108" s="639"/>
      <c r="M108" s="1200">
        <v>2349</v>
      </c>
      <c r="N108" s="639"/>
      <c r="O108" s="639"/>
      <c r="P108" s="639"/>
      <c r="Q108" s="639"/>
      <c r="R108" s="640"/>
      <c r="S108" s="651"/>
      <c r="T108" s="651"/>
      <c r="U108" s="651"/>
      <c r="V108" s="651"/>
      <c r="W108" s="651"/>
      <c r="X108" s="651"/>
      <c r="Y108" s="651"/>
      <c r="Z108" s="651"/>
      <c r="AA108" s="651"/>
      <c r="AB108" s="651"/>
      <c r="AC108" s="651"/>
      <c r="AD108" s="651"/>
      <c r="AE108" s="651"/>
    </row>
    <row r="109" spans="1:31" s="652" customFormat="1" ht="18" customHeight="1">
      <c r="A109" s="98">
        <v>100</v>
      </c>
      <c r="B109" s="359"/>
      <c r="C109" s="1054"/>
      <c r="D109" s="1054"/>
      <c r="E109" s="1146" t="s">
        <v>689</v>
      </c>
      <c r="F109" s="1059"/>
      <c r="G109" s="1055"/>
      <c r="H109" s="1055"/>
      <c r="I109" s="637"/>
      <c r="J109" s="1197">
        <f>SUM(K109:R109)</f>
        <v>0</v>
      </c>
      <c r="K109" s="639"/>
      <c r="L109" s="639"/>
      <c r="M109" s="273">
        <v>-2349</v>
      </c>
      <c r="N109" s="273">
        <v>2349</v>
      </c>
      <c r="O109" s="639"/>
      <c r="P109" s="639"/>
      <c r="Q109" s="639"/>
      <c r="R109" s="640"/>
      <c r="S109" s="651"/>
      <c r="T109" s="651"/>
      <c r="U109" s="651"/>
      <c r="V109" s="651"/>
      <c r="W109" s="651"/>
      <c r="X109" s="651"/>
      <c r="Y109" s="651"/>
      <c r="Z109" s="651"/>
      <c r="AA109" s="651"/>
      <c r="AB109" s="651"/>
      <c r="AC109" s="651"/>
      <c r="AD109" s="651"/>
      <c r="AE109" s="651"/>
    </row>
    <row r="110" spans="1:31" s="652" customFormat="1" ht="18" customHeight="1">
      <c r="A110" s="98">
        <v>101</v>
      </c>
      <c r="B110" s="359"/>
      <c r="C110" s="1054"/>
      <c r="D110" s="1054"/>
      <c r="E110" s="483" t="s">
        <v>1091</v>
      </c>
      <c r="F110" s="1059"/>
      <c r="G110" s="1055"/>
      <c r="H110" s="1055"/>
      <c r="I110" s="637"/>
      <c r="J110" s="269">
        <f>SUM(K110:R110)</f>
        <v>2349</v>
      </c>
      <c r="K110" s="639"/>
      <c r="L110" s="639"/>
      <c r="M110" s="1200">
        <f>SUM(M108:M109)</f>
        <v>0</v>
      </c>
      <c r="N110" s="1200">
        <f>SUM(N108:N109)</f>
        <v>2349</v>
      </c>
      <c r="O110" s="639"/>
      <c r="P110" s="639"/>
      <c r="Q110" s="639"/>
      <c r="R110" s="640"/>
      <c r="S110" s="651"/>
      <c r="T110" s="651"/>
      <c r="U110" s="651"/>
      <c r="V110" s="651"/>
      <c r="W110" s="651"/>
      <c r="X110" s="651"/>
      <c r="Y110" s="651"/>
      <c r="Z110" s="651"/>
      <c r="AA110" s="651"/>
      <c r="AB110" s="651"/>
      <c r="AC110" s="651"/>
      <c r="AD110" s="651"/>
      <c r="AE110" s="651"/>
    </row>
    <row r="111" spans="1:31" s="652" customFormat="1" ht="18" customHeight="1">
      <c r="A111" s="98">
        <v>102</v>
      </c>
      <c r="B111" s="359"/>
      <c r="C111" s="1706">
        <v>2</v>
      </c>
      <c r="D111" s="2059" t="s">
        <v>960</v>
      </c>
      <c r="E111" s="2060"/>
      <c r="F111" s="1059"/>
      <c r="G111" s="1055"/>
      <c r="H111" s="1055"/>
      <c r="I111" s="637"/>
      <c r="J111" s="269"/>
      <c r="K111" s="639"/>
      <c r="L111" s="639"/>
      <c r="M111" s="1200"/>
      <c r="N111" s="639"/>
      <c r="O111" s="639"/>
      <c r="P111" s="639"/>
      <c r="Q111" s="639"/>
      <c r="R111" s="640"/>
      <c r="S111" s="651"/>
      <c r="T111" s="651"/>
      <c r="U111" s="651"/>
      <c r="V111" s="651"/>
      <c r="W111" s="651"/>
      <c r="X111" s="651"/>
      <c r="Y111" s="651"/>
      <c r="Z111" s="651"/>
      <c r="AA111" s="651"/>
      <c r="AB111" s="651"/>
      <c r="AC111" s="651"/>
      <c r="AD111" s="651"/>
      <c r="AE111" s="651"/>
    </row>
    <row r="112" spans="1:31" s="652" customFormat="1" ht="18" customHeight="1">
      <c r="A112" s="98">
        <v>103</v>
      </c>
      <c r="B112" s="359"/>
      <c r="C112" s="1054"/>
      <c r="D112" s="605"/>
      <c r="E112" s="1151" t="s">
        <v>961</v>
      </c>
      <c r="F112" s="1059"/>
      <c r="G112" s="1055"/>
      <c r="H112" s="1055"/>
      <c r="I112" s="637"/>
      <c r="J112" s="1197">
        <f>SUM(K112:R112)</f>
        <v>15000</v>
      </c>
      <c r="K112" s="273">
        <v>926</v>
      </c>
      <c r="L112" s="273">
        <v>144</v>
      </c>
      <c r="M112" s="273">
        <v>11190</v>
      </c>
      <c r="N112" s="273"/>
      <c r="O112" s="273"/>
      <c r="P112" s="273">
        <v>2740</v>
      </c>
      <c r="Q112" s="639"/>
      <c r="R112" s="640"/>
      <c r="S112" s="651"/>
      <c r="T112" s="651"/>
      <c r="U112" s="651"/>
      <c r="V112" s="651"/>
      <c r="W112" s="651"/>
      <c r="X112" s="651"/>
      <c r="Y112" s="651"/>
      <c r="Z112" s="651"/>
      <c r="AA112" s="651"/>
      <c r="AB112" s="651"/>
      <c r="AC112" s="651"/>
      <c r="AD112" s="651"/>
      <c r="AE112" s="651"/>
    </row>
    <row r="113" spans="1:31" s="652" customFormat="1" ht="18" customHeight="1">
      <c r="A113" s="98">
        <v>104</v>
      </c>
      <c r="B113" s="359"/>
      <c r="C113" s="1054"/>
      <c r="D113" s="605"/>
      <c r="E113" s="260" t="s">
        <v>1091</v>
      </c>
      <c r="F113" s="1059"/>
      <c r="G113" s="1055"/>
      <c r="H113" s="1055"/>
      <c r="I113" s="637"/>
      <c r="J113" s="269">
        <f>SUM(K113:R113)</f>
        <v>15000</v>
      </c>
      <c r="K113" s="1200">
        <f>SUM(K112)</f>
        <v>926</v>
      </c>
      <c r="L113" s="1200">
        <f>SUM(L112)</f>
        <v>144</v>
      </c>
      <c r="M113" s="1200">
        <f>SUM(M112)</f>
        <v>11190</v>
      </c>
      <c r="N113" s="1200"/>
      <c r="O113" s="1200"/>
      <c r="P113" s="1200">
        <f>SUM(P112)</f>
        <v>2740</v>
      </c>
      <c r="Q113" s="639"/>
      <c r="R113" s="640"/>
      <c r="S113" s="651"/>
      <c r="T113" s="651"/>
      <c r="U113" s="651"/>
      <c r="V113" s="651"/>
      <c r="W113" s="651"/>
      <c r="X113" s="651"/>
      <c r="Y113" s="651"/>
      <c r="Z113" s="651"/>
      <c r="AA113" s="651"/>
      <c r="AB113" s="651"/>
      <c r="AC113" s="651"/>
      <c r="AD113" s="651"/>
      <c r="AE113" s="651"/>
    </row>
    <row r="114" spans="1:31" s="29" customFormat="1" ht="22.5" customHeight="1">
      <c r="A114" s="98">
        <v>105</v>
      </c>
      <c r="B114" s="223">
        <v>12</v>
      </c>
      <c r="C114" s="495"/>
      <c r="D114" s="2059" t="s">
        <v>24</v>
      </c>
      <c r="E114" s="2060"/>
      <c r="F114" s="350" t="s">
        <v>22</v>
      </c>
      <c r="G114" s="94">
        <v>440640</v>
      </c>
      <c r="H114" s="94">
        <v>411904</v>
      </c>
      <c r="I114" s="266">
        <v>449529</v>
      </c>
      <c r="J114" s="277"/>
      <c r="K114" s="94"/>
      <c r="L114" s="94"/>
      <c r="M114" s="94"/>
      <c r="N114" s="94"/>
      <c r="O114" s="94"/>
      <c r="P114" s="94"/>
      <c r="Q114" s="94"/>
      <c r="R114" s="102"/>
      <c r="S114" s="113"/>
      <c r="T114" s="113"/>
      <c r="U114" s="113"/>
      <c r="V114" s="113"/>
      <c r="W114" s="113"/>
      <c r="X114" s="113"/>
      <c r="Y114" s="113"/>
      <c r="Z114" s="113"/>
      <c r="AA114" s="113"/>
      <c r="AB114" s="113"/>
      <c r="AC114" s="113"/>
      <c r="AD114" s="113"/>
      <c r="AE114" s="113"/>
    </row>
    <row r="115" spans="1:31" s="652" customFormat="1" ht="18" customHeight="1">
      <c r="A115" s="98">
        <v>106</v>
      </c>
      <c r="B115" s="359"/>
      <c r="C115" s="1054"/>
      <c r="D115" s="1054"/>
      <c r="E115" s="636" t="s">
        <v>283</v>
      </c>
      <c r="F115" s="1055"/>
      <c r="G115" s="1055"/>
      <c r="H115" s="1055"/>
      <c r="I115" s="637"/>
      <c r="J115" s="638">
        <f>SUM(K115:R115)</f>
        <v>458734</v>
      </c>
      <c r="K115" s="639">
        <v>206995</v>
      </c>
      <c r="L115" s="639">
        <v>35904</v>
      </c>
      <c r="M115" s="639">
        <v>186381</v>
      </c>
      <c r="N115" s="639"/>
      <c r="O115" s="639"/>
      <c r="P115" s="639">
        <v>29454</v>
      </c>
      <c r="Q115" s="639"/>
      <c r="R115" s="640"/>
      <c r="S115" s="651"/>
      <c r="T115" s="651"/>
      <c r="U115" s="651"/>
      <c r="V115" s="651"/>
      <c r="W115" s="651"/>
      <c r="X115" s="651"/>
      <c r="Y115" s="651"/>
      <c r="Z115" s="651"/>
      <c r="AA115" s="651"/>
      <c r="AB115" s="651"/>
      <c r="AC115" s="651"/>
      <c r="AD115" s="651"/>
      <c r="AE115" s="651"/>
    </row>
    <row r="116" spans="1:31" s="652" customFormat="1" ht="18" customHeight="1">
      <c r="A116" s="98">
        <v>107</v>
      </c>
      <c r="B116" s="359"/>
      <c r="C116" s="1054"/>
      <c r="D116" s="1054"/>
      <c r="E116" s="483" t="s">
        <v>938</v>
      </c>
      <c r="F116" s="1055"/>
      <c r="G116" s="1055"/>
      <c r="H116" s="1055"/>
      <c r="I116" s="637"/>
      <c r="J116" s="269">
        <f>SUM(K116:R116)</f>
        <v>470251</v>
      </c>
      <c r="K116" s="1200">
        <v>209345</v>
      </c>
      <c r="L116" s="1200">
        <v>36255</v>
      </c>
      <c r="M116" s="1200">
        <v>142287</v>
      </c>
      <c r="N116" s="1200"/>
      <c r="O116" s="1200"/>
      <c r="P116" s="1200">
        <v>82364</v>
      </c>
      <c r="Q116" s="639"/>
      <c r="R116" s="640"/>
      <c r="S116" s="651"/>
      <c r="T116" s="651"/>
      <c r="U116" s="651"/>
      <c r="V116" s="651"/>
      <c r="W116" s="651"/>
      <c r="X116" s="651"/>
      <c r="Y116" s="651"/>
      <c r="Z116" s="651"/>
      <c r="AA116" s="651"/>
      <c r="AB116" s="651"/>
      <c r="AC116" s="651"/>
      <c r="AD116" s="651"/>
      <c r="AE116" s="651"/>
    </row>
    <row r="117" spans="1:31" s="652" customFormat="1" ht="18" customHeight="1">
      <c r="A117" s="98">
        <v>108</v>
      </c>
      <c r="B117" s="359"/>
      <c r="C117" s="1054"/>
      <c r="D117" s="1054"/>
      <c r="E117" s="1151" t="s">
        <v>968</v>
      </c>
      <c r="F117" s="1055"/>
      <c r="G117" s="1055"/>
      <c r="H117" s="1055"/>
      <c r="I117" s="637"/>
      <c r="J117" s="1197">
        <f>SUM(K117:R117)</f>
        <v>10854</v>
      </c>
      <c r="K117" s="273">
        <v>4100</v>
      </c>
      <c r="L117" s="273">
        <v>1015</v>
      </c>
      <c r="M117" s="273">
        <v>4926</v>
      </c>
      <c r="N117" s="639"/>
      <c r="O117" s="639"/>
      <c r="P117" s="273">
        <v>813</v>
      </c>
      <c r="Q117" s="639"/>
      <c r="R117" s="640"/>
      <c r="S117" s="651"/>
      <c r="T117" s="651"/>
      <c r="U117" s="651"/>
      <c r="V117" s="651"/>
      <c r="W117" s="651"/>
      <c r="X117" s="651"/>
      <c r="Y117" s="651"/>
      <c r="Z117" s="651"/>
      <c r="AA117" s="651"/>
      <c r="AB117" s="651"/>
      <c r="AC117" s="651"/>
      <c r="AD117" s="651"/>
      <c r="AE117" s="651"/>
    </row>
    <row r="118" spans="1:31" s="652" customFormat="1" ht="18" customHeight="1">
      <c r="A118" s="98">
        <v>109</v>
      </c>
      <c r="B118" s="359"/>
      <c r="C118" s="1054"/>
      <c r="D118" s="1054"/>
      <c r="E118" s="1151" t="s">
        <v>1009</v>
      </c>
      <c r="F118" s="1055"/>
      <c r="G118" s="1055"/>
      <c r="H118" s="1055"/>
      <c r="I118" s="637"/>
      <c r="J118" s="1197">
        <f>SUM(K118:R118)</f>
        <v>1500</v>
      </c>
      <c r="K118" s="273"/>
      <c r="L118" s="273"/>
      <c r="M118" s="273">
        <v>1500</v>
      </c>
      <c r="N118" s="273"/>
      <c r="O118" s="273"/>
      <c r="P118" s="273"/>
      <c r="Q118" s="639"/>
      <c r="R118" s="640"/>
      <c r="S118" s="651"/>
      <c r="T118" s="651"/>
      <c r="U118" s="651"/>
      <c r="V118" s="651"/>
      <c r="W118" s="651"/>
      <c r="X118" s="651"/>
      <c r="Y118" s="651"/>
      <c r="Z118" s="651"/>
      <c r="AA118" s="651"/>
      <c r="AB118" s="651"/>
      <c r="AC118" s="651"/>
      <c r="AD118" s="651"/>
      <c r="AE118" s="651"/>
    </row>
    <row r="119" spans="1:31" s="652" customFormat="1" ht="18" customHeight="1">
      <c r="A119" s="98">
        <v>110</v>
      </c>
      <c r="B119" s="359"/>
      <c r="C119" s="1054"/>
      <c r="D119" s="1054"/>
      <c r="E119" s="483" t="s">
        <v>1091</v>
      </c>
      <c r="F119" s="1055"/>
      <c r="G119" s="1055"/>
      <c r="H119" s="1055"/>
      <c r="I119" s="637"/>
      <c r="J119" s="269">
        <f>SUM(K119:R119)</f>
        <v>482605</v>
      </c>
      <c r="K119" s="1200">
        <f>SUM(K116:K118)</f>
        <v>213445</v>
      </c>
      <c r="L119" s="1200">
        <f>SUM(L116:L118)</f>
        <v>37270</v>
      </c>
      <c r="M119" s="1200">
        <f>SUM(M116:M118)</f>
        <v>148713</v>
      </c>
      <c r="N119" s="1200"/>
      <c r="O119" s="1200"/>
      <c r="P119" s="1200">
        <f>SUM(P116:P118)</f>
        <v>83177</v>
      </c>
      <c r="Q119" s="639"/>
      <c r="R119" s="640"/>
      <c r="S119" s="651"/>
      <c r="T119" s="651"/>
      <c r="U119" s="651"/>
      <c r="V119" s="651"/>
      <c r="W119" s="651"/>
      <c r="X119" s="651"/>
      <c r="Y119" s="651"/>
      <c r="Z119" s="651"/>
      <c r="AA119" s="651"/>
      <c r="AB119" s="651"/>
      <c r="AC119" s="651"/>
      <c r="AD119" s="651"/>
      <c r="AE119" s="651"/>
    </row>
    <row r="120" spans="1:31" s="29" customFormat="1" ht="18" customHeight="1">
      <c r="A120" s="98">
        <v>111</v>
      </c>
      <c r="B120" s="926"/>
      <c r="C120" s="927"/>
      <c r="D120" s="2109" t="s">
        <v>525</v>
      </c>
      <c r="E120" s="2110"/>
      <c r="F120" s="928"/>
      <c r="G120" s="116"/>
      <c r="H120" s="116">
        <v>13610</v>
      </c>
      <c r="I120" s="354">
        <v>0</v>
      </c>
      <c r="J120" s="277"/>
      <c r="K120" s="273"/>
      <c r="L120" s="273"/>
      <c r="M120" s="273"/>
      <c r="N120" s="273"/>
      <c r="O120" s="273"/>
      <c r="P120" s="273"/>
      <c r="Q120" s="273"/>
      <c r="R120" s="274"/>
      <c r="S120" s="113"/>
      <c r="T120" s="113"/>
      <c r="U120" s="113"/>
      <c r="V120" s="113"/>
      <c r="W120" s="113"/>
      <c r="X120" s="113"/>
      <c r="Y120" s="113"/>
      <c r="Z120" s="113"/>
      <c r="AA120" s="113"/>
      <c r="AB120" s="113"/>
      <c r="AC120" s="113"/>
      <c r="AD120" s="113"/>
      <c r="AE120" s="113"/>
    </row>
    <row r="121" spans="1:31" s="25" customFormat="1" ht="18" customHeight="1">
      <c r="A121" s="98">
        <v>112</v>
      </c>
      <c r="B121" s="227"/>
      <c r="C121" s="495">
        <v>2</v>
      </c>
      <c r="D121" s="2061" t="s">
        <v>419</v>
      </c>
      <c r="E121" s="2111"/>
      <c r="F121" s="2062"/>
      <c r="G121" s="94">
        <v>2096</v>
      </c>
      <c r="H121" s="94">
        <v>55574</v>
      </c>
      <c r="I121" s="266">
        <v>5801</v>
      </c>
      <c r="J121" s="277"/>
      <c r="K121" s="261"/>
      <c r="L121" s="261"/>
      <c r="M121" s="261"/>
      <c r="N121" s="273"/>
      <c r="O121" s="273"/>
      <c r="P121" s="273"/>
      <c r="Q121" s="273"/>
      <c r="R121" s="274"/>
      <c r="S121" s="34"/>
      <c r="T121" s="34"/>
      <c r="U121" s="34"/>
      <c r="V121" s="34"/>
      <c r="W121" s="34"/>
      <c r="X121" s="34"/>
      <c r="Y121" s="34"/>
      <c r="Z121" s="34"/>
      <c r="AA121" s="34"/>
      <c r="AB121" s="34"/>
      <c r="AC121" s="34"/>
      <c r="AD121" s="34"/>
      <c r="AE121" s="34"/>
    </row>
    <row r="122" spans="1:31" s="652" customFormat="1" ht="18" customHeight="1">
      <c r="A122" s="98">
        <v>113</v>
      </c>
      <c r="B122" s="359"/>
      <c r="C122" s="1054"/>
      <c r="D122" s="1054"/>
      <c r="E122" s="1069" t="s">
        <v>283</v>
      </c>
      <c r="F122" s="1059"/>
      <c r="G122" s="1055"/>
      <c r="H122" s="1055"/>
      <c r="I122" s="637"/>
      <c r="J122" s="638">
        <f>SUM(K122:R122)</f>
        <v>49690</v>
      </c>
      <c r="K122" s="639">
        <v>9276</v>
      </c>
      <c r="L122" s="639">
        <v>1747</v>
      </c>
      <c r="M122" s="639">
        <v>36267</v>
      </c>
      <c r="N122" s="639"/>
      <c r="O122" s="639"/>
      <c r="P122" s="639">
        <v>2400</v>
      </c>
      <c r="Q122" s="639"/>
      <c r="R122" s="640"/>
      <c r="S122" s="651"/>
      <c r="T122" s="651"/>
      <c r="U122" s="651"/>
      <c r="V122" s="651"/>
      <c r="W122" s="651"/>
      <c r="X122" s="651"/>
      <c r="Y122" s="651"/>
      <c r="Z122" s="651"/>
      <c r="AA122" s="651"/>
      <c r="AB122" s="651"/>
      <c r="AC122" s="651"/>
      <c r="AD122" s="651"/>
      <c r="AE122" s="651"/>
    </row>
    <row r="123" spans="1:31" s="652" customFormat="1" ht="18" customHeight="1">
      <c r="A123" s="98">
        <v>114</v>
      </c>
      <c r="B123" s="359"/>
      <c r="C123" s="1054"/>
      <c r="D123" s="1054"/>
      <c r="E123" s="483" t="s">
        <v>938</v>
      </c>
      <c r="F123" s="1059"/>
      <c r="G123" s="1055"/>
      <c r="H123" s="1055"/>
      <c r="I123" s="637"/>
      <c r="J123" s="269">
        <f>SUM(K123:R123)</f>
        <v>49690</v>
      </c>
      <c r="K123" s="1200">
        <v>9276</v>
      </c>
      <c r="L123" s="1200">
        <v>1747</v>
      </c>
      <c r="M123" s="1200">
        <v>36267</v>
      </c>
      <c r="N123" s="1200"/>
      <c r="O123" s="1200"/>
      <c r="P123" s="1200">
        <v>2400</v>
      </c>
      <c r="Q123" s="639"/>
      <c r="R123" s="640"/>
      <c r="S123" s="651"/>
      <c r="T123" s="651"/>
      <c r="U123" s="651"/>
      <c r="V123" s="651"/>
      <c r="W123" s="651"/>
      <c r="X123" s="651"/>
      <c r="Y123" s="651"/>
      <c r="Z123" s="651"/>
      <c r="AA123" s="651"/>
      <c r="AB123" s="651"/>
      <c r="AC123" s="651"/>
      <c r="AD123" s="651"/>
      <c r="AE123" s="651"/>
    </row>
    <row r="124" spans="1:31" s="652" customFormat="1" ht="18" customHeight="1">
      <c r="A124" s="98">
        <v>115</v>
      </c>
      <c r="B124" s="359"/>
      <c r="C124" s="1054"/>
      <c r="D124" s="1054"/>
      <c r="E124" s="1146" t="s">
        <v>674</v>
      </c>
      <c r="F124" s="1059"/>
      <c r="G124" s="1055"/>
      <c r="H124" s="1055"/>
      <c r="I124" s="637"/>
      <c r="J124" s="1197">
        <f>SUM(K124:R124)</f>
        <v>0</v>
      </c>
      <c r="K124" s="639"/>
      <c r="L124" s="639"/>
      <c r="M124" s="639"/>
      <c r="N124" s="639"/>
      <c r="O124" s="639"/>
      <c r="P124" s="639"/>
      <c r="Q124" s="639"/>
      <c r="R124" s="640"/>
      <c r="S124" s="651"/>
      <c r="T124" s="651"/>
      <c r="U124" s="651"/>
      <c r="V124" s="651"/>
      <c r="W124" s="651"/>
      <c r="X124" s="651"/>
      <c r="Y124" s="651"/>
      <c r="Z124" s="651"/>
      <c r="AA124" s="651"/>
      <c r="AB124" s="651"/>
      <c r="AC124" s="651"/>
      <c r="AD124" s="651"/>
      <c r="AE124" s="651"/>
    </row>
    <row r="125" spans="1:31" s="652" customFormat="1" ht="18" customHeight="1">
      <c r="A125" s="98">
        <v>116</v>
      </c>
      <c r="B125" s="359"/>
      <c r="C125" s="1054"/>
      <c r="D125" s="1054"/>
      <c r="E125" s="483" t="s">
        <v>1091</v>
      </c>
      <c r="F125" s="1059"/>
      <c r="G125" s="1055"/>
      <c r="H125" s="1055"/>
      <c r="I125" s="637"/>
      <c r="J125" s="269">
        <f>SUM(K125:R125)</f>
        <v>49690</v>
      </c>
      <c r="K125" s="1200">
        <f>SUM(K123:K124)</f>
        <v>9276</v>
      </c>
      <c r="L125" s="1200">
        <f>SUM(L123:L124)</f>
        <v>1747</v>
      </c>
      <c r="M125" s="1200">
        <f>SUM(M123:M124)</f>
        <v>36267</v>
      </c>
      <c r="N125" s="1200"/>
      <c r="O125" s="1200"/>
      <c r="P125" s="1200">
        <f>SUM(P123:P124)</f>
        <v>2400</v>
      </c>
      <c r="Q125" s="639"/>
      <c r="R125" s="640"/>
      <c r="S125" s="651"/>
      <c r="T125" s="651"/>
      <c r="U125" s="651"/>
      <c r="V125" s="651"/>
      <c r="W125" s="651"/>
      <c r="X125" s="651"/>
      <c r="Y125" s="651"/>
      <c r="Z125" s="651"/>
      <c r="AA125" s="651"/>
      <c r="AB125" s="651"/>
      <c r="AC125" s="651"/>
      <c r="AD125" s="651"/>
      <c r="AE125" s="651"/>
    </row>
    <row r="126" spans="1:31" s="25" customFormat="1" ht="22.5" customHeight="1">
      <c r="A126" s="98">
        <v>117</v>
      </c>
      <c r="B126" s="223">
        <v>13</v>
      </c>
      <c r="C126" s="495"/>
      <c r="D126" s="2059" t="s">
        <v>31</v>
      </c>
      <c r="E126" s="2060"/>
      <c r="F126" s="350" t="s">
        <v>22</v>
      </c>
      <c r="G126" s="94">
        <v>433574</v>
      </c>
      <c r="H126" s="94">
        <v>406719</v>
      </c>
      <c r="I126" s="266">
        <v>399150</v>
      </c>
      <c r="J126" s="277"/>
      <c r="K126" s="94"/>
      <c r="L126" s="94"/>
      <c r="M126" s="94"/>
      <c r="N126" s="94"/>
      <c r="O126" s="94"/>
      <c r="P126" s="94"/>
      <c r="Q126" s="94"/>
      <c r="R126" s="102"/>
      <c r="S126" s="34"/>
      <c r="T126" s="34"/>
      <c r="U126" s="34"/>
      <c r="V126" s="34"/>
      <c r="W126" s="34"/>
      <c r="X126" s="34"/>
      <c r="Y126" s="34"/>
      <c r="Z126" s="34"/>
      <c r="AA126" s="34"/>
      <c r="AB126" s="34"/>
      <c r="AC126" s="34"/>
      <c r="AD126" s="34"/>
      <c r="AE126" s="34"/>
    </row>
    <row r="127" spans="1:31" s="652" customFormat="1" ht="18" customHeight="1">
      <c r="A127" s="98">
        <v>118</v>
      </c>
      <c r="B127" s="359"/>
      <c r="C127" s="1054"/>
      <c r="D127" s="1054"/>
      <c r="E127" s="636" t="s">
        <v>283</v>
      </c>
      <c r="F127" s="1055"/>
      <c r="G127" s="1055"/>
      <c r="H127" s="1055"/>
      <c r="I127" s="637"/>
      <c r="J127" s="638">
        <f>SUM(K127:R127)</f>
        <v>442284</v>
      </c>
      <c r="K127" s="639">
        <v>234259</v>
      </c>
      <c r="L127" s="639">
        <v>41899</v>
      </c>
      <c r="M127" s="639">
        <v>158069</v>
      </c>
      <c r="N127" s="639"/>
      <c r="O127" s="639"/>
      <c r="P127" s="639">
        <v>8057</v>
      </c>
      <c r="Q127" s="639"/>
      <c r="R127" s="640"/>
      <c r="S127" s="651"/>
      <c r="T127" s="651"/>
      <c r="U127" s="651"/>
      <c r="V127" s="651"/>
      <c r="W127" s="651"/>
      <c r="X127" s="651"/>
      <c r="Y127" s="651"/>
      <c r="Z127" s="651"/>
      <c r="AA127" s="651"/>
      <c r="AB127" s="651"/>
      <c r="AC127" s="651"/>
      <c r="AD127" s="651"/>
      <c r="AE127" s="651"/>
    </row>
    <row r="128" spans="1:31" s="652" customFormat="1" ht="18" customHeight="1">
      <c r="A128" s="98">
        <v>119</v>
      </c>
      <c r="B128" s="359"/>
      <c r="C128" s="1054"/>
      <c r="D128" s="1054"/>
      <c r="E128" s="483" t="s">
        <v>938</v>
      </c>
      <c r="F128" s="1055"/>
      <c r="G128" s="1055"/>
      <c r="H128" s="1055"/>
      <c r="I128" s="637"/>
      <c r="J128" s="269">
        <f>SUM(K128:R128)</f>
        <v>468792</v>
      </c>
      <c r="K128" s="1200">
        <v>248969</v>
      </c>
      <c r="L128" s="1200">
        <v>35022</v>
      </c>
      <c r="M128" s="1200">
        <v>149415</v>
      </c>
      <c r="N128" s="1200"/>
      <c r="O128" s="1200"/>
      <c r="P128" s="1200">
        <v>35386</v>
      </c>
      <c r="Q128" s="639"/>
      <c r="R128" s="640"/>
      <c r="S128" s="651"/>
      <c r="T128" s="651"/>
      <c r="U128" s="651"/>
      <c r="V128" s="651"/>
      <c r="W128" s="651"/>
      <c r="X128" s="651"/>
      <c r="Y128" s="651"/>
      <c r="Z128" s="651"/>
      <c r="AA128" s="651"/>
      <c r="AB128" s="651"/>
      <c r="AC128" s="651"/>
      <c r="AD128" s="651"/>
      <c r="AE128" s="651"/>
    </row>
    <row r="129" spans="1:31" s="652" customFormat="1" ht="19.5" customHeight="1">
      <c r="A129" s="98">
        <v>120</v>
      </c>
      <c r="B129" s="359"/>
      <c r="C129" s="1054"/>
      <c r="D129" s="1054"/>
      <c r="E129" s="1578" t="s">
        <v>995</v>
      </c>
      <c r="F129" s="1055"/>
      <c r="G129" s="1055"/>
      <c r="H129" s="1055"/>
      <c r="I129" s="637"/>
      <c r="J129" s="1197">
        <f>SUM(K129:R129)</f>
        <v>40012</v>
      </c>
      <c r="K129" s="273">
        <v>3347</v>
      </c>
      <c r="L129" s="273">
        <v>519</v>
      </c>
      <c r="M129" s="273">
        <f>45451-16000-182</f>
        <v>29269</v>
      </c>
      <c r="N129" s="273"/>
      <c r="O129" s="273">
        <v>1200</v>
      </c>
      <c r="P129" s="273">
        <v>3387</v>
      </c>
      <c r="Q129" s="639"/>
      <c r="R129" s="274">
        <v>2290</v>
      </c>
      <c r="S129" s="651"/>
      <c r="T129" s="651"/>
      <c r="U129" s="651"/>
      <c r="V129" s="651"/>
      <c r="W129" s="651"/>
      <c r="X129" s="651"/>
      <c r="Y129" s="651"/>
      <c r="Z129" s="651"/>
      <c r="AA129" s="651"/>
      <c r="AB129" s="651"/>
      <c r="AC129" s="651"/>
      <c r="AD129" s="651"/>
      <c r="AE129" s="651"/>
    </row>
    <row r="130" spans="1:31" s="652" customFormat="1" ht="18" customHeight="1">
      <c r="A130" s="98">
        <v>121</v>
      </c>
      <c r="B130" s="359"/>
      <c r="C130" s="1054"/>
      <c r="D130" s="1054"/>
      <c r="E130" s="483" t="s">
        <v>1091</v>
      </c>
      <c r="F130" s="1055"/>
      <c r="G130" s="1055"/>
      <c r="H130" s="1055"/>
      <c r="I130" s="637"/>
      <c r="J130" s="269">
        <f>SUM(K130:R130)</f>
        <v>508804</v>
      </c>
      <c r="K130" s="1200">
        <f>SUM(K128:K129)</f>
        <v>252316</v>
      </c>
      <c r="L130" s="1200">
        <f>SUM(L128:L129)</f>
        <v>35541</v>
      </c>
      <c r="M130" s="1200">
        <f>SUM(M128:M129)</f>
        <v>178684</v>
      </c>
      <c r="N130" s="1200"/>
      <c r="O130" s="1200">
        <f>SUM(O128:O129)</f>
        <v>1200</v>
      </c>
      <c r="P130" s="1200">
        <f>SUM(P128:P129)</f>
        <v>38773</v>
      </c>
      <c r="Q130" s="1200"/>
      <c r="R130" s="1227">
        <f>SUM(R128:R129)</f>
        <v>2290</v>
      </c>
      <c r="S130" s="651"/>
      <c r="T130" s="651"/>
      <c r="U130" s="651"/>
      <c r="V130" s="651"/>
      <c r="W130" s="651"/>
      <c r="X130" s="651"/>
      <c r="Y130" s="651"/>
      <c r="Z130" s="651"/>
      <c r="AA130" s="651"/>
      <c r="AB130" s="651"/>
      <c r="AC130" s="651"/>
      <c r="AD130" s="651"/>
      <c r="AE130" s="651"/>
    </row>
    <row r="131" spans="1:31" s="29" customFormat="1" ht="18" customHeight="1">
      <c r="A131" s="98">
        <v>122</v>
      </c>
      <c r="B131" s="926"/>
      <c r="C131" s="927"/>
      <c r="D131" s="2109" t="s">
        <v>525</v>
      </c>
      <c r="E131" s="2110"/>
      <c r="F131" s="928"/>
      <c r="G131" s="116"/>
      <c r="H131" s="116">
        <v>13610</v>
      </c>
      <c r="I131" s="354">
        <v>0</v>
      </c>
      <c r="J131" s="277"/>
      <c r="K131" s="273"/>
      <c r="L131" s="273"/>
      <c r="M131" s="273"/>
      <c r="N131" s="273"/>
      <c r="O131" s="273"/>
      <c r="P131" s="273"/>
      <c r="Q131" s="273"/>
      <c r="R131" s="274"/>
      <c r="S131" s="113"/>
      <c r="T131" s="113"/>
      <c r="U131" s="113"/>
      <c r="V131" s="113"/>
      <c r="W131" s="113"/>
      <c r="X131" s="113"/>
      <c r="Y131" s="113"/>
      <c r="Z131" s="113"/>
      <c r="AA131" s="113"/>
      <c r="AB131" s="113"/>
      <c r="AC131" s="113"/>
      <c r="AD131" s="113"/>
      <c r="AE131" s="113"/>
    </row>
    <row r="132" spans="1:31" s="25" customFormat="1" ht="45.75" customHeight="1">
      <c r="A132" s="98">
        <v>123</v>
      </c>
      <c r="B132" s="227"/>
      <c r="C132" s="496"/>
      <c r="D132" s="2070" t="s">
        <v>662</v>
      </c>
      <c r="E132" s="2071"/>
      <c r="F132" s="463"/>
      <c r="G132" s="94">
        <v>55925</v>
      </c>
      <c r="H132" s="94"/>
      <c r="I132" s="266"/>
      <c r="J132" s="277"/>
      <c r="K132" s="261"/>
      <c r="L132" s="261"/>
      <c r="M132" s="261"/>
      <c r="N132" s="273"/>
      <c r="O132" s="273"/>
      <c r="P132" s="273"/>
      <c r="Q132" s="273"/>
      <c r="R132" s="274"/>
      <c r="S132" s="34"/>
      <c r="T132" s="34"/>
      <c r="U132" s="34"/>
      <c r="V132" s="34"/>
      <c r="W132" s="34"/>
      <c r="X132" s="34"/>
      <c r="Y132" s="34"/>
      <c r="Z132" s="34"/>
      <c r="AA132" s="34"/>
      <c r="AB132" s="34"/>
      <c r="AC132" s="34"/>
      <c r="AD132" s="34"/>
      <c r="AE132" s="34"/>
    </row>
    <row r="133" spans="1:31" s="25" customFormat="1" ht="18" customHeight="1">
      <c r="A133" s="98">
        <v>124</v>
      </c>
      <c r="B133" s="227"/>
      <c r="C133" s="495">
        <v>1</v>
      </c>
      <c r="D133" s="2059" t="s">
        <v>539</v>
      </c>
      <c r="E133" s="2060"/>
      <c r="F133" s="353"/>
      <c r="G133" s="94"/>
      <c r="H133" s="94"/>
      <c r="I133" s="354">
        <v>0</v>
      </c>
      <c r="J133" s="277"/>
      <c r="K133" s="261"/>
      <c r="L133" s="261"/>
      <c r="M133" s="261"/>
      <c r="N133" s="273"/>
      <c r="O133" s="273"/>
      <c r="P133" s="273"/>
      <c r="Q133" s="273"/>
      <c r="R133" s="274"/>
      <c r="S133" s="34"/>
      <c r="T133" s="34"/>
      <c r="U133" s="34"/>
      <c r="V133" s="34"/>
      <c r="W133" s="34"/>
      <c r="X133" s="34"/>
      <c r="Y133" s="34"/>
      <c r="Z133" s="34"/>
      <c r="AA133" s="34"/>
      <c r="AB133" s="34"/>
      <c r="AC133" s="34"/>
      <c r="AD133" s="34"/>
      <c r="AE133" s="34"/>
    </row>
    <row r="134" spans="1:31" s="652" customFormat="1" ht="18" customHeight="1">
      <c r="A134" s="98">
        <v>125</v>
      </c>
      <c r="B134" s="359"/>
      <c r="C134" s="1054"/>
      <c r="D134" s="1054"/>
      <c r="E134" s="1069" t="s">
        <v>283</v>
      </c>
      <c r="F134" s="1059"/>
      <c r="G134" s="1055"/>
      <c r="H134" s="1055"/>
      <c r="I134" s="637"/>
      <c r="J134" s="638">
        <f>SUM(K134:R134)</f>
        <v>8944</v>
      </c>
      <c r="K134" s="639">
        <v>4971</v>
      </c>
      <c r="L134" s="639"/>
      <c r="M134" s="639">
        <v>3973</v>
      </c>
      <c r="N134" s="639"/>
      <c r="O134" s="639"/>
      <c r="P134" s="639"/>
      <c r="Q134" s="639"/>
      <c r="R134" s="640"/>
      <c r="S134" s="651"/>
      <c r="T134" s="651"/>
      <c r="U134" s="651"/>
      <c r="V134" s="651"/>
      <c r="W134" s="651"/>
      <c r="X134" s="651"/>
      <c r="Y134" s="651"/>
      <c r="Z134" s="651"/>
      <c r="AA134" s="651"/>
      <c r="AB134" s="651"/>
      <c r="AC134" s="651"/>
      <c r="AD134" s="651"/>
      <c r="AE134" s="651"/>
    </row>
    <row r="135" spans="1:31" s="652" customFormat="1" ht="18" customHeight="1">
      <c r="A135" s="98">
        <v>126</v>
      </c>
      <c r="B135" s="359"/>
      <c r="C135" s="1054"/>
      <c r="D135" s="1054"/>
      <c r="E135" s="483" t="s">
        <v>938</v>
      </c>
      <c r="F135" s="1059"/>
      <c r="G135" s="1055"/>
      <c r="H135" s="1055"/>
      <c r="I135" s="637"/>
      <c r="J135" s="269">
        <f>SUM(K135:R135)</f>
        <v>8944</v>
      </c>
      <c r="K135" s="1200">
        <v>4971</v>
      </c>
      <c r="L135" s="1200"/>
      <c r="M135" s="1200">
        <v>3973</v>
      </c>
      <c r="N135" s="639"/>
      <c r="O135" s="639"/>
      <c r="P135" s="639"/>
      <c r="Q135" s="639"/>
      <c r="R135" s="640"/>
      <c r="S135" s="651"/>
      <c r="T135" s="651"/>
      <c r="U135" s="651"/>
      <c r="V135" s="651"/>
      <c r="W135" s="651"/>
      <c r="X135" s="651"/>
      <c r="Y135" s="651"/>
      <c r="Z135" s="651"/>
      <c r="AA135" s="651"/>
      <c r="AB135" s="651"/>
      <c r="AC135" s="651"/>
      <c r="AD135" s="651"/>
      <c r="AE135" s="651"/>
    </row>
    <row r="136" spans="1:31" s="652" customFormat="1" ht="18" customHeight="1">
      <c r="A136" s="98">
        <v>127</v>
      </c>
      <c r="B136" s="359"/>
      <c r="C136" s="1054"/>
      <c r="D136" s="1054"/>
      <c r="E136" s="1146" t="s">
        <v>674</v>
      </c>
      <c r="F136" s="1059"/>
      <c r="G136" s="1055"/>
      <c r="H136" s="1055"/>
      <c r="I136" s="637"/>
      <c r="J136" s="1197">
        <f>SUM(K136:R136)</f>
        <v>0</v>
      </c>
      <c r="K136" s="639"/>
      <c r="L136" s="639"/>
      <c r="M136" s="639"/>
      <c r="N136" s="639"/>
      <c r="O136" s="639"/>
      <c r="P136" s="639"/>
      <c r="Q136" s="639"/>
      <c r="R136" s="640"/>
      <c r="S136" s="651"/>
      <c r="T136" s="651"/>
      <c r="U136" s="651"/>
      <c r="V136" s="651"/>
      <c r="W136" s="651"/>
      <c r="X136" s="651"/>
      <c r="Y136" s="651"/>
      <c r="Z136" s="651"/>
      <c r="AA136" s="651"/>
      <c r="AB136" s="651"/>
      <c r="AC136" s="651"/>
      <c r="AD136" s="651"/>
      <c r="AE136" s="651"/>
    </row>
    <row r="137" spans="1:31" s="652" customFormat="1" ht="18" customHeight="1">
      <c r="A137" s="98">
        <v>128</v>
      </c>
      <c r="B137" s="359"/>
      <c r="C137" s="1054"/>
      <c r="D137" s="1054"/>
      <c r="E137" s="483" t="s">
        <v>1091</v>
      </c>
      <c r="F137" s="1059"/>
      <c r="G137" s="1055"/>
      <c r="H137" s="1055"/>
      <c r="I137" s="637"/>
      <c r="J137" s="269">
        <f>SUM(K137:R137)</f>
        <v>8944</v>
      </c>
      <c r="K137" s="1200">
        <f>SUM(K135:K136)</f>
        <v>4971</v>
      </c>
      <c r="L137" s="1200"/>
      <c r="M137" s="1200">
        <f>SUM(M135:M136)</f>
        <v>3973</v>
      </c>
      <c r="N137" s="639"/>
      <c r="O137" s="639"/>
      <c r="P137" s="639"/>
      <c r="Q137" s="639"/>
      <c r="R137" s="640"/>
      <c r="S137" s="651"/>
      <c r="T137" s="651"/>
      <c r="U137" s="651"/>
      <c r="V137" s="651"/>
      <c r="W137" s="651"/>
      <c r="X137" s="651"/>
      <c r="Y137" s="651"/>
      <c r="Z137" s="651"/>
      <c r="AA137" s="651"/>
      <c r="AB137" s="651"/>
      <c r="AC137" s="651"/>
      <c r="AD137" s="651"/>
      <c r="AE137" s="651"/>
    </row>
    <row r="138" spans="1:31" s="652" customFormat="1" ht="31.5" customHeight="1">
      <c r="A138" s="98">
        <v>129</v>
      </c>
      <c r="B138" s="359"/>
      <c r="C138" s="1706">
        <v>2</v>
      </c>
      <c r="D138" s="2068" t="s">
        <v>994</v>
      </c>
      <c r="E138" s="2069"/>
      <c r="F138" s="1059"/>
      <c r="G138" s="1055"/>
      <c r="H138" s="1055"/>
      <c r="I138" s="637"/>
      <c r="J138" s="269"/>
      <c r="K138" s="1200"/>
      <c r="L138" s="1200"/>
      <c r="M138" s="1200"/>
      <c r="N138" s="639"/>
      <c r="O138" s="639"/>
      <c r="P138" s="639"/>
      <c r="Q138" s="639"/>
      <c r="R138" s="640"/>
      <c r="S138" s="651"/>
      <c r="T138" s="651"/>
      <c r="U138" s="651"/>
      <c r="V138" s="651"/>
      <c r="W138" s="651"/>
      <c r="X138" s="651"/>
      <c r="Y138" s="651"/>
      <c r="Z138" s="651"/>
      <c r="AA138" s="651"/>
      <c r="AB138" s="651"/>
      <c r="AC138" s="651"/>
      <c r="AD138" s="651"/>
      <c r="AE138" s="651"/>
    </row>
    <row r="139" spans="1:31" s="652" customFormat="1" ht="18" customHeight="1">
      <c r="A139" s="98">
        <v>130</v>
      </c>
      <c r="B139" s="359"/>
      <c r="C139" s="1054"/>
      <c r="D139" s="605"/>
      <c r="E139" s="1151" t="s">
        <v>674</v>
      </c>
      <c r="F139" s="1059"/>
      <c r="G139" s="1055"/>
      <c r="H139" s="1055"/>
      <c r="I139" s="637"/>
      <c r="J139" s="1197">
        <f>SUM(K139:R139)</f>
        <v>30582</v>
      </c>
      <c r="K139" s="273">
        <v>3681</v>
      </c>
      <c r="L139" s="273">
        <v>644</v>
      </c>
      <c r="M139" s="273">
        <f>675+182</f>
        <v>857</v>
      </c>
      <c r="N139" s="273"/>
      <c r="O139" s="273"/>
      <c r="P139" s="273">
        <v>25400</v>
      </c>
      <c r="Q139" s="639"/>
      <c r="R139" s="640"/>
      <c r="S139" s="651"/>
      <c r="T139" s="651"/>
      <c r="U139" s="651"/>
      <c r="V139" s="651"/>
      <c r="W139" s="651"/>
      <c r="X139" s="651"/>
      <c r="Y139" s="651"/>
      <c r="Z139" s="651"/>
      <c r="AA139" s="651"/>
      <c r="AB139" s="651"/>
      <c r="AC139" s="651"/>
      <c r="AD139" s="651"/>
      <c r="AE139" s="651"/>
    </row>
    <row r="140" spans="1:31" s="652" customFormat="1" ht="18" customHeight="1">
      <c r="A140" s="98">
        <v>131</v>
      </c>
      <c r="B140" s="359"/>
      <c r="C140" s="1054"/>
      <c r="D140" s="605"/>
      <c r="E140" s="260" t="s">
        <v>1091</v>
      </c>
      <c r="F140" s="1059"/>
      <c r="G140" s="1055"/>
      <c r="H140" s="1055"/>
      <c r="I140" s="637"/>
      <c r="J140" s="269">
        <f>SUM(K140:R140)</f>
        <v>30582</v>
      </c>
      <c r="K140" s="1200">
        <f>SUM(K139)</f>
        <v>3681</v>
      </c>
      <c r="L140" s="1200">
        <f>SUM(L139)</f>
        <v>644</v>
      </c>
      <c r="M140" s="1200">
        <f>SUM(M139)</f>
        <v>857</v>
      </c>
      <c r="N140" s="1200"/>
      <c r="O140" s="1200"/>
      <c r="P140" s="1200">
        <f>SUM(P139)</f>
        <v>25400</v>
      </c>
      <c r="Q140" s="639"/>
      <c r="R140" s="640"/>
      <c r="S140" s="651"/>
      <c r="T140" s="651"/>
      <c r="U140" s="651"/>
      <c r="V140" s="651"/>
      <c r="W140" s="651"/>
      <c r="X140" s="651"/>
      <c r="Y140" s="651"/>
      <c r="Z140" s="651"/>
      <c r="AA140" s="651"/>
      <c r="AB140" s="651"/>
      <c r="AC140" s="651"/>
      <c r="AD140" s="651"/>
      <c r="AE140" s="651"/>
    </row>
    <row r="141" spans="1:31" s="25" customFormat="1" ht="22.5" customHeight="1">
      <c r="A141" s="98">
        <v>132</v>
      </c>
      <c r="B141" s="223">
        <v>14</v>
      </c>
      <c r="C141" s="495"/>
      <c r="D141" s="2059" t="s">
        <v>371</v>
      </c>
      <c r="E141" s="2060"/>
      <c r="F141" s="350" t="s">
        <v>23</v>
      </c>
      <c r="G141" s="94">
        <v>141430</v>
      </c>
      <c r="H141" s="94">
        <v>129562</v>
      </c>
      <c r="I141" s="266">
        <v>135056</v>
      </c>
      <c r="J141" s="277"/>
      <c r="K141" s="94"/>
      <c r="L141" s="94"/>
      <c r="M141" s="94"/>
      <c r="N141" s="94"/>
      <c r="O141" s="94"/>
      <c r="P141" s="94"/>
      <c r="Q141" s="94"/>
      <c r="R141" s="102"/>
      <c r="S141" s="34"/>
      <c r="T141" s="34"/>
      <c r="U141" s="34"/>
      <c r="V141" s="34"/>
      <c r="W141" s="34"/>
      <c r="X141" s="34"/>
      <c r="Y141" s="34"/>
      <c r="Z141" s="34"/>
      <c r="AA141" s="34"/>
      <c r="AB141" s="34"/>
      <c r="AC141" s="34"/>
      <c r="AD141" s="34"/>
      <c r="AE141" s="34"/>
    </row>
    <row r="142" spans="1:31" s="642" customFormat="1" ht="18" customHeight="1">
      <c r="A142" s="98">
        <v>133</v>
      </c>
      <c r="B142" s="359"/>
      <c r="C142" s="1054"/>
      <c r="D142" s="1054"/>
      <c r="E142" s="636" t="s">
        <v>283</v>
      </c>
      <c r="F142" s="1055"/>
      <c r="G142" s="1055"/>
      <c r="H142" s="1055"/>
      <c r="I142" s="637"/>
      <c r="J142" s="638">
        <f>SUM(K142:R142)</f>
        <v>150771</v>
      </c>
      <c r="K142" s="639">
        <v>86745</v>
      </c>
      <c r="L142" s="639">
        <v>15026</v>
      </c>
      <c r="M142" s="639">
        <v>48000</v>
      </c>
      <c r="N142" s="639"/>
      <c r="O142" s="639"/>
      <c r="P142" s="639">
        <v>1000</v>
      </c>
      <c r="Q142" s="639"/>
      <c r="R142" s="640"/>
      <c r="S142" s="641"/>
      <c r="T142" s="641"/>
      <c r="U142" s="641"/>
      <c r="V142" s="641"/>
      <c r="W142" s="641"/>
      <c r="X142" s="641"/>
      <c r="Y142" s="641"/>
      <c r="Z142" s="641"/>
      <c r="AA142" s="641"/>
      <c r="AB142" s="641"/>
      <c r="AC142" s="641"/>
      <c r="AD142" s="641"/>
      <c r="AE142" s="641"/>
    </row>
    <row r="143" spans="1:31" s="642" customFormat="1" ht="18" customHeight="1">
      <c r="A143" s="98">
        <v>134</v>
      </c>
      <c r="B143" s="359"/>
      <c r="C143" s="1054"/>
      <c r="D143" s="1054"/>
      <c r="E143" s="483" t="s">
        <v>938</v>
      </c>
      <c r="F143" s="1055"/>
      <c r="G143" s="1055"/>
      <c r="H143" s="1055"/>
      <c r="I143" s="637"/>
      <c r="J143" s="269">
        <f>SUM(K143:R143)</f>
        <v>159257</v>
      </c>
      <c r="K143" s="1200">
        <v>88392</v>
      </c>
      <c r="L143" s="1200">
        <v>16819</v>
      </c>
      <c r="M143" s="1200">
        <v>49303</v>
      </c>
      <c r="N143" s="1200"/>
      <c r="O143" s="1200">
        <v>263</v>
      </c>
      <c r="P143" s="1200">
        <v>4480</v>
      </c>
      <c r="Q143" s="639"/>
      <c r="R143" s="640"/>
      <c r="S143" s="641"/>
      <c r="T143" s="641"/>
      <c r="U143" s="641"/>
      <c r="V143" s="641"/>
      <c r="W143" s="641"/>
      <c r="X143" s="641"/>
      <c r="Y143" s="641"/>
      <c r="Z143" s="641"/>
      <c r="AA143" s="641"/>
      <c r="AB143" s="641"/>
      <c r="AC143" s="641"/>
      <c r="AD143" s="641"/>
      <c r="AE143" s="641"/>
    </row>
    <row r="144" spans="1:31" s="642" customFormat="1" ht="18" customHeight="1">
      <c r="A144" s="98">
        <v>135</v>
      </c>
      <c r="B144" s="359"/>
      <c r="C144" s="1054"/>
      <c r="D144" s="1054"/>
      <c r="E144" s="1151" t="s">
        <v>987</v>
      </c>
      <c r="F144" s="1055"/>
      <c r="G144" s="1055"/>
      <c r="H144" s="1055"/>
      <c r="I144" s="637"/>
      <c r="J144" s="1197">
        <f>SUM(K144:R144)</f>
        <v>8124</v>
      </c>
      <c r="K144" s="273">
        <v>8800</v>
      </c>
      <c r="L144" s="273">
        <v>-6504</v>
      </c>
      <c r="M144" s="273">
        <v>-1672</v>
      </c>
      <c r="N144" s="273"/>
      <c r="O144" s="273"/>
      <c r="P144" s="273">
        <v>7500</v>
      </c>
      <c r="Q144" s="639"/>
      <c r="R144" s="640"/>
      <c r="S144" s="641"/>
      <c r="T144" s="641"/>
      <c r="U144" s="641"/>
      <c r="V144" s="641"/>
      <c r="W144" s="641"/>
      <c r="X144" s="641"/>
      <c r="Y144" s="641"/>
      <c r="Z144" s="641"/>
      <c r="AA144" s="641"/>
      <c r="AB144" s="641"/>
      <c r="AC144" s="641"/>
      <c r="AD144" s="641"/>
      <c r="AE144" s="641"/>
    </row>
    <row r="145" spans="1:31" s="642" customFormat="1" ht="18" customHeight="1">
      <c r="A145" s="98">
        <v>136</v>
      </c>
      <c r="B145" s="359"/>
      <c r="C145" s="1054"/>
      <c r="D145" s="1054"/>
      <c r="E145" s="1146" t="s">
        <v>966</v>
      </c>
      <c r="F145" s="1055"/>
      <c r="G145" s="1055"/>
      <c r="H145" s="1055"/>
      <c r="I145" s="637"/>
      <c r="J145" s="1197">
        <f>SUM(K145:R145)</f>
        <v>-3000</v>
      </c>
      <c r="K145" s="273"/>
      <c r="L145" s="273"/>
      <c r="M145" s="273"/>
      <c r="N145" s="273"/>
      <c r="O145" s="273"/>
      <c r="P145" s="273">
        <v>-3000</v>
      </c>
      <c r="Q145" s="639"/>
      <c r="R145" s="640"/>
      <c r="S145" s="641"/>
      <c r="T145" s="641"/>
      <c r="U145" s="641"/>
      <c r="V145" s="641"/>
      <c r="W145" s="641"/>
      <c r="X145" s="641"/>
      <c r="Y145" s="641"/>
      <c r="Z145" s="641"/>
      <c r="AA145" s="641"/>
      <c r="AB145" s="641"/>
      <c r="AC145" s="641"/>
      <c r="AD145" s="641"/>
      <c r="AE145" s="641"/>
    </row>
    <row r="146" spans="1:31" s="642" customFormat="1" ht="18" customHeight="1">
      <c r="A146" s="98">
        <v>137</v>
      </c>
      <c r="B146" s="359"/>
      <c r="C146" s="1054"/>
      <c r="D146" s="1054"/>
      <c r="E146" s="483" t="s">
        <v>1091</v>
      </c>
      <c r="F146" s="1055"/>
      <c r="G146" s="1055"/>
      <c r="H146" s="1055"/>
      <c r="I146" s="637"/>
      <c r="J146" s="269">
        <f>SUM(K146:R146)</f>
        <v>164381</v>
      </c>
      <c r="K146" s="1200">
        <f>SUM(K143:K145)</f>
        <v>97192</v>
      </c>
      <c r="L146" s="1200">
        <f>SUM(L143:L145)</f>
        <v>10315</v>
      </c>
      <c r="M146" s="1200">
        <f>SUM(M143:M145)</f>
        <v>47631</v>
      </c>
      <c r="N146" s="1200"/>
      <c r="O146" s="1200">
        <f>SUM(O143:O145)</f>
        <v>263</v>
      </c>
      <c r="P146" s="1200">
        <f>SUM(P143:P145)</f>
        <v>8980</v>
      </c>
      <c r="Q146" s="639"/>
      <c r="R146" s="640"/>
      <c r="S146" s="641"/>
      <c r="T146" s="641"/>
      <c r="U146" s="641"/>
      <c r="V146" s="641"/>
      <c r="W146" s="641"/>
      <c r="X146" s="641"/>
      <c r="Y146" s="641"/>
      <c r="Z146" s="641"/>
      <c r="AA146" s="641"/>
      <c r="AB146" s="641"/>
      <c r="AC146" s="641"/>
      <c r="AD146" s="641"/>
      <c r="AE146" s="641"/>
    </row>
    <row r="147" spans="1:31" s="30" customFormat="1" ht="18" customHeight="1">
      <c r="A147" s="98">
        <v>138</v>
      </c>
      <c r="B147" s="227"/>
      <c r="C147" s="495">
        <v>1</v>
      </c>
      <c r="D147" s="2061" t="s">
        <v>137</v>
      </c>
      <c r="E147" s="2062"/>
      <c r="F147" s="353"/>
      <c r="G147" s="232">
        <v>2124</v>
      </c>
      <c r="H147" s="232">
        <v>2455</v>
      </c>
      <c r="I147" s="354">
        <v>1052</v>
      </c>
      <c r="J147" s="277"/>
      <c r="K147" s="261"/>
      <c r="L147" s="261"/>
      <c r="M147" s="261"/>
      <c r="N147" s="273"/>
      <c r="O147" s="273"/>
      <c r="P147" s="273"/>
      <c r="Q147" s="273"/>
      <c r="R147" s="274"/>
      <c r="S147" s="202"/>
      <c r="T147" s="202"/>
      <c r="U147" s="202"/>
      <c r="V147" s="202"/>
      <c r="W147" s="202"/>
      <c r="X147" s="202"/>
      <c r="Y147" s="202"/>
      <c r="Z147" s="202"/>
      <c r="AA147" s="202"/>
      <c r="AB147" s="202"/>
      <c r="AC147" s="202"/>
      <c r="AD147" s="202"/>
      <c r="AE147" s="202"/>
    </row>
    <row r="148" spans="1:31" s="642" customFormat="1" ht="18" customHeight="1">
      <c r="A148" s="98">
        <v>139</v>
      </c>
      <c r="B148" s="359"/>
      <c r="C148" s="1054"/>
      <c r="D148" s="1054"/>
      <c r="E148" s="1069" t="s">
        <v>283</v>
      </c>
      <c r="F148" s="1059"/>
      <c r="G148" s="1055"/>
      <c r="H148" s="1055"/>
      <c r="I148" s="637"/>
      <c r="J148" s="638">
        <f>SUM(K148:R148)</f>
        <v>1054</v>
      </c>
      <c r="K148" s="639">
        <v>978</v>
      </c>
      <c r="L148" s="639">
        <v>76</v>
      </c>
      <c r="M148" s="639"/>
      <c r="N148" s="639"/>
      <c r="O148" s="639"/>
      <c r="P148" s="639"/>
      <c r="Q148" s="639"/>
      <c r="R148" s="640"/>
      <c r="S148" s="641"/>
      <c r="T148" s="641"/>
      <c r="U148" s="641"/>
      <c r="V148" s="641"/>
      <c r="W148" s="641"/>
      <c r="X148" s="641"/>
      <c r="Y148" s="641"/>
      <c r="Z148" s="641"/>
      <c r="AA148" s="641"/>
      <c r="AB148" s="641"/>
      <c r="AC148" s="641"/>
      <c r="AD148" s="641"/>
      <c r="AE148" s="641"/>
    </row>
    <row r="149" spans="1:31" s="642" customFormat="1" ht="18" customHeight="1">
      <c r="A149" s="98">
        <v>140</v>
      </c>
      <c r="B149" s="359"/>
      <c r="C149" s="1054"/>
      <c r="D149" s="1179"/>
      <c r="E149" s="483" t="s">
        <v>938</v>
      </c>
      <c r="F149" s="1180"/>
      <c r="G149" s="1055"/>
      <c r="H149" s="1055"/>
      <c r="I149" s="637"/>
      <c r="J149" s="269">
        <f>SUM(K149:R149)</f>
        <v>1755</v>
      </c>
      <c r="K149" s="1200">
        <v>1624</v>
      </c>
      <c r="L149" s="1200">
        <v>131</v>
      </c>
      <c r="M149" s="639"/>
      <c r="N149" s="639"/>
      <c r="O149" s="639"/>
      <c r="P149" s="639"/>
      <c r="Q149" s="639"/>
      <c r="R149" s="640"/>
      <c r="S149" s="641"/>
      <c r="T149" s="641"/>
      <c r="U149" s="641"/>
      <c r="V149" s="641"/>
      <c r="W149" s="641"/>
      <c r="X149" s="641"/>
      <c r="Y149" s="641"/>
      <c r="Z149" s="641"/>
      <c r="AA149" s="641"/>
      <c r="AB149" s="641"/>
      <c r="AC149" s="641"/>
      <c r="AD149" s="641"/>
      <c r="AE149" s="641"/>
    </row>
    <row r="150" spans="1:31" s="642" customFormat="1" ht="18" customHeight="1">
      <c r="A150" s="98">
        <v>141</v>
      </c>
      <c r="B150" s="359"/>
      <c r="C150" s="1054"/>
      <c r="D150" s="1179"/>
      <c r="E150" s="1146" t="s">
        <v>674</v>
      </c>
      <c r="F150" s="1180"/>
      <c r="G150" s="1055"/>
      <c r="H150" s="1055"/>
      <c r="I150" s="637"/>
      <c r="J150" s="1197">
        <f>SUM(K150:R150)</f>
        <v>0</v>
      </c>
      <c r="K150" s="273"/>
      <c r="L150" s="273"/>
      <c r="M150" s="639"/>
      <c r="N150" s="639"/>
      <c r="O150" s="639"/>
      <c r="P150" s="639"/>
      <c r="Q150" s="639"/>
      <c r="R150" s="640"/>
      <c r="S150" s="641"/>
      <c r="T150" s="641"/>
      <c r="U150" s="641"/>
      <c r="V150" s="641"/>
      <c r="W150" s="641"/>
      <c r="X150" s="641"/>
      <c r="Y150" s="641"/>
      <c r="Z150" s="641"/>
      <c r="AA150" s="641"/>
      <c r="AB150" s="641"/>
      <c r="AC150" s="641"/>
      <c r="AD150" s="641"/>
      <c r="AE150" s="641"/>
    </row>
    <row r="151" spans="1:31" s="642" customFormat="1" ht="18" customHeight="1">
      <c r="A151" s="98">
        <v>142</v>
      </c>
      <c r="B151" s="359"/>
      <c r="C151" s="1054"/>
      <c r="D151" s="1179"/>
      <c r="E151" s="483" t="s">
        <v>1091</v>
      </c>
      <c r="F151" s="1180"/>
      <c r="G151" s="1055"/>
      <c r="H151" s="1055"/>
      <c r="I151" s="637"/>
      <c r="J151" s="269">
        <f>SUM(K151:R151)</f>
        <v>1755</v>
      </c>
      <c r="K151" s="1200">
        <f>SUM(K149:K150)</f>
        <v>1624</v>
      </c>
      <c r="L151" s="1200">
        <f>SUM(L149:L150)</f>
        <v>131</v>
      </c>
      <c r="M151" s="639"/>
      <c r="N151" s="639"/>
      <c r="O151" s="639"/>
      <c r="P151" s="639"/>
      <c r="Q151" s="639"/>
      <c r="R151" s="640"/>
      <c r="S151" s="641"/>
      <c r="T151" s="641"/>
      <c r="U151" s="641"/>
      <c r="V151" s="641"/>
      <c r="W151" s="641"/>
      <c r="X151" s="641"/>
      <c r="Y151" s="641"/>
      <c r="Z151" s="641"/>
      <c r="AA151" s="641"/>
      <c r="AB151" s="641"/>
      <c r="AC151" s="641"/>
      <c r="AD151" s="641"/>
      <c r="AE151" s="641"/>
    </row>
    <row r="152" spans="1:31" s="30" customFormat="1" ht="33" customHeight="1">
      <c r="A152" s="98">
        <v>143</v>
      </c>
      <c r="B152" s="227"/>
      <c r="C152" s="496"/>
      <c r="D152" s="2070" t="s">
        <v>663</v>
      </c>
      <c r="E152" s="2130"/>
      <c r="F152" s="499"/>
      <c r="G152" s="94">
        <v>19384</v>
      </c>
      <c r="H152" s="94">
        <v>5725</v>
      </c>
      <c r="I152" s="266">
        <v>6992</v>
      </c>
      <c r="J152" s="277"/>
      <c r="K152" s="261"/>
      <c r="L152" s="261"/>
      <c r="M152" s="261"/>
      <c r="N152" s="273"/>
      <c r="O152" s="273"/>
      <c r="P152" s="273"/>
      <c r="Q152" s="273"/>
      <c r="R152" s="274"/>
      <c r="S152" s="202"/>
      <c r="T152" s="202"/>
      <c r="U152" s="202"/>
      <c r="V152" s="202"/>
      <c r="W152" s="202"/>
      <c r="X152" s="202"/>
      <c r="Y152" s="202"/>
      <c r="Z152" s="202"/>
      <c r="AA152" s="202"/>
      <c r="AB152" s="202"/>
      <c r="AC152" s="202"/>
      <c r="AD152" s="202"/>
      <c r="AE152" s="202"/>
    </row>
    <row r="153" spans="1:31" s="25" customFormat="1" ht="18" customHeight="1">
      <c r="A153" s="98">
        <v>144</v>
      </c>
      <c r="B153" s="227"/>
      <c r="C153" s="495">
        <v>2</v>
      </c>
      <c r="D153" s="2059" t="s">
        <v>539</v>
      </c>
      <c r="E153" s="2060"/>
      <c r="F153" s="353"/>
      <c r="G153" s="94"/>
      <c r="H153" s="94"/>
      <c r="I153" s="354">
        <v>0</v>
      </c>
      <c r="J153" s="277"/>
      <c r="K153" s="261"/>
      <c r="L153" s="261"/>
      <c r="M153" s="261"/>
      <c r="N153" s="273"/>
      <c r="O153" s="273"/>
      <c r="P153" s="273"/>
      <c r="Q153" s="273"/>
      <c r="R153" s="274"/>
      <c r="S153" s="34"/>
      <c r="T153" s="34"/>
      <c r="U153" s="34"/>
      <c r="V153" s="34"/>
      <c r="W153" s="34"/>
      <c r="X153" s="34"/>
      <c r="Y153" s="34"/>
      <c r="Z153" s="34"/>
      <c r="AA153" s="34"/>
      <c r="AB153" s="34"/>
      <c r="AC153" s="34"/>
      <c r="AD153" s="34"/>
      <c r="AE153" s="34"/>
    </row>
    <row r="154" spans="1:31" s="652" customFormat="1" ht="18" customHeight="1">
      <c r="A154" s="98">
        <v>145</v>
      </c>
      <c r="B154" s="359"/>
      <c r="C154" s="1054"/>
      <c r="D154" s="1054"/>
      <c r="E154" s="1069" t="s">
        <v>283</v>
      </c>
      <c r="F154" s="1059"/>
      <c r="G154" s="1055"/>
      <c r="H154" s="1055"/>
      <c r="I154" s="637"/>
      <c r="J154" s="638">
        <f>SUM(K154:R154)</f>
        <v>6843</v>
      </c>
      <c r="K154" s="639">
        <v>3415</v>
      </c>
      <c r="L154" s="639">
        <v>529</v>
      </c>
      <c r="M154" s="639">
        <v>2899</v>
      </c>
      <c r="N154" s="639"/>
      <c r="O154" s="639"/>
      <c r="P154" s="639"/>
      <c r="Q154" s="639"/>
      <c r="R154" s="640"/>
      <c r="S154" s="651"/>
      <c r="T154" s="651"/>
      <c r="U154" s="651"/>
      <c r="V154" s="651"/>
      <c r="W154" s="651"/>
      <c r="X154" s="651"/>
      <c r="Y154" s="651"/>
      <c r="Z154" s="651"/>
      <c r="AA154" s="651"/>
      <c r="AB154" s="651"/>
      <c r="AC154" s="651"/>
      <c r="AD154" s="651"/>
      <c r="AE154" s="651"/>
    </row>
    <row r="155" spans="1:31" s="652" customFormat="1" ht="18" customHeight="1">
      <c r="A155" s="98">
        <v>146</v>
      </c>
      <c r="B155" s="359"/>
      <c r="C155" s="1054"/>
      <c r="D155" s="1054"/>
      <c r="E155" s="483" t="s">
        <v>938</v>
      </c>
      <c r="F155" s="1059"/>
      <c r="G155" s="1055"/>
      <c r="H155" s="1055"/>
      <c r="I155" s="637"/>
      <c r="J155" s="269">
        <f>SUM(K155:R155)</f>
        <v>6843</v>
      </c>
      <c r="K155" s="1200">
        <v>3415</v>
      </c>
      <c r="L155" s="1200">
        <v>529</v>
      </c>
      <c r="M155" s="1200">
        <v>2899</v>
      </c>
      <c r="N155" s="639"/>
      <c r="O155" s="639"/>
      <c r="P155" s="639"/>
      <c r="Q155" s="639"/>
      <c r="R155" s="640"/>
      <c r="S155" s="651"/>
      <c r="T155" s="651"/>
      <c r="U155" s="651"/>
      <c r="V155" s="651"/>
      <c r="W155" s="651"/>
      <c r="X155" s="651"/>
      <c r="Y155" s="651"/>
      <c r="Z155" s="651"/>
      <c r="AA155" s="651"/>
      <c r="AB155" s="651"/>
      <c r="AC155" s="651"/>
      <c r="AD155" s="651"/>
      <c r="AE155" s="651"/>
    </row>
    <row r="156" spans="1:31" s="652" customFormat="1" ht="18" customHeight="1">
      <c r="A156" s="98">
        <v>147</v>
      </c>
      <c r="B156" s="359"/>
      <c r="C156" s="1054"/>
      <c r="D156" s="1054"/>
      <c r="E156" s="1146" t="s">
        <v>674</v>
      </c>
      <c r="F156" s="1059"/>
      <c r="G156" s="1055"/>
      <c r="H156" s="1055"/>
      <c r="I156" s="637"/>
      <c r="J156" s="1197">
        <f>SUM(K156:R156)</f>
        <v>0</v>
      </c>
      <c r="K156" s="639"/>
      <c r="L156" s="639"/>
      <c r="M156" s="639"/>
      <c r="N156" s="639"/>
      <c r="O156" s="639"/>
      <c r="P156" s="639"/>
      <c r="Q156" s="639"/>
      <c r="R156" s="640"/>
      <c r="S156" s="651"/>
      <c r="T156" s="651"/>
      <c r="U156" s="651"/>
      <c r="V156" s="651"/>
      <c r="W156" s="651"/>
      <c r="X156" s="651"/>
      <c r="Y156" s="651"/>
      <c r="Z156" s="651"/>
      <c r="AA156" s="651"/>
      <c r="AB156" s="651"/>
      <c r="AC156" s="651"/>
      <c r="AD156" s="651"/>
      <c r="AE156" s="651"/>
    </row>
    <row r="157" spans="1:31" s="652" customFormat="1" ht="18" customHeight="1">
      <c r="A157" s="98">
        <v>148</v>
      </c>
      <c r="B157" s="359"/>
      <c r="C157" s="1054"/>
      <c r="D157" s="1054"/>
      <c r="E157" s="483" t="s">
        <v>1091</v>
      </c>
      <c r="F157" s="1059"/>
      <c r="G157" s="1055"/>
      <c r="H157" s="1055"/>
      <c r="I157" s="637"/>
      <c r="J157" s="269">
        <f>SUM(K157:R157)</f>
        <v>6843</v>
      </c>
      <c r="K157" s="1200">
        <f>SUM(K155:K156)</f>
        <v>3415</v>
      </c>
      <c r="L157" s="1200">
        <f>SUM(L155:L156)</f>
        <v>529</v>
      </c>
      <c r="M157" s="1200">
        <f>SUM(M155:M156)</f>
        <v>2899</v>
      </c>
      <c r="N157" s="639"/>
      <c r="O157" s="639"/>
      <c r="P157" s="639"/>
      <c r="Q157" s="639"/>
      <c r="R157" s="640"/>
      <c r="S157" s="651"/>
      <c r="T157" s="651"/>
      <c r="U157" s="651"/>
      <c r="V157" s="651"/>
      <c r="W157" s="651"/>
      <c r="X157" s="651"/>
      <c r="Y157" s="651"/>
      <c r="Z157" s="651"/>
      <c r="AA157" s="651"/>
      <c r="AB157" s="651"/>
      <c r="AC157" s="651"/>
      <c r="AD157" s="651"/>
      <c r="AE157" s="651"/>
    </row>
    <row r="158" spans="1:31" s="652" customFormat="1" ht="35.25" customHeight="1">
      <c r="A158" s="98">
        <v>149</v>
      </c>
      <c r="B158" s="359"/>
      <c r="C158" s="1706">
        <v>3</v>
      </c>
      <c r="D158" s="2068" t="s">
        <v>985</v>
      </c>
      <c r="E158" s="2069"/>
      <c r="F158" s="1059"/>
      <c r="G158" s="1055"/>
      <c r="H158" s="1055"/>
      <c r="I158" s="637"/>
      <c r="J158" s="269"/>
      <c r="K158" s="1200"/>
      <c r="L158" s="1200"/>
      <c r="M158" s="1200"/>
      <c r="N158" s="639"/>
      <c r="O158" s="639"/>
      <c r="P158" s="639"/>
      <c r="Q158" s="639"/>
      <c r="R158" s="640"/>
      <c r="S158" s="651"/>
      <c r="T158" s="651"/>
      <c r="U158" s="651"/>
      <c r="V158" s="651"/>
      <c r="W158" s="651"/>
      <c r="X158" s="651"/>
      <c r="Y158" s="651"/>
      <c r="Z158" s="651"/>
      <c r="AA158" s="651"/>
      <c r="AB158" s="651"/>
      <c r="AC158" s="651"/>
      <c r="AD158" s="651"/>
      <c r="AE158" s="651"/>
    </row>
    <row r="159" spans="1:31" s="652" customFormat="1" ht="18" customHeight="1">
      <c r="A159" s="98">
        <v>150</v>
      </c>
      <c r="B159" s="359"/>
      <c r="C159" s="1054"/>
      <c r="D159" s="605"/>
      <c r="E159" s="1151" t="s">
        <v>674</v>
      </c>
      <c r="F159" s="1059"/>
      <c r="G159" s="1055"/>
      <c r="H159" s="1055"/>
      <c r="I159" s="637"/>
      <c r="J159" s="1197">
        <f>SUM(K159:R159)</f>
        <v>18876</v>
      </c>
      <c r="K159" s="273">
        <v>4500</v>
      </c>
      <c r="L159" s="273">
        <v>704</v>
      </c>
      <c r="M159" s="273">
        <v>7500</v>
      </c>
      <c r="N159" s="639"/>
      <c r="O159" s="639"/>
      <c r="P159" s="273">
        <v>6172</v>
      </c>
      <c r="Q159" s="639"/>
      <c r="R159" s="640"/>
      <c r="S159" s="651"/>
      <c r="T159" s="651"/>
      <c r="U159" s="651"/>
      <c r="V159" s="651"/>
      <c r="W159" s="651"/>
      <c r="X159" s="651"/>
      <c r="Y159" s="651"/>
      <c r="Z159" s="651"/>
      <c r="AA159" s="651"/>
      <c r="AB159" s="651"/>
      <c r="AC159" s="651"/>
      <c r="AD159" s="651"/>
      <c r="AE159" s="651"/>
    </row>
    <row r="160" spans="1:31" s="652" customFormat="1" ht="18" customHeight="1">
      <c r="A160" s="98">
        <v>151</v>
      </c>
      <c r="B160" s="359"/>
      <c r="C160" s="1054"/>
      <c r="D160" s="605"/>
      <c r="E160" s="260" t="s">
        <v>1091</v>
      </c>
      <c r="F160" s="1059"/>
      <c r="G160" s="1055"/>
      <c r="H160" s="1055"/>
      <c r="I160" s="637"/>
      <c r="J160" s="269">
        <f>SUM(K160:R160)</f>
        <v>18876</v>
      </c>
      <c r="K160" s="1200">
        <f>SUM(K159)</f>
        <v>4500</v>
      </c>
      <c r="L160" s="1200">
        <f>SUM(L159)</f>
        <v>704</v>
      </c>
      <c r="M160" s="1200">
        <f>SUM(M159)</f>
        <v>7500</v>
      </c>
      <c r="N160" s="639"/>
      <c r="O160" s="639"/>
      <c r="P160" s="1200">
        <f>SUM(P159)</f>
        <v>6172</v>
      </c>
      <c r="Q160" s="639"/>
      <c r="R160" s="640"/>
      <c r="S160" s="651"/>
      <c r="T160" s="651"/>
      <c r="U160" s="651"/>
      <c r="V160" s="651"/>
      <c r="W160" s="651"/>
      <c r="X160" s="651"/>
      <c r="Y160" s="651"/>
      <c r="Z160" s="651"/>
      <c r="AA160" s="651"/>
      <c r="AB160" s="651"/>
      <c r="AC160" s="651"/>
      <c r="AD160" s="651"/>
      <c r="AE160" s="651"/>
    </row>
    <row r="161" spans="1:31" s="27" customFormat="1" ht="22.5" customHeight="1">
      <c r="A161" s="98">
        <v>152</v>
      </c>
      <c r="B161" s="223">
        <v>15</v>
      </c>
      <c r="C161" s="495"/>
      <c r="D161" s="2059" t="s">
        <v>142</v>
      </c>
      <c r="E161" s="2060"/>
      <c r="F161" s="350" t="s">
        <v>23</v>
      </c>
      <c r="G161" s="94">
        <v>851369</v>
      </c>
      <c r="H161" s="94">
        <v>742553</v>
      </c>
      <c r="I161" s="266">
        <v>836545</v>
      </c>
      <c r="J161" s="277"/>
      <c r="K161" s="94"/>
      <c r="L161" s="94"/>
      <c r="M161" s="94"/>
      <c r="N161" s="94"/>
      <c r="O161" s="94"/>
      <c r="P161" s="94"/>
      <c r="Q161" s="94"/>
      <c r="R161" s="102"/>
      <c r="S161" s="199"/>
      <c r="T161" s="199"/>
      <c r="U161" s="199"/>
      <c r="V161" s="199"/>
      <c r="W161" s="199"/>
      <c r="X161" s="199"/>
      <c r="Y161" s="199"/>
      <c r="Z161" s="199"/>
      <c r="AA161" s="199"/>
      <c r="AB161" s="199"/>
      <c r="AC161" s="199"/>
      <c r="AD161" s="199"/>
      <c r="AE161" s="199"/>
    </row>
    <row r="162" spans="1:31" s="642" customFormat="1" ht="18" customHeight="1">
      <c r="A162" s="98">
        <v>153</v>
      </c>
      <c r="B162" s="359"/>
      <c r="C162" s="1056"/>
      <c r="D162" s="1056"/>
      <c r="E162" s="628" t="s">
        <v>283</v>
      </c>
      <c r="F162" s="1057"/>
      <c r="G162" s="1057"/>
      <c r="H162" s="1057"/>
      <c r="I162" s="646"/>
      <c r="J162" s="647">
        <f>SUM(K162:R162)</f>
        <v>747152</v>
      </c>
      <c r="K162" s="648">
        <v>465819</v>
      </c>
      <c r="L162" s="648">
        <v>62479</v>
      </c>
      <c r="M162" s="648">
        <v>215854</v>
      </c>
      <c r="N162" s="648"/>
      <c r="O162" s="648"/>
      <c r="P162" s="648">
        <v>3000</v>
      </c>
      <c r="Q162" s="648"/>
      <c r="R162" s="649"/>
      <c r="S162" s="641"/>
      <c r="T162" s="641"/>
      <c r="U162" s="641"/>
      <c r="V162" s="641"/>
      <c r="W162" s="641"/>
      <c r="X162" s="641"/>
      <c r="Y162" s="641"/>
      <c r="Z162" s="641"/>
      <c r="AA162" s="641"/>
      <c r="AB162" s="641"/>
      <c r="AC162" s="641"/>
      <c r="AD162" s="641"/>
      <c r="AE162" s="641"/>
    </row>
    <row r="163" spans="1:31" s="642" customFormat="1" ht="18" customHeight="1">
      <c r="A163" s="98">
        <v>154</v>
      </c>
      <c r="B163" s="359"/>
      <c r="C163" s="1056"/>
      <c r="D163" s="1056"/>
      <c r="E163" s="483" t="s">
        <v>938</v>
      </c>
      <c r="F163" s="1057"/>
      <c r="G163" s="1057"/>
      <c r="H163" s="1057"/>
      <c r="I163" s="646"/>
      <c r="J163" s="1644">
        <f>SUM(K163:R163)</f>
        <v>951093</v>
      </c>
      <c r="K163" s="1206">
        <v>561514</v>
      </c>
      <c r="L163" s="1206">
        <v>68000</v>
      </c>
      <c r="M163" s="1206">
        <v>235470</v>
      </c>
      <c r="N163" s="1206"/>
      <c r="O163" s="1206"/>
      <c r="P163" s="1206">
        <v>86109</v>
      </c>
      <c r="Q163" s="648"/>
      <c r="R163" s="649"/>
      <c r="S163" s="641"/>
      <c r="T163" s="641"/>
      <c r="U163" s="641"/>
      <c r="V163" s="641"/>
      <c r="W163" s="641"/>
      <c r="X163" s="641"/>
      <c r="Y163" s="641"/>
      <c r="Z163" s="641"/>
      <c r="AA163" s="641"/>
      <c r="AB163" s="641"/>
      <c r="AC163" s="641"/>
      <c r="AD163" s="641"/>
      <c r="AE163" s="641"/>
    </row>
    <row r="164" spans="1:31" s="642" customFormat="1" ht="18" customHeight="1">
      <c r="A164" s="98">
        <v>155</v>
      </c>
      <c r="B164" s="359"/>
      <c r="C164" s="1194"/>
      <c r="D164" s="1194"/>
      <c r="E164" s="1146" t="s">
        <v>1038</v>
      </c>
      <c r="F164" s="1055"/>
      <c r="G164" s="1055"/>
      <c r="H164" s="1055"/>
      <c r="I164" s="637"/>
      <c r="J164" s="1197">
        <f>SUM(K164:R164)</f>
        <v>-22606</v>
      </c>
      <c r="K164" s="273"/>
      <c r="L164" s="273"/>
      <c r="M164" s="273">
        <v>-5000</v>
      </c>
      <c r="N164" s="273"/>
      <c r="O164" s="273"/>
      <c r="P164" s="273">
        <v>-17606</v>
      </c>
      <c r="Q164" s="639"/>
      <c r="R164" s="640"/>
      <c r="S164" s="641"/>
      <c r="T164" s="641"/>
      <c r="U164" s="641"/>
      <c r="V164" s="641"/>
      <c r="W164" s="641"/>
      <c r="X164" s="641"/>
      <c r="Y164" s="641"/>
      <c r="Z164" s="641"/>
      <c r="AA164" s="641"/>
      <c r="AB164" s="641"/>
      <c r="AC164" s="641"/>
      <c r="AD164" s="641"/>
      <c r="AE164" s="641"/>
    </row>
    <row r="165" spans="1:31" s="642" customFormat="1" ht="18" customHeight="1" thickBot="1">
      <c r="A165" s="98">
        <v>156</v>
      </c>
      <c r="B165" s="359"/>
      <c r="C165" s="1181"/>
      <c r="D165" s="1058"/>
      <c r="E165" s="483" t="s">
        <v>1091</v>
      </c>
      <c r="F165" s="1161"/>
      <c r="G165" s="1161"/>
      <c r="H165" s="1161"/>
      <c r="I165" s="1182"/>
      <c r="J165" s="269">
        <f>SUM(K165:R165)</f>
        <v>928487</v>
      </c>
      <c r="K165" s="1211">
        <f>SUM(K163:K164)</f>
        <v>561514</v>
      </c>
      <c r="L165" s="1211">
        <f>SUM(L163:L164)</f>
        <v>68000</v>
      </c>
      <c r="M165" s="1211">
        <f>SUM(M163:M164)</f>
        <v>230470</v>
      </c>
      <c r="N165" s="1211"/>
      <c r="O165" s="1211"/>
      <c r="P165" s="1211">
        <f>SUM(P163:P164)</f>
        <v>68503</v>
      </c>
      <c r="Q165" s="1183"/>
      <c r="R165" s="1184"/>
      <c r="S165" s="641"/>
      <c r="T165" s="641"/>
      <c r="U165" s="641"/>
      <c r="V165" s="641"/>
      <c r="W165" s="641"/>
      <c r="X165" s="641"/>
      <c r="Y165" s="641"/>
      <c r="Z165" s="641"/>
      <c r="AA165" s="641"/>
      <c r="AB165" s="641"/>
      <c r="AC165" s="641"/>
      <c r="AD165" s="641"/>
      <c r="AE165" s="641"/>
    </row>
    <row r="166" spans="1:31" s="154" customFormat="1" ht="22.5" customHeight="1" thickTop="1">
      <c r="A166" s="98">
        <v>157</v>
      </c>
      <c r="B166" s="270"/>
      <c r="C166" s="2139" t="s">
        <v>426</v>
      </c>
      <c r="D166" s="2140"/>
      <c r="E166" s="2141"/>
      <c r="F166" s="534"/>
      <c r="G166" s="527">
        <f>SUM(G81:G162)</f>
        <v>2347852</v>
      </c>
      <c r="H166" s="527">
        <f>SUM(H81:H162)-H87-H105-H120-H131</f>
        <v>2182328</v>
      </c>
      <c r="I166" s="653">
        <f>SUM(I81:I162)</f>
        <v>2191996</v>
      </c>
      <c r="J166" s="535"/>
      <c r="K166" s="532"/>
      <c r="L166" s="532"/>
      <c r="M166" s="532"/>
      <c r="N166" s="532"/>
      <c r="O166" s="532"/>
      <c r="P166" s="532"/>
      <c r="Q166" s="532"/>
      <c r="R166" s="533"/>
      <c r="S166" s="276"/>
      <c r="T166" s="276"/>
      <c r="U166" s="276"/>
      <c r="V166" s="276"/>
      <c r="W166" s="276"/>
      <c r="X166" s="276"/>
      <c r="Y166" s="276"/>
      <c r="Z166" s="276"/>
      <c r="AA166" s="276"/>
      <c r="AB166" s="276"/>
      <c r="AC166" s="276"/>
      <c r="AD166" s="276"/>
      <c r="AE166" s="276"/>
    </row>
    <row r="167" spans="1:31" s="642" customFormat="1" ht="18" customHeight="1">
      <c r="A167" s="98">
        <v>158</v>
      </c>
      <c r="B167" s="359"/>
      <c r="C167" s="1193"/>
      <c r="D167" s="1056"/>
      <c r="E167" s="628" t="s">
        <v>283</v>
      </c>
      <c r="F167" s="1057"/>
      <c r="G167" s="1057"/>
      <c r="H167" s="1057"/>
      <c r="I167" s="646"/>
      <c r="J167" s="647">
        <f>SUM(K167:R167)</f>
        <v>2340076</v>
      </c>
      <c r="K167" s="648">
        <f aca="true" t="shared" si="7" ref="K167:R167">SUM(K82,K89,K98,K115,K122,K127,K142,K148,K162,K107,K134,K154)</f>
        <v>1220525</v>
      </c>
      <c r="L167" s="648">
        <f t="shared" si="7"/>
        <v>191805</v>
      </c>
      <c r="M167" s="648">
        <f t="shared" si="7"/>
        <v>868585</v>
      </c>
      <c r="N167" s="648">
        <f t="shared" si="7"/>
        <v>0</v>
      </c>
      <c r="O167" s="648">
        <f t="shared" si="7"/>
        <v>0</v>
      </c>
      <c r="P167" s="648">
        <f t="shared" si="7"/>
        <v>59161</v>
      </c>
      <c r="Q167" s="648">
        <f t="shared" si="7"/>
        <v>0</v>
      </c>
      <c r="R167" s="649">
        <f t="shared" si="7"/>
        <v>0</v>
      </c>
      <c r="S167" s="641"/>
      <c r="T167" s="641"/>
      <c r="U167" s="641"/>
      <c r="V167" s="641"/>
      <c r="W167" s="641"/>
      <c r="X167" s="641"/>
      <c r="Y167" s="641"/>
      <c r="Z167" s="641"/>
      <c r="AA167" s="641"/>
      <c r="AB167" s="641"/>
      <c r="AC167" s="641"/>
      <c r="AD167" s="641"/>
      <c r="AE167" s="641"/>
    </row>
    <row r="168" spans="1:31" s="642" customFormat="1" ht="18" customHeight="1">
      <c r="A168" s="98">
        <v>159</v>
      </c>
      <c r="B168" s="1207"/>
      <c r="C168" s="1193"/>
      <c r="D168" s="1056"/>
      <c r="E168" s="483" t="s">
        <v>938</v>
      </c>
      <c r="F168" s="1057"/>
      <c r="G168" s="1057"/>
      <c r="H168" s="1057"/>
      <c r="I168" s="646"/>
      <c r="J168" s="1644">
        <f>SUM(K168:R168)</f>
        <v>2671157</v>
      </c>
      <c r="K168" s="1206">
        <f aca="true" t="shared" si="8" ref="K168:R168">SUM(K83,K90,K99,K116,K123,K128,K143,K149,K163,K108,K135,K155,K94)</f>
        <v>1358856</v>
      </c>
      <c r="L168" s="1206">
        <f t="shared" si="8"/>
        <v>195990</v>
      </c>
      <c r="M168" s="1206">
        <f t="shared" si="8"/>
        <v>884001</v>
      </c>
      <c r="N168" s="1206">
        <f t="shared" si="8"/>
        <v>0</v>
      </c>
      <c r="O168" s="1206">
        <f t="shared" si="8"/>
        <v>263</v>
      </c>
      <c r="P168" s="1206">
        <f t="shared" si="8"/>
        <v>232047</v>
      </c>
      <c r="Q168" s="1206">
        <f t="shared" si="8"/>
        <v>0</v>
      </c>
      <c r="R168" s="1653">
        <f t="shared" si="8"/>
        <v>0</v>
      </c>
      <c r="S168" s="641"/>
      <c r="T168" s="641"/>
      <c r="U168" s="641"/>
      <c r="V168" s="641"/>
      <c r="W168" s="641"/>
      <c r="X168" s="641"/>
      <c r="Y168" s="641"/>
      <c r="Z168" s="641"/>
      <c r="AA168" s="641"/>
      <c r="AB168" s="641"/>
      <c r="AC168" s="641"/>
      <c r="AD168" s="641"/>
      <c r="AE168" s="641"/>
    </row>
    <row r="169" spans="1:31" s="642" customFormat="1" ht="18" customHeight="1">
      <c r="A169" s="98">
        <v>160</v>
      </c>
      <c r="B169" s="1207"/>
      <c r="C169" s="1194"/>
      <c r="D169" s="1054"/>
      <c r="E169" s="1146" t="s">
        <v>674</v>
      </c>
      <c r="F169" s="1055"/>
      <c r="G169" s="1055"/>
      <c r="H169" s="1055"/>
      <c r="I169" s="637"/>
      <c r="J169" s="1197">
        <f>SUM(K169:R169)</f>
        <v>128737</v>
      </c>
      <c r="K169" s="273">
        <f aca="true" t="shared" si="9" ref="K169:R169">SUM(K84:K85,K91:K91,K100:K103,K109,K117:K118,K124,K129:K129,K136,K144:K144,K150,K156,K164:K164)+K95+K112+K159+K145+K139</f>
        <v>31461</v>
      </c>
      <c r="L169" s="273">
        <f t="shared" si="9"/>
        <v>-2635</v>
      </c>
      <c r="M169" s="273">
        <f t="shared" si="9"/>
        <v>64737</v>
      </c>
      <c r="N169" s="273">
        <f t="shared" si="9"/>
        <v>2349</v>
      </c>
      <c r="O169" s="273">
        <f t="shared" si="9"/>
        <v>1200</v>
      </c>
      <c r="P169" s="273">
        <f t="shared" si="9"/>
        <v>29335</v>
      </c>
      <c r="Q169" s="273">
        <f t="shared" si="9"/>
        <v>0</v>
      </c>
      <c r="R169" s="274">
        <f t="shared" si="9"/>
        <v>2290</v>
      </c>
      <c r="S169" s="641"/>
      <c r="T169" s="641"/>
      <c r="U169" s="641"/>
      <c r="V169" s="641"/>
      <c r="W169" s="641"/>
      <c r="X169" s="641"/>
      <c r="Y169" s="641"/>
      <c r="Z169" s="641"/>
      <c r="AA169" s="641"/>
      <c r="AB169" s="641"/>
      <c r="AC169" s="641"/>
      <c r="AD169" s="641"/>
      <c r="AE169" s="641"/>
    </row>
    <row r="170" spans="1:31" s="642" customFormat="1" ht="18" customHeight="1" thickBot="1">
      <c r="A170" s="98">
        <v>161</v>
      </c>
      <c r="B170" s="1207"/>
      <c r="C170" s="1208"/>
      <c r="D170" s="1209"/>
      <c r="E170" s="1157" t="s">
        <v>1091</v>
      </c>
      <c r="F170" s="1158"/>
      <c r="G170" s="1158"/>
      <c r="H170" s="1158"/>
      <c r="I170" s="1203"/>
      <c r="J170" s="1205">
        <f>SUM(K170:R170)</f>
        <v>2799894</v>
      </c>
      <c r="K170" s="1210">
        <f>SUM(K168:K169)</f>
        <v>1390317</v>
      </c>
      <c r="L170" s="1210">
        <f aca="true" t="shared" si="10" ref="L170:R170">SUM(L168:L169)</f>
        <v>193355</v>
      </c>
      <c r="M170" s="1210">
        <f t="shared" si="10"/>
        <v>948738</v>
      </c>
      <c r="N170" s="1210">
        <f t="shared" si="10"/>
        <v>2349</v>
      </c>
      <c r="O170" s="1210">
        <f t="shared" si="10"/>
        <v>1463</v>
      </c>
      <c r="P170" s="1210">
        <f t="shared" si="10"/>
        <v>261382</v>
      </c>
      <c r="Q170" s="1210">
        <f t="shared" si="10"/>
        <v>0</v>
      </c>
      <c r="R170" s="1228">
        <f t="shared" si="10"/>
        <v>2290</v>
      </c>
      <c r="S170" s="641"/>
      <c r="T170" s="641"/>
      <c r="U170" s="641"/>
      <c r="V170" s="641"/>
      <c r="W170" s="641"/>
      <c r="X170" s="641"/>
      <c r="Y170" s="641"/>
      <c r="Z170" s="641"/>
      <c r="AA170" s="641"/>
      <c r="AB170" s="641"/>
      <c r="AC170" s="641"/>
      <c r="AD170" s="641"/>
      <c r="AE170" s="641"/>
    </row>
    <row r="171" spans="1:31" s="31" customFormat="1" ht="22.5" customHeight="1" thickTop="1">
      <c r="A171" s="98">
        <v>162</v>
      </c>
      <c r="B171" s="237">
        <v>16</v>
      </c>
      <c r="C171" s="497"/>
      <c r="D171" s="2112" t="s">
        <v>251</v>
      </c>
      <c r="E171" s="2113"/>
      <c r="F171" s="351" t="s">
        <v>22</v>
      </c>
      <c r="G171" s="249">
        <v>965302</v>
      </c>
      <c r="H171" s="249">
        <v>1025459</v>
      </c>
      <c r="I171" s="352">
        <v>743417</v>
      </c>
      <c r="J171" s="342"/>
      <c r="K171" s="249"/>
      <c r="L171" s="249"/>
      <c r="M171" s="249"/>
      <c r="N171" s="249"/>
      <c r="O171" s="249"/>
      <c r="P171" s="249"/>
      <c r="Q171" s="249"/>
      <c r="R171" s="272"/>
      <c r="S171" s="197"/>
      <c r="T171" s="197"/>
      <c r="U171" s="197"/>
      <c r="V171" s="197"/>
      <c r="W171" s="197"/>
      <c r="X171" s="197"/>
      <c r="Y171" s="197"/>
      <c r="Z171" s="197"/>
      <c r="AA171" s="197"/>
      <c r="AB171" s="197"/>
      <c r="AC171" s="197"/>
      <c r="AD171" s="197"/>
      <c r="AE171" s="197"/>
    </row>
    <row r="172" spans="1:31" s="601" customFormat="1" ht="18" customHeight="1">
      <c r="A172" s="98">
        <v>163</v>
      </c>
      <c r="B172" s="1192"/>
      <c r="C172" s="1056"/>
      <c r="D172" s="1056"/>
      <c r="E172" s="628" t="s">
        <v>283</v>
      </c>
      <c r="F172" s="1057"/>
      <c r="G172" s="1057"/>
      <c r="H172" s="1057"/>
      <c r="I172" s="646"/>
      <c r="J172" s="647">
        <f>SUM(K172:R172)</f>
        <v>1199812</v>
      </c>
      <c r="K172" s="648">
        <v>189138</v>
      </c>
      <c r="L172" s="648">
        <v>34301</v>
      </c>
      <c r="M172" s="648">
        <v>973553</v>
      </c>
      <c r="N172" s="648"/>
      <c r="O172" s="648"/>
      <c r="P172" s="648">
        <v>2820</v>
      </c>
      <c r="Q172" s="648"/>
      <c r="R172" s="649"/>
      <c r="S172" s="650"/>
      <c r="T172" s="650"/>
      <c r="U172" s="650"/>
      <c r="V172" s="650"/>
      <c r="W172" s="650"/>
      <c r="X172" s="650"/>
      <c r="Y172" s="650"/>
      <c r="Z172" s="650"/>
      <c r="AA172" s="650"/>
      <c r="AB172" s="650"/>
      <c r="AC172" s="650"/>
      <c r="AD172" s="650"/>
      <c r="AE172" s="650"/>
    </row>
    <row r="173" spans="1:31" s="601" customFormat="1" ht="18" customHeight="1">
      <c r="A173" s="98">
        <v>164</v>
      </c>
      <c r="B173" s="1645"/>
      <c r="C173" s="1056"/>
      <c r="D173" s="1056"/>
      <c r="E173" s="483" t="s">
        <v>938</v>
      </c>
      <c r="F173" s="1057"/>
      <c r="G173" s="1057"/>
      <c r="H173" s="1057"/>
      <c r="I173" s="646"/>
      <c r="J173" s="1644">
        <f>SUM(K173:R173)</f>
        <v>1333246</v>
      </c>
      <c r="K173" s="1206">
        <v>229138</v>
      </c>
      <c r="L173" s="1206">
        <v>43301</v>
      </c>
      <c r="M173" s="1206">
        <v>1055967</v>
      </c>
      <c r="N173" s="1206"/>
      <c r="O173" s="1206"/>
      <c r="P173" s="1206">
        <v>4840</v>
      </c>
      <c r="Q173" s="648"/>
      <c r="R173" s="649"/>
      <c r="S173" s="650"/>
      <c r="T173" s="650"/>
      <c r="U173" s="650"/>
      <c r="V173" s="650"/>
      <c r="W173" s="650"/>
      <c r="X173" s="650"/>
      <c r="Y173" s="650"/>
      <c r="Z173" s="650"/>
      <c r="AA173" s="650"/>
      <c r="AB173" s="650"/>
      <c r="AC173" s="650"/>
      <c r="AD173" s="650"/>
      <c r="AE173" s="650"/>
    </row>
    <row r="174" spans="1:31" s="601" customFormat="1" ht="18" customHeight="1">
      <c r="A174" s="98">
        <v>165</v>
      </c>
      <c r="B174" s="1195"/>
      <c r="C174" s="1194"/>
      <c r="D174" s="1194"/>
      <c r="E174" s="1146" t="s">
        <v>725</v>
      </c>
      <c r="F174" s="1055"/>
      <c r="G174" s="1055"/>
      <c r="H174" s="1055"/>
      <c r="I174" s="637"/>
      <c r="J174" s="1197">
        <f>SUM(K174:R174)</f>
        <v>0</v>
      </c>
      <c r="K174" s="273"/>
      <c r="L174" s="273"/>
      <c r="M174" s="273"/>
      <c r="N174" s="273"/>
      <c r="O174" s="273"/>
      <c r="P174" s="273"/>
      <c r="Q174" s="639"/>
      <c r="R174" s="640"/>
      <c r="S174" s="650"/>
      <c r="T174" s="650"/>
      <c r="U174" s="650"/>
      <c r="V174" s="650"/>
      <c r="W174" s="650"/>
      <c r="X174" s="650"/>
      <c r="Y174" s="650"/>
      <c r="Z174" s="650"/>
      <c r="AA174" s="650"/>
      <c r="AB174" s="650"/>
      <c r="AC174" s="650"/>
      <c r="AD174" s="650"/>
      <c r="AE174" s="650"/>
    </row>
    <row r="175" spans="1:31" s="601" customFormat="1" ht="18" customHeight="1" thickBot="1">
      <c r="A175" s="98">
        <v>166</v>
      </c>
      <c r="B175" s="1185"/>
      <c r="C175" s="1196"/>
      <c r="D175" s="1196"/>
      <c r="E175" s="483" t="s">
        <v>1091</v>
      </c>
      <c r="F175" s="1161"/>
      <c r="G175" s="1161"/>
      <c r="H175" s="1161"/>
      <c r="I175" s="1182"/>
      <c r="J175" s="269">
        <f>SUM(K175:R175)</f>
        <v>1333246</v>
      </c>
      <c r="K175" s="1211">
        <f>SUM(K173:K174)</f>
        <v>229138</v>
      </c>
      <c r="L175" s="1211">
        <f>SUM(L173:L174)</f>
        <v>43301</v>
      </c>
      <c r="M175" s="1211">
        <f>SUM(M173:M174)</f>
        <v>1055967</v>
      </c>
      <c r="N175" s="1211"/>
      <c r="O175" s="1211"/>
      <c r="P175" s="1211">
        <f>SUM(P173:P174)</f>
        <v>4840</v>
      </c>
      <c r="Q175" s="1183"/>
      <c r="R175" s="1184"/>
      <c r="S175" s="650"/>
      <c r="T175" s="650"/>
      <c r="U175" s="650"/>
      <c r="V175" s="650"/>
      <c r="W175" s="650"/>
      <c r="X175" s="650"/>
      <c r="Y175" s="650"/>
      <c r="Z175" s="650"/>
      <c r="AA175" s="650"/>
      <c r="AB175" s="650"/>
      <c r="AC175" s="650"/>
      <c r="AD175" s="650"/>
      <c r="AE175" s="650"/>
    </row>
    <row r="176" spans="1:31" s="109" customFormat="1" ht="36" customHeight="1">
      <c r="A176" s="98">
        <v>167</v>
      </c>
      <c r="B176" s="2079" t="s">
        <v>143</v>
      </c>
      <c r="C176" s="2080"/>
      <c r="D176" s="2080"/>
      <c r="E176" s="2081"/>
      <c r="F176" s="355"/>
      <c r="G176" s="356">
        <f>SUM(G171,G166,G76,G47)</f>
        <v>6471307</v>
      </c>
      <c r="H176" s="356">
        <f>SUM(H171,H166,H76,H47)</f>
        <v>6363012</v>
      </c>
      <c r="I176" s="357">
        <f>SUM(I171,I166,I76,I47)</f>
        <v>6169480</v>
      </c>
      <c r="J176" s="654"/>
      <c r="K176" s="282"/>
      <c r="L176" s="282"/>
      <c r="M176" s="282"/>
      <c r="N176" s="282"/>
      <c r="O176" s="282"/>
      <c r="P176" s="282"/>
      <c r="Q176" s="282"/>
      <c r="R176" s="283"/>
      <c r="S176" s="204"/>
      <c r="T176" s="204"/>
      <c r="U176" s="204"/>
      <c r="V176" s="204"/>
      <c r="W176" s="204"/>
      <c r="X176" s="204"/>
      <c r="Y176" s="204"/>
      <c r="Z176" s="204"/>
      <c r="AA176" s="204"/>
      <c r="AB176" s="204"/>
      <c r="AC176" s="204"/>
      <c r="AD176" s="204"/>
      <c r="AE176" s="204"/>
    </row>
    <row r="177" spans="1:31" s="642" customFormat="1" ht="18" customHeight="1">
      <c r="A177" s="98">
        <v>168</v>
      </c>
      <c r="B177" s="1192"/>
      <c r="C177" s="1056"/>
      <c r="D177" s="1056"/>
      <c r="E177" s="628" t="s">
        <v>283</v>
      </c>
      <c r="F177" s="1057"/>
      <c r="G177" s="1057"/>
      <c r="H177" s="1057"/>
      <c r="I177" s="646"/>
      <c r="J177" s="647">
        <f>SUM(K177:R177)</f>
        <v>6945818</v>
      </c>
      <c r="K177" s="648">
        <f aca="true" t="shared" si="11" ref="K177:R178">SUM(K172,K167,K77,K48)</f>
        <v>3749904</v>
      </c>
      <c r="L177" s="648">
        <f t="shared" si="11"/>
        <v>639752</v>
      </c>
      <c r="M177" s="648">
        <f t="shared" si="11"/>
        <v>2443959</v>
      </c>
      <c r="N177" s="648">
        <f t="shared" si="11"/>
        <v>0</v>
      </c>
      <c r="O177" s="648">
        <f t="shared" si="11"/>
        <v>0</v>
      </c>
      <c r="P177" s="648">
        <f t="shared" si="11"/>
        <v>112203</v>
      </c>
      <c r="Q177" s="648">
        <f t="shared" si="11"/>
        <v>0</v>
      </c>
      <c r="R177" s="649">
        <f t="shared" si="11"/>
        <v>0</v>
      </c>
      <c r="S177" s="641"/>
      <c r="T177" s="641"/>
      <c r="U177" s="641"/>
      <c r="V177" s="641"/>
      <c r="W177" s="641"/>
      <c r="X177" s="641"/>
      <c r="Y177" s="641"/>
      <c r="Z177" s="641"/>
      <c r="AA177" s="641"/>
      <c r="AB177" s="641"/>
      <c r="AC177" s="641"/>
      <c r="AD177" s="641"/>
      <c r="AE177" s="641"/>
    </row>
    <row r="178" spans="1:31" s="642" customFormat="1" ht="18" customHeight="1">
      <c r="A178" s="98">
        <v>169</v>
      </c>
      <c r="B178" s="1192"/>
      <c r="C178" s="1056"/>
      <c r="D178" s="1646"/>
      <c r="E178" s="483" t="s">
        <v>938</v>
      </c>
      <c r="F178" s="1057"/>
      <c r="G178" s="1057"/>
      <c r="H178" s="1057"/>
      <c r="I178" s="646"/>
      <c r="J178" s="1644">
        <f>SUM(K178:R178)</f>
        <v>7582338</v>
      </c>
      <c r="K178" s="1206">
        <f t="shared" si="11"/>
        <v>4014585</v>
      </c>
      <c r="L178" s="1206">
        <f t="shared" si="11"/>
        <v>666869</v>
      </c>
      <c r="M178" s="1206">
        <f t="shared" si="11"/>
        <v>2596754</v>
      </c>
      <c r="N178" s="1206">
        <f t="shared" si="11"/>
        <v>0</v>
      </c>
      <c r="O178" s="1206">
        <f t="shared" si="11"/>
        <v>263</v>
      </c>
      <c r="P178" s="1206">
        <f t="shared" si="11"/>
        <v>303867</v>
      </c>
      <c r="Q178" s="1206">
        <f t="shared" si="11"/>
        <v>0</v>
      </c>
      <c r="R178" s="1653">
        <f t="shared" si="11"/>
        <v>0</v>
      </c>
      <c r="S178" s="641"/>
      <c r="T178" s="641"/>
      <c r="U178" s="641"/>
      <c r="V178" s="641"/>
      <c r="W178" s="641"/>
      <c r="X178" s="641"/>
      <c r="Y178" s="641"/>
      <c r="Z178" s="641"/>
      <c r="AA178" s="641"/>
      <c r="AB178" s="641"/>
      <c r="AC178" s="641"/>
      <c r="AD178" s="641"/>
      <c r="AE178" s="641"/>
    </row>
    <row r="179" spans="1:31" s="642" customFormat="1" ht="18" customHeight="1">
      <c r="A179" s="98">
        <v>170</v>
      </c>
      <c r="B179" s="359"/>
      <c r="C179" s="1054"/>
      <c r="D179" s="1179"/>
      <c r="E179" s="1146" t="s">
        <v>674</v>
      </c>
      <c r="F179" s="1055"/>
      <c r="G179" s="1055"/>
      <c r="H179" s="1055"/>
      <c r="I179" s="637"/>
      <c r="J179" s="1197">
        <f>SUM(K179:R179)</f>
        <v>171897</v>
      </c>
      <c r="K179" s="273">
        <f aca="true" t="shared" si="12" ref="K179:R179">K174+K169+K79+K50</f>
        <v>58479</v>
      </c>
      <c r="L179" s="273">
        <f t="shared" si="12"/>
        <v>1540</v>
      </c>
      <c r="M179" s="273">
        <f t="shared" si="12"/>
        <v>76054</v>
      </c>
      <c r="N179" s="273">
        <f t="shared" si="12"/>
        <v>2349</v>
      </c>
      <c r="O179" s="273">
        <f t="shared" si="12"/>
        <v>1200</v>
      </c>
      <c r="P179" s="273">
        <f t="shared" si="12"/>
        <v>29985</v>
      </c>
      <c r="Q179" s="273">
        <f t="shared" si="12"/>
        <v>0</v>
      </c>
      <c r="R179" s="274">
        <f t="shared" si="12"/>
        <v>2290</v>
      </c>
      <c r="S179" s="641"/>
      <c r="T179" s="641"/>
      <c r="U179" s="641"/>
      <c r="V179" s="641"/>
      <c r="W179" s="641"/>
      <c r="X179" s="641"/>
      <c r="Y179" s="641"/>
      <c r="Z179" s="641"/>
      <c r="AA179" s="641"/>
      <c r="AB179" s="641"/>
      <c r="AC179" s="641"/>
      <c r="AD179" s="641"/>
      <c r="AE179" s="641"/>
    </row>
    <row r="180" spans="1:31" s="642" customFormat="1" ht="18" customHeight="1" thickBot="1">
      <c r="A180" s="98">
        <v>171</v>
      </c>
      <c r="B180" s="1186"/>
      <c r="C180" s="1187"/>
      <c r="D180" s="1181"/>
      <c r="E180" s="483" t="s">
        <v>1091</v>
      </c>
      <c r="F180" s="1161"/>
      <c r="G180" s="1161"/>
      <c r="H180" s="1161"/>
      <c r="I180" s="1182"/>
      <c r="J180" s="269">
        <f>SUM(K180:R180)</f>
        <v>7754235</v>
      </c>
      <c r="K180" s="1211">
        <f>SUM(K178:K179)</f>
        <v>4073064</v>
      </c>
      <c r="L180" s="1211">
        <f aca="true" t="shared" si="13" ref="L180:R180">SUM(L178:L179)</f>
        <v>668409</v>
      </c>
      <c r="M180" s="1211">
        <f t="shared" si="13"/>
        <v>2672808</v>
      </c>
      <c r="N180" s="1211">
        <f t="shared" si="13"/>
        <v>2349</v>
      </c>
      <c r="O180" s="1211">
        <f t="shared" si="13"/>
        <v>1463</v>
      </c>
      <c r="P180" s="1211">
        <f t="shared" si="13"/>
        <v>333852</v>
      </c>
      <c r="Q180" s="1211">
        <f t="shared" si="13"/>
        <v>0</v>
      </c>
      <c r="R180" s="1229">
        <f t="shared" si="13"/>
        <v>2290</v>
      </c>
      <c r="S180" s="641"/>
      <c r="T180" s="641"/>
      <c r="U180" s="641"/>
      <c r="V180" s="641"/>
      <c r="W180" s="641"/>
      <c r="X180" s="641"/>
      <c r="Y180" s="641"/>
      <c r="Z180" s="641"/>
      <c r="AA180" s="641"/>
      <c r="AB180" s="641"/>
      <c r="AC180" s="641"/>
      <c r="AD180" s="641"/>
      <c r="AE180" s="641"/>
    </row>
    <row r="181" spans="1:31" s="31" customFormat="1" ht="22.5" customHeight="1">
      <c r="A181" s="98">
        <v>172</v>
      </c>
      <c r="B181" s="219">
        <v>17</v>
      </c>
      <c r="C181" s="494"/>
      <c r="D181" s="2114" t="s">
        <v>25</v>
      </c>
      <c r="E181" s="2115"/>
      <c r="F181" s="220" t="s">
        <v>22</v>
      </c>
      <c r="G181" s="278"/>
      <c r="H181" s="278"/>
      <c r="I181" s="358"/>
      <c r="J181" s="284"/>
      <c r="K181" s="278"/>
      <c r="L181" s="278"/>
      <c r="M181" s="278"/>
      <c r="N181" s="278"/>
      <c r="O181" s="278"/>
      <c r="P181" s="278"/>
      <c r="Q181" s="278"/>
      <c r="R181" s="279"/>
      <c r="S181" s="197"/>
      <c r="T181" s="197"/>
      <c r="U181" s="197"/>
      <c r="V181" s="197"/>
      <c r="W181" s="197"/>
      <c r="X181" s="197"/>
      <c r="Y181" s="197"/>
      <c r="Z181" s="197"/>
      <c r="AA181" s="197"/>
      <c r="AB181" s="197"/>
      <c r="AC181" s="197"/>
      <c r="AD181" s="197"/>
      <c r="AE181" s="197"/>
    </row>
    <row r="182" spans="1:31" s="112" customFormat="1" ht="19.5" customHeight="1">
      <c r="A182" s="98">
        <v>173</v>
      </c>
      <c r="B182" s="223"/>
      <c r="C182" s="224">
        <v>1</v>
      </c>
      <c r="D182" s="2061" t="s">
        <v>150</v>
      </c>
      <c r="E182" s="2062"/>
      <c r="F182" s="350"/>
      <c r="G182" s="94">
        <v>1287824</v>
      </c>
      <c r="H182" s="94">
        <f>1326424-205560-2261</f>
        <v>1118603</v>
      </c>
      <c r="I182" s="266">
        <f>1261583-2181-9817-26713</f>
        <v>1222872</v>
      </c>
      <c r="J182" s="277"/>
      <c r="K182" s="94"/>
      <c r="L182" s="94"/>
      <c r="M182" s="94"/>
      <c r="N182" s="94"/>
      <c r="O182" s="94"/>
      <c r="P182" s="94"/>
      <c r="Q182" s="94"/>
      <c r="R182" s="102"/>
      <c r="S182" s="199"/>
      <c r="T182" s="114"/>
      <c r="U182" s="114"/>
      <c r="V182" s="114"/>
      <c r="W182" s="114"/>
      <c r="X182" s="114"/>
      <c r="Y182" s="114"/>
      <c r="Z182" s="114"/>
      <c r="AA182" s="114"/>
      <c r="AB182" s="114"/>
      <c r="AC182" s="114"/>
      <c r="AD182" s="114"/>
      <c r="AE182" s="114"/>
    </row>
    <row r="183" spans="1:31" s="601" customFormat="1" ht="18" customHeight="1">
      <c r="A183" s="98">
        <v>174</v>
      </c>
      <c r="B183" s="359"/>
      <c r="C183" s="1061"/>
      <c r="D183" s="1054"/>
      <c r="E183" s="1070" t="s">
        <v>283</v>
      </c>
      <c r="F183" s="1062"/>
      <c r="G183" s="1055"/>
      <c r="H183" s="1055"/>
      <c r="I183" s="637"/>
      <c r="J183" s="638">
        <f>SUM(K183:R183)</f>
        <v>1380645</v>
      </c>
      <c r="K183" s="639">
        <v>1158703</v>
      </c>
      <c r="L183" s="639">
        <v>191446</v>
      </c>
      <c r="M183" s="639">
        <v>30496</v>
      </c>
      <c r="N183" s="639"/>
      <c r="O183" s="639"/>
      <c r="P183" s="639"/>
      <c r="Q183" s="639"/>
      <c r="R183" s="640"/>
      <c r="S183" s="650"/>
      <c r="T183" s="650"/>
      <c r="U183" s="650"/>
      <c r="V183" s="650"/>
      <c r="W183" s="650"/>
      <c r="X183" s="650"/>
      <c r="Y183" s="650"/>
      <c r="Z183" s="650"/>
      <c r="AA183" s="650"/>
      <c r="AB183" s="650"/>
      <c r="AC183" s="650"/>
      <c r="AD183" s="650"/>
      <c r="AE183" s="650"/>
    </row>
    <row r="184" spans="1:31" s="601" customFormat="1" ht="18" customHeight="1">
      <c r="A184" s="98">
        <v>175</v>
      </c>
      <c r="B184" s="359"/>
      <c r="C184" s="1061"/>
      <c r="D184" s="1179"/>
      <c r="E184" s="483" t="s">
        <v>938</v>
      </c>
      <c r="F184" s="1062"/>
      <c r="G184" s="1055"/>
      <c r="H184" s="1055"/>
      <c r="I184" s="637"/>
      <c r="J184" s="269">
        <f>SUM(K184:R184)</f>
        <v>1563484</v>
      </c>
      <c r="K184" s="1200">
        <v>1266101</v>
      </c>
      <c r="L184" s="1200">
        <v>227412</v>
      </c>
      <c r="M184" s="1200">
        <v>69471</v>
      </c>
      <c r="N184" s="639"/>
      <c r="O184" s="639"/>
      <c r="P184" s="1200">
        <v>500</v>
      </c>
      <c r="Q184" s="639"/>
      <c r="R184" s="640"/>
      <c r="S184" s="650"/>
      <c r="T184" s="650"/>
      <c r="U184" s="650"/>
      <c r="V184" s="650"/>
      <c r="W184" s="650"/>
      <c r="X184" s="650"/>
      <c r="Y184" s="650"/>
      <c r="Z184" s="650"/>
      <c r="AA184" s="650"/>
      <c r="AB184" s="650"/>
      <c r="AC184" s="650"/>
      <c r="AD184" s="650"/>
      <c r="AE184" s="650"/>
    </row>
    <row r="185" spans="1:31" s="601" customFormat="1" ht="18" customHeight="1">
      <c r="A185" s="98">
        <v>176</v>
      </c>
      <c r="B185" s="359"/>
      <c r="C185" s="1061"/>
      <c r="D185" s="1179"/>
      <c r="E185" s="1146" t="s">
        <v>725</v>
      </c>
      <c r="F185" s="1062"/>
      <c r="G185" s="1055"/>
      <c r="H185" s="1055"/>
      <c r="I185" s="637"/>
      <c r="J185" s="1197">
        <f>SUM(K185:R185)</f>
        <v>0</v>
      </c>
      <c r="K185" s="273"/>
      <c r="L185" s="273"/>
      <c r="M185" s="273"/>
      <c r="N185" s="639"/>
      <c r="O185" s="639"/>
      <c r="P185" s="273"/>
      <c r="Q185" s="639"/>
      <c r="R185" s="640"/>
      <c r="S185" s="650"/>
      <c r="T185" s="650"/>
      <c r="U185" s="650"/>
      <c r="V185" s="650"/>
      <c r="W185" s="650"/>
      <c r="X185" s="650"/>
      <c r="Y185" s="650"/>
      <c r="Z185" s="650"/>
      <c r="AA185" s="650"/>
      <c r="AB185" s="650"/>
      <c r="AC185" s="650"/>
      <c r="AD185" s="650"/>
      <c r="AE185" s="650"/>
    </row>
    <row r="186" spans="1:31" s="601" customFormat="1" ht="18" customHeight="1">
      <c r="A186" s="98">
        <v>177</v>
      </c>
      <c r="B186" s="359"/>
      <c r="C186" s="1061"/>
      <c r="D186" s="1179"/>
      <c r="E186" s="483" t="s">
        <v>1091</v>
      </c>
      <c r="F186" s="1062"/>
      <c r="G186" s="1055"/>
      <c r="H186" s="1055"/>
      <c r="I186" s="637"/>
      <c r="J186" s="269">
        <f>SUM(K186:R186)</f>
        <v>1563484</v>
      </c>
      <c r="K186" s="1200">
        <f>SUM(K184:K185)</f>
        <v>1266101</v>
      </c>
      <c r="L186" s="1200">
        <f>SUM(L184:L185)</f>
        <v>227412</v>
      </c>
      <c r="M186" s="1200">
        <f>SUM(M184:M185)</f>
        <v>69471</v>
      </c>
      <c r="N186" s="1200"/>
      <c r="O186" s="1200"/>
      <c r="P186" s="1200">
        <f>SUM(P184:P185)</f>
        <v>500</v>
      </c>
      <c r="Q186" s="639"/>
      <c r="R186" s="640"/>
      <c r="S186" s="650"/>
      <c r="T186" s="650"/>
      <c r="U186" s="650"/>
      <c r="V186" s="650"/>
      <c r="W186" s="650"/>
      <c r="X186" s="650"/>
      <c r="Y186" s="650"/>
      <c r="Z186" s="650"/>
      <c r="AA186" s="650"/>
      <c r="AB186" s="650"/>
      <c r="AC186" s="650"/>
      <c r="AD186" s="650"/>
      <c r="AE186" s="650"/>
    </row>
    <row r="187" spans="1:31" s="32" customFormat="1" ht="19.5" customHeight="1">
      <c r="A187" s="98">
        <v>178</v>
      </c>
      <c r="B187" s="223"/>
      <c r="C187" s="224">
        <v>2</v>
      </c>
      <c r="D187" s="2061" t="s">
        <v>151</v>
      </c>
      <c r="E187" s="2062"/>
      <c r="F187" s="350"/>
      <c r="G187" s="94">
        <v>129126</v>
      </c>
      <c r="H187" s="94">
        <v>185553</v>
      </c>
      <c r="I187" s="266">
        <v>135967</v>
      </c>
      <c r="J187" s="277"/>
      <c r="K187" s="94"/>
      <c r="L187" s="94"/>
      <c r="M187" s="94"/>
      <c r="N187" s="94"/>
      <c r="O187" s="94"/>
      <c r="P187" s="94"/>
      <c r="Q187" s="94"/>
      <c r="R187" s="102"/>
      <c r="S187" s="201"/>
      <c r="T187" s="201"/>
      <c r="U187" s="201"/>
      <c r="V187" s="201"/>
      <c r="W187" s="201"/>
      <c r="X187" s="201"/>
      <c r="Y187" s="201"/>
      <c r="Z187" s="201"/>
      <c r="AA187" s="201"/>
      <c r="AB187" s="201"/>
      <c r="AC187" s="201"/>
      <c r="AD187" s="201"/>
      <c r="AE187" s="201"/>
    </row>
    <row r="188" spans="1:31" s="601" customFormat="1" ht="18" customHeight="1">
      <c r="A188" s="98">
        <v>179</v>
      </c>
      <c r="B188" s="359"/>
      <c r="C188" s="1061"/>
      <c r="D188" s="1054"/>
      <c r="E188" s="1070" t="s">
        <v>283</v>
      </c>
      <c r="F188" s="1062"/>
      <c r="G188" s="1055"/>
      <c r="H188" s="1055"/>
      <c r="I188" s="637"/>
      <c r="J188" s="638">
        <f>SUM(K188:R188)</f>
        <v>204402</v>
      </c>
      <c r="K188" s="639">
        <v>3200</v>
      </c>
      <c r="L188" s="639">
        <v>1471</v>
      </c>
      <c r="M188" s="639">
        <v>185920</v>
      </c>
      <c r="N188" s="639"/>
      <c r="O188" s="639"/>
      <c r="P188" s="639">
        <v>13811</v>
      </c>
      <c r="Q188" s="639"/>
      <c r="R188" s="640"/>
      <c r="S188" s="650"/>
      <c r="T188" s="650"/>
      <c r="U188" s="650"/>
      <c r="V188" s="650"/>
      <c r="W188" s="650"/>
      <c r="X188" s="650"/>
      <c r="Y188" s="650"/>
      <c r="Z188" s="650"/>
      <c r="AA188" s="650"/>
      <c r="AB188" s="650"/>
      <c r="AC188" s="650"/>
      <c r="AD188" s="650"/>
      <c r="AE188" s="650"/>
    </row>
    <row r="189" spans="1:31" s="601" customFormat="1" ht="18" customHeight="1">
      <c r="A189" s="98">
        <v>180</v>
      </c>
      <c r="B189" s="359"/>
      <c r="C189" s="1061"/>
      <c r="D189" s="1179"/>
      <c r="E189" s="483" t="s">
        <v>938</v>
      </c>
      <c r="F189" s="1062"/>
      <c r="G189" s="1055"/>
      <c r="H189" s="1055"/>
      <c r="I189" s="637"/>
      <c r="J189" s="269">
        <f>SUM(K189:R189)</f>
        <v>353069</v>
      </c>
      <c r="K189" s="1200">
        <v>3290</v>
      </c>
      <c r="L189" s="1200">
        <v>2009</v>
      </c>
      <c r="M189" s="1200">
        <v>327698</v>
      </c>
      <c r="N189" s="1200"/>
      <c r="O189" s="1200"/>
      <c r="P189" s="1200">
        <v>20072</v>
      </c>
      <c r="Q189" s="639"/>
      <c r="R189" s="640"/>
      <c r="S189" s="650"/>
      <c r="T189" s="650"/>
      <c r="U189" s="650"/>
      <c r="V189" s="650"/>
      <c r="W189" s="650"/>
      <c r="X189" s="650"/>
      <c r="Y189" s="650"/>
      <c r="Z189" s="650"/>
      <c r="AA189" s="650"/>
      <c r="AB189" s="650"/>
      <c r="AC189" s="650"/>
      <c r="AD189" s="650"/>
      <c r="AE189" s="650"/>
    </row>
    <row r="190" spans="1:31" s="601" customFormat="1" ht="18" customHeight="1">
      <c r="A190" s="98">
        <v>181</v>
      </c>
      <c r="B190" s="359"/>
      <c r="C190" s="1061"/>
      <c r="D190" s="1179"/>
      <c r="E190" s="1146" t="s">
        <v>725</v>
      </c>
      <c r="F190" s="1062"/>
      <c r="G190" s="1055"/>
      <c r="H190" s="1055"/>
      <c r="I190" s="637"/>
      <c r="J190" s="1197">
        <f>SUM(K190:R190)</f>
        <v>0</v>
      </c>
      <c r="K190" s="273"/>
      <c r="L190" s="273"/>
      <c r="M190" s="273"/>
      <c r="N190" s="273"/>
      <c r="O190" s="273"/>
      <c r="P190" s="273"/>
      <c r="Q190" s="639"/>
      <c r="R190" s="640"/>
      <c r="S190" s="650"/>
      <c r="T190" s="650"/>
      <c r="U190" s="650"/>
      <c r="V190" s="650"/>
      <c r="W190" s="650"/>
      <c r="X190" s="650"/>
      <c r="Y190" s="650"/>
      <c r="Z190" s="650"/>
      <c r="AA190" s="650"/>
      <c r="AB190" s="650"/>
      <c r="AC190" s="650"/>
      <c r="AD190" s="650"/>
      <c r="AE190" s="650"/>
    </row>
    <row r="191" spans="1:31" s="601" customFormat="1" ht="18" customHeight="1">
      <c r="A191" s="98">
        <v>182</v>
      </c>
      <c r="B191" s="359"/>
      <c r="C191" s="1061"/>
      <c r="D191" s="1179"/>
      <c r="E191" s="483" t="s">
        <v>1091</v>
      </c>
      <c r="F191" s="1062"/>
      <c r="G191" s="1055"/>
      <c r="H191" s="1055"/>
      <c r="I191" s="637"/>
      <c r="J191" s="269">
        <f>SUM(K191:R191)</f>
        <v>353069</v>
      </c>
      <c r="K191" s="1200">
        <f>SUM(K189:K190)</f>
        <v>3290</v>
      </c>
      <c r="L191" s="1200">
        <f>SUM(L189:L190)</f>
        <v>2009</v>
      </c>
      <c r="M191" s="1200">
        <f>SUM(M189:M190)</f>
        <v>327698</v>
      </c>
      <c r="N191" s="1200"/>
      <c r="O191" s="1200"/>
      <c r="P191" s="1200">
        <f>SUM(P189:P190)</f>
        <v>20072</v>
      </c>
      <c r="Q191" s="639"/>
      <c r="R191" s="640"/>
      <c r="S191" s="650"/>
      <c r="T191" s="650"/>
      <c r="U191" s="650"/>
      <c r="V191" s="650"/>
      <c r="W191" s="650"/>
      <c r="X191" s="650"/>
      <c r="Y191" s="650"/>
      <c r="Z191" s="650"/>
      <c r="AA191" s="650"/>
      <c r="AB191" s="650"/>
      <c r="AC191" s="650"/>
      <c r="AD191" s="650"/>
      <c r="AE191" s="650"/>
    </row>
    <row r="192" spans="1:31" s="32" customFormat="1" ht="19.5" customHeight="1">
      <c r="A192" s="98">
        <v>183</v>
      </c>
      <c r="B192" s="223"/>
      <c r="C192" s="224">
        <v>3</v>
      </c>
      <c r="D192" s="2061" t="s">
        <v>32</v>
      </c>
      <c r="E192" s="2062"/>
      <c r="F192" s="350"/>
      <c r="G192" s="94">
        <v>96889</v>
      </c>
      <c r="H192" s="94">
        <v>91571</v>
      </c>
      <c r="I192" s="266">
        <v>85976</v>
      </c>
      <c r="J192" s="277"/>
      <c r="K192" s="94"/>
      <c r="L192" s="94"/>
      <c r="M192" s="94"/>
      <c r="N192" s="94"/>
      <c r="O192" s="94"/>
      <c r="P192" s="94"/>
      <c r="Q192" s="94"/>
      <c r="R192" s="102"/>
      <c r="S192" s="201"/>
      <c r="T192" s="201"/>
      <c r="U192" s="201"/>
      <c r="V192" s="201"/>
      <c r="W192" s="201"/>
      <c r="X192" s="201"/>
      <c r="Y192" s="201"/>
      <c r="Z192" s="201"/>
      <c r="AA192" s="201"/>
      <c r="AB192" s="201"/>
      <c r="AC192" s="201"/>
      <c r="AD192" s="201"/>
      <c r="AE192" s="201"/>
    </row>
    <row r="193" spans="1:31" s="601" customFormat="1" ht="18" customHeight="1">
      <c r="A193" s="98">
        <v>184</v>
      </c>
      <c r="B193" s="359"/>
      <c r="C193" s="1061"/>
      <c r="D193" s="1054"/>
      <c r="E193" s="1070" t="s">
        <v>283</v>
      </c>
      <c r="F193" s="1062"/>
      <c r="G193" s="1055"/>
      <c r="H193" s="1055"/>
      <c r="I193" s="637"/>
      <c r="J193" s="638">
        <f>SUM(K193:R193)</f>
        <v>101862</v>
      </c>
      <c r="K193" s="639"/>
      <c r="L193" s="639"/>
      <c r="M193" s="639">
        <v>81762</v>
      </c>
      <c r="N193" s="639"/>
      <c r="O193" s="639"/>
      <c r="P193" s="639">
        <v>20100</v>
      </c>
      <c r="Q193" s="639"/>
      <c r="R193" s="640"/>
      <c r="S193" s="650"/>
      <c r="T193" s="650"/>
      <c r="U193" s="650"/>
      <c r="V193" s="650"/>
      <c r="W193" s="650"/>
      <c r="X193" s="650"/>
      <c r="Y193" s="650"/>
      <c r="Z193" s="650"/>
      <c r="AA193" s="650"/>
      <c r="AB193" s="650"/>
      <c r="AC193" s="650"/>
      <c r="AD193" s="650"/>
      <c r="AE193" s="650"/>
    </row>
    <row r="194" spans="1:31" s="601" customFormat="1" ht="18" customHeight="1">
      <c r="A194" s="98">
        <v>185</v>
      </c>
      <c r="B194" s="359"/>
      <c r="C194" s="1061"/>
      <c r="D194" s="1179"/>
      <c r="E194" s="483" t="s">
        <v>938</v>
      </c>
      <c r="F194" s="1062"/>
      <c r="G194" s="1055"/>
      <c r="H194" s="1055"/>
      <c r="I194" s="637"/>
      <c r="J194" s="269">
        <f>SUM(K194:R194)</f>
        <v>133682</v>
      </c>
      <c r="K194" s="1200"/>
      <c r="L194" s="1200"/>
      <c r="M194" s="1200">
        <v>104357</v>
      </c>
      <c r="N194" s="1200"/>
      <c r="O194" s="1200"/>
      <c r="P194" s="1200">
        <v>29325</v>
      </c>
      <c r="Q194" s="639"/>
      <c r="R194" s="640"/>
      <c r="S194" s="650"/>
      <c r="T194" s="650"/>
      <c r="U194" s="650"/>
      <c r="V194" s="650"/>
      <c r="W194" s="650"/>
      <c r="X194" s="650"/>
      <c r="Y194" s="650"/>
      <c r="Z194" s="650"/>
      <c r="AA194" s="650"/>
      <c r="AB194" s="650"/>
      <c r="AC194" s="650"/>
      <c r="AD194" s="650"/>
      <c r="AE194" s="650"/>
    </row>
    <row r="195" spans="1:31" s="601" customFormat="1" ht="18" customHeight="1">
      <c r="A195" s="98">
        <v>186</v>
      </c>
      <c r="B195" s="359"/>
      <c r="C195" s="1061"/>
      <c r="D195" s="1179"/>
      <c r="E195" s="1146" t="s">
        <v>725</v>
      </c>
      <c r="F195" s="1062"/>
      <c r="G195" s="1055"/>
      <c r="H195" s="1055"/>
      <c r="I195" s="637"/>
      <c r="J195" s="1197">
        <f>SUM(K195:R195)</f>
        <v>0</v>
      </c>
      <c r="K195" s="639"/>
      <c r="L195" s="639"/>
      <c r="M195" s="273"/>
      <c r="N195" s="273"/>
      <c r="O195" s="273"/>
      <c r="P195" s="273"/>
      <c r="Q195" s="639"/>
      <c r="R195" s="640"/>
      <c r="S195" s="650"/>
      <c r="T195" s="650"/>
      <c r="U195" s="650"/>
      <c r="V195" s="650"/>
      <c r="W195" s="650"/>
      <c r="X195" s="650"/>
      <c r="Y195" s="650"/>
      <c r="Z195" s="650"/>
      <c r="AA195" s="650"/>
      <c r="AB195" s="650"/>
      <c r="AC195" s="650"/>
      <c r="AD195" s="650"/>
      <c r="AE195" s="650"/>
    </row>
    <row r="196" spans="1:31" s="601" customFormat="1" ht="18" customHeight="1">
      <c r="A196" s="98">
        <v>187</v>
      </c>
      <c r="B196" s="359"/>
      <c r="C196" s="1061"/>
      <c r="D196" s="1179"/>
      <c r="E196" s="483" t="s">
        <v>1091</v>
      </c>
      <c r="F196" s="1062"/>
      <c r="G196" s="1055"/>
      <c r="H196" s="1055"/>
      <c r="I196" s="637"/>
      <c r="J196" s="269">
        <f>SUM(K196:R196)</f>
        <v>133682</v>
      </c>
      <c r="K196" s="639"/>
      <c r="L196" s="639"/>
      <c r="M196" s="1200">
        <f>SUM(M194:M195)</f>
        <v>104357</v>
      </c>
      <c r="N196" s="1200"/>
      <c r="O196" s="1200"/>
      <c r="P196" s="1200">
        <f>SUM(P194:P195)</f>
        <v>29325</v>
      </c>
      <c r="Q196" s="639"/>
      <c r="R196" s="640"/>
      <c r="S196" s="650"/>
      <c r="T196" s="650"/>
      <c r="U196" s="650"/>
      <c r="V196" s="650"/>
      <c r="W196" s="650"/>
      <c r="X196" s="650"/>
      <c r="Y196" s="650"/>
      <c r="Z196" s="650"/>
      <c r="AA196" s="650"/>
      <c r="AB196" s="650"/>
      <c r="AC196" s="650"/>
      <c r="AD196" s="650"/>
      <c r="AE196" s="650"/>
    </row>
    <row r="197" spans="1:31" s="32" customFormat="1" ht="19.5" customHeight="1">
      <c r="A197" s="98">
        <v>188</v>
      </c>
      <c r="B197" s="223"/>
      <c r="C197" s="224">
        <v>4</v>
      </c>
      <c r="D197" s="2061" t="s">
        <v>657</v>
      </c>
      <c r="E197" s="2062"/>
      <c r="F197" s="350"/>
      <c r="G197" s="94">
        <v>2385</v>
      </c>
      <c r="H197" s="94">
        <v>7800</v>
      </c>
      <c r="I197" s="266">
        <v>71</v>
      </c>
      <c r="J197" s="277"/>
      <c r="K197" s="94"/>
      <c r="L197" s="94"/>
      <c r="M197" s="94"/>
      <c r="N197" s="94"/>
      <c r="O197" s="94"/>
      <c r="P197" s="94"/>
      <c r="Q197" s="94"/>
      <c r="R197" s="102"/>
      <c r="S197" s="201"/>
      <c r="T197" s="201"/>
      <c r="U197" s="201"/>
      <c r="V197" s="201"/>
      <c r="W197" s="201"/>
      <c r="X197" s="201"/>
      <c r="Y197" s="201"/>
      <c r="Z197" s="201"/>
      <c r="AA197" s="201"/>
      <c r="AB197" s="201"/>
      <c r="AC197" s="201"/>
      <c r="AD197" s="201"/>
      <c r="AE197" s="201"/>
    </row>
    <row r="198" spans="1:31" s="601" customFormat="1" ht="18" customHeight="1">
      <c r="A198" s="98">
        <v>189</v>
      </c>
      <c r="B198" s="359"/>
      <c r="C198" s="1061"/>
      <c r="D198" s="1054"/>
      <c r="E198" s="1070" t="s">
        <v>283</v>
      </c>
      <c r="F198" s="1062"/>
      <c r="G198" s="1055"/>
      <c r="H198" s="1055"/>
      <c r="I198" s="637"/>
      <c r="J198" s="638">
        <f>SUM(K198:R198)</f>
        <v>7631</v>
      </c>
      <c r="K198" s="639"/>
      <c r="L198" s="639"/>
      <c r="M198" s="639">
        <v>7631</v>
      </c>
      <c r="N198" s="639"/>
      <c r="O198" s="639"/>
      <c r="P198" s="639"/>
      <c r="Q198" s="639"/>
      <c r="R198" s="640"/>
      <c r="S198" s="650"/>
      <c r="T198" s="650"/>
      <c r="U198" s="650"/>
      <c r="V198" s="650"/>
      <c r="W198" s="650"/>
      <c r="X198" s="650"/>
      <c r="Y198" s="650"/>
      <c r="Z198" s="650"/>
      <c r="AA198" s="650"/>
      <c r="AB198" s="650"/>
      <c r="AC198" s="650"/>
      <c r="AD198" s="650"/>
      <c r="AE198" s="650"/>
    </row>
    <row r="199" spans="1:31" s="601" customFormat="1" ht="18" customHeight="1">
      <c r="A199" s="98">
        <v>190</v>
      </c>
      <c r="B199" s="359"/>
      <c r="C199" s="1061"/>
      <c r="D199" s="1179"/>
      <c r="E199" s="483" t="s">
        <v>938</v>
      </c>
      <c r="F199" s="1062"/>
      <c r="G199" s="1055"/>
      <c r="H199" s="1055"/>
      <c r="I199" s="637"/>
      <c r="J199" s="269">
        <f>SUM(K199:R199)</f>
        <v>21532</v>
      </c>
      <c r="K199" s="1200"/>
      <c r="L199" s="1200"/>
      <c r="M199" s="1200">
        <v>21532</v>
      </c>
      <c r="N199" s="639"/>
      <c r="O199" s="639"/>
      <c r="P199" s="639"/>
      <c r="Q199" s="639"/>
      <c r="R199" s="640"/>
      <c r="S199" s="650"/>
      <c r="T199" s="650"/>
      <c r="U199" s="650"/>
      <c r="V199" s="650"/>
      <c r="W199" s="650"/>
      <c r="X199" s="650"/>
      <c r="Y199" s="650"/>
      <c r="Z199" s="650"/>
      <c r="AA199" s="650"/>
      <c r="AB199" s="650"/>
      <c r="AC199" s="650"/>
      <c r="AD199" s="650"/>
      <c r="AE199" s="650"/>
    </row>
    <row r="200" spans="1:31" s="601" customFormat="1" ht="18" customHeight="1">
      <c r="A200" s="98">
        <v>191</v>
      </c>
      <c r="B200" s="359"/>
      <c r="C200" s="1061"/>
      <c r="D200" s="1179"/>
      <c r="E200" s="1146" t="s">
        <v>725</v>
      </c>
      <c r="F200" s="1062"/>
      <c r="G200" s="1055"/>
      <c r="H200" s="1055"/>
      <c r="I200" s="637"/>
      <c r="J200" s="1197">
        <f>SUM(K200:R200)</f>
        <v>0</v>
      </c>
      <c r="K200" s="639"/>
      <c r="L200" s="639"/>
      <c r="M200" s="273"/>
      <c r="N200" s="639"/>
      <c r="O200" s="639"/>
      <c r="P200" s="639"/>
      <c r="Q200" s="639"/>
      <c r="R200" s="640"/>
      <c r="S200" s="650"/>
      <c r="T200" s="650"/>
      <c r="U200" s="650"/>
      <c r="V200" s="650"/>
      <c r="W200" s="650"/>
      <c r="X200" s="650"/>
      <c r="Y200" s="650"/>
      <c r="Z200" s="650"/>
      <c r="AA200" s="650"/>
      <c r="AB200" s="650"/>
      <c r="AC200" s="650"/>
      <c r="AD200" s="650"/>
      <c r="AE200" s="650"/>
    </row>
    <row r="201" spans="1:31" s="601" customFormat="1" ht="18" customHeight="1">
      <c r="A201" s="98">
        <v>192</v>
      </c>
      <c r="B201" s="359"/>
      <c r="C201" s="1061"/>
      <c r="D201" s="1179"/>
      <c r="E201" s="483" t="s">
        <v>1091</v>
      </c>
      <c r="F201" s="1062"/>
      <c r="G201" s="1055"/>
      <c r="H201" s="1055"/>
      <c r="I201" s="637"/>
      <c r="J201" s="269">
        <f>SUM(K201:R201)</f>
        <v>21532</v>
      </c>
      <c r="K201" s="639"/>
      <c r="L201" s="639"/>
      <c r="M201" s="1200">
        <f>SUM(M199:M200)</f>
        <v>21532</v>
      </c>
      <c r="N201" s="639"/>
      <c r="O201" s="639"/>
      <c r="P201" s="639"/>
      <c r="Q201" s="639"/>
      <c r="R201" s="640"/>
      <c r="S201" s="650"/>
      <c r="T201" s="650"/>
      <c r="U201" s="650"/>
      <c r="V201" s="650"/>
      <c r="W201" s="650"/>
      <c r="X201" s="650"/>
      <c r="Y201" s="650"/>
      <c r="Z201" s="650"/>
      <c r="AA201" s="650"/>
      <c r="AB201" s="650"/>
      <c r="AC201" s="650"/>
      <c r="AD201" s="650"/>
      <c r="AE201" s="650"/>
    </row>
    <row r="202" spans="1:31" s="32" customFormat="1" ht="30" customHeight="1">
      <c r="A202" s="98">
        <v>193</v>
      </c>
      <c r="B202" s="359"/>
      <c r="C202" s="228">
        <v>5</v>
      </c>
      <c r="D202" s="2070" t="s">
        <v>403</v>
      </c>
      <c r="E202" s="2071"/>
      <c r="F202" s="350"/>
      <c r="G202" s="229"/>
      <c r="H202" s="229">
        <v>3250</v>
      </c>
      <c r="I202" s="267">
        <v>0</v>
      </c>
      <c r="J202" s="269"/>
      <c r="K202" s="265"/>
      <c r="L202" s="265"/>
      <c r="M202" s="280"/>
      <c r="N202" s="280"/>
      <c r="O202" s="280"/>
      <c r="P202" s="280"/>
      <c r="Q202" s="280"/>
      <c r="R202" s="281"/>
      <c r="S202" s="201"/>
      <c r="T202" s="201"/>
      <c r="U202" s="201"/>
      <c r="V202" s="201"/>
      <c r="W202" s="201"/>
      <c r="X202" s="201"/>
      <c r="Y202" s="201"/>
      <c r="Z202" s="201"/>
      <c r="AA202" s="201"/>
      <c r="AB202" s="201"/>
      <c r="AC202" s="201"/>
      <c r="AD202" s="201"/>
      <c r="AE202" s="201"/>
    </row>
    <row r="203" spans="1:31" s="642" customFormat="1" ht="18" customHeight="1">
      <c r="A203" s="98">
        <v>194</v>
      </c>
      <c r="B203" s="359"/>
      <c r="C203" s="1061"/>
      <c r="D203" s="1054"/>
      <c r="E203" s="1070" t="s">
        <v>283</v>
      </c>
      <c r="F203" s="1063"/>
      <c r="G203" s="1055"/>
      <c r="H203" s="1055"/>
      <c r="I203" s="637"/>
      <c r="J203" s="638">
        <f>SUM(K203:R203)</f>
        <v>3250</v>
      </c>
      <c r="K203" s="659">
        <v>2720</v>
      </c>
      <c r="L203" s="659">
        <v>530</v>
      </c>
      <c r="M203" s="659"/>
      <c r="N203" s="659"/>
      <c r="O203" s="659"/>
      <c r="P203" s="659"/>
      <c r="Q203" s="659"/>
      <c r="R203" s="660"/>
      <c r="S203" s="641"/>
      <c r="T203" s="641"/>
      <c r="U203" s="641"/>
      <c r="V203" s="641"/>
      <c r="W203" s="641"/>
      <c r="X203" s="641"/>
      <c r="Y203" s="641"/>
      <c r="Z203" s="641"/>
      <c r="AA203" s="641"/>
      <c r="AB203" s="641"/>
      <c r="AC203" s="641"/>
      <c r="AD203" s="641"/>
      <c r="AE203" s="641"/>
    </row>
    <row r="204" spans="1:31" s="642" customFormat="1" ht="18" customHeight="1">
      <c r="A204" s="98">
        <v>195</v>
      </c>
      <c r="B204" s="359"/>
      <c r="C204" s="1061"/>
      <c r="D204" s="1179"/>
      <c r="E204" s="483" t="s">
        <v>938</v>
      </c>
      <c r="F204" s="1188"/>
      <c r="G204" s="1055"/>
      <c r="H204" s="1055"/>
      <c r="I204" s="637"/>
      <c r="J204" s="269">
        <f>SUM(K204:R204)</f>
        <v>3250</v>
      </c>
      <c r="K204" s="280">
        <v>2720</v>
      </c>
      <c r="L204" s="280">
        <v>530</v>
      </c>
      <c r="M204" s="659"/>
      <c r="N204" s="659"/>
      <c r="O204" s="659"/>
      <c r="P204" s="659"/>
      <c r="Q204" s="659"/>
      <c r="R204" s="660"/>
      <c r="S204" s="641"/>
      <c r="T204" s="641"/>
      <c r="U204" s="641"/>
      <c r="V204" s="641"/>
      <c r="W204" s="641"/>
      <c r="X204" s="641"/>
      <c r="Y204" s="641"/>
      <c r="Z204" s="641"/>
      <c r="AA204" s="641"/>
      <c r="AB204" s="641"/>
      <c r="AC204" s="641"/>
      <c r="AD204" s="641"/>
      <c r="AE204" s="641"/>
    </row>
    <row r="205" spans="1:31" s="642" customFormat="1" ht="18" customHeight="1">
      <c r="A205" s="98">
        <v>196</v>
      </c>
      <c r="B205" s="359"/>
      <c r="C205" s="1061"/>
      <c r="D205" s="1179"/>
      <c r="E205" s="1146" t="s">
        <v>674</v>
      </c>
      <c r="F205" s="1188"/>
      <c r="G205" s="1055"/>
      <c r="H205" s="1055"/>
      <c r="I205" s="637"/>
      <c r="J205" s="1197">
        <f>SUM(K205:R205)</f>
        <v>0</v>
      </c>
      <c r="K205" s="659"/>
      <c r="L205" s="659"/>
      <c r="M205" s="659"/>
      <c r="N205" s="659"/>
      <c r="O205" s="659"/>
      <c r="P205" s="659"/>
      <c r="Q205" s="659"/>
      <c r="R205" s="660"/>
      <c r="S205" s="641"/>
      <c r="T205" s="641"/>
      <c r="U205" s="641"/>
      <c r="V205" s="641"/>
      <c r="W205" s="641"/>
      <c r="X205" s="641"/>
      <c r="Y205" s="641"/>
      <c r="Z205" s="641"/>
      <c r="AA205" s="641"/>
      <c r="AB205" s="641"/>
      <c r="AC205" s="641"/>
      <c r="AD205" s="641"/>
      <c r="AE205" s="641"/>
    </row>
    <row r="206" spans="1:31" s="642" customFormat="1" ht="18" customHeight="1">
      <c r="A206" s="98">
        <v>197</v>
      </c>
      <c r="B206" s="359"/>
      <c r="C206" s="1061"/>
      <c r="D206" s="1179"/>
      <c r="E206" s="483" t="s">
        <v>1091</v>
      </c>
      <c r="F206" s="1188"/>
      <c r="G206" s="1055"/>
      <c r="H206" s="1055"/>
      <c r="I206" s="637"/>
      <c r="J206" s="269">
        <f>SUM(K206:R206)</f>
        <v>3250</v>
      </c>
      <c r="K206" s="280">
        <f>SUM(K204:K205)</f>
        <v>2720</v>
      </c>
      <c r="L206" s="280">
        <f>SUM(L204:L205)</f>
        <v>530</v>
      </c>
      <c r="M206" s="659"/>
      <c r="N206" s="659"/>
      <c r="O206" s="659"/>
      <c r="P206" s="659"/>
      <c r="Q206" s="659"/>
      <c r="R206" s="660"/>
      <c r="S206" s="641"/>
      <c r="T206" s="641"/>
      <c r="U206" s="641"/>
      <c r="V206" s="641"/>
      <c r="W206" s="641"/>
      <c r="X206" s="641"/>
      <c r="Y206" s="641"/>
      <c r="Z206" s="641"/>
      <c r="AA206" s="641"/>
      <c r="AB206" s="641"/>
      <c r="AC206" s="641"/>
      <c r="AD206" s="641"/>
      <c r="AE206" s="641"/>
    </row>
    <row r="207" spans="1:31" s="32" customFormat="1" ht="35.25" customHeight="1">
      <c r="A207" s="98">
        <v>198</v>
      </c>
      <c r="B207" s="359"/>
      <c r="C207" s="228">
        <v>6</v>
      </c>
      <c r="D207" s="2147" t="s">
        <v>591</v>
      </c>
      <c r="E207" s="2148"/>
      <c r="F207" s="2149"/>
      <c r="G207" s="229"/>
      <c r="H207" s="229">
        <v>6000</v>
      </c>
      <c r="I207" s="267">
        <v>0</v>
      </c>
      <c r="J207" s="269"/>
      <c r="K207" s="280"/>
      <c r="L207" s="280"/>
      <c r="M207" s="280"/>
      <c r="N207" s="280"/>
      <c r="O207" s="280"/>
      <c r="P207" s="280"/>
      <c r="Q207" s="280"/>
      <c r="R207" s="281"/>
      <c r="S207" s="201"/>
      <c r="T207" s="201"/>
      <c r="U207" s="201"/>
      <c r="V207" s="201"/>
      <c r="W207" s="201"/>
      <c r="X207" s="201"/>
      <c r="Y207" s="201"/>
      <c r="Z207" s="201"/>
      <c r="AA207" s="201"/>
      <c r="AB207" s="201"/>
      <c r="AC207" s="201"/>
      <c r="AD207" s="201"/>
      <c r="AE207" s="201"/>
    </row>
    <row r="208" spans="1:31" s="642" customFormat="1" ht="18" customHeight="1">
      <c r="A208" s="98">
        <v>199</v>
      </c>
      <c r="B208" s="359"/>
      <c r="C208" s="1061"/>
      <c r="D208" s="1054"/>
      <c r="E208" s="1070" t="s">
        <v>283</v>
      </c>
      <c r="F208" s="1063"/>
      <c r="G208" s="1055"/>
      <c r="H208" s="1055"/>
      <c r="I208" s="637"/>
      <c r="J208" s="638">
        <f>SUM(K208:R208)</f>
        <v>6000</v>
      </c>
      <c r="K208" s="659">
        <v>4918</v>
      </c>
      <c r="L208" s="659">
        <v>1082</v>
      </c>
      <c r="M208" s="659"/>
      <c r="N208" s="659"/>
      <c r="O208" s="659"/>
      <c r="P208" s="659"/>
      <c r="Q208" s="659"/>
      <c r="R208" s="660"/>
      <c r="S208" s="641"/>
      <c r="T208" s="641"/>
      <c r="U208" s="641"/>
      <c r="V208" s="641"/>
      <c r="W208" s="641"/>
      <c r="X208" s="641"/>
      <c r="Y208" s="641"/>
      <c r="Z208" s="641"/>
      <c r="AA208" s="641"/>
      <c r="AB208" s="641"/>
      <c r="AC208" s="641"/>
      <c r="AD208" s="641"/>
      <c r="AE208" s="641"/>
    </row>
    <row r="209" spans="1:31" s="642" customFormat="1" ht="18" customHeight="1">
      <c r="A209" s="98">
        <v>200</v>
      </c>
      <c r="B209" s="359"/>
      <c r="C209" s="1061"/>
      <c r="D209" s="1179"/>
      <c r="E209" s="483" t="s">
        <v>938</v>
      </c>
      <c r="F209" s="1063"/>
      <c r="G209" s="1055"/>
      <c r="H209" s="1055"/>
      <c r="I209" s="637"/>
      <c r="J209" s="269">
        <f>SUM(K209:R209)</f>
        <v>6000</v>
      </c>
      <c r="K209" s="280">
        <v>4918</v>
      </c>
      <c r="L209" s="280">
        <v>1082</v>
      </c>
      <c r="M209" s="659"/>
      <c r="N209" s="659"/>
      <c r="O209" s="659"/>
      <c r="P209" s="659"/>
      <c r="Q209" s="659"/>
      <c r="R209" s="660"/>
      <c r="S209" s="641"/>
      <c r="T209" s="641"/>
      <c r="U209" s="641"/>
      <c r="V209" s="641"/>
      <c r="W209" s="641"/>
      <c r="X209" s="641"/>
      <c r="Y209" s="641"/>
      <c r="Z209" s="641"/>
      <c r="AA209" s="641"/>
      <c r="AB209" s="641"/>
      <c r="AC209" s="641"/>
      <c r="AD209" s="641"/>
      <c r="AE209" s="641"/>
    </row>
    <row r="210" spans="1:31" s="642" customFormat="1" ht="18" customHeight="1">
      <c r="A210" s="98">
        <v>201</v>
      </c>
      <c r="B210" s="359"/>
      <c r="C210" s="1061"/>
      <c r="D210" s="1179"/>
      <c r="E210" s="1146" t="s">
        <v>674</v>
      </c>
      <c r="F210" s="1063"/>
      <c r="G210" s="1055"/>
      <c r="H210" s="1055"/>
      <c r="I210" s="637"/>
      <c r="J210" s="1197">
        <f>SUM(K210:R210)</f>
        <v>0</v>
      </c>
      <c r="K210" s="659"/>
      <c r="L210" s="659"/>
      <c r="M210" s="659"/>
      <c r="N210" s="659"/>
      <c r="O210" s="659"/>
      <c r="P210" s="659"/>
      <c r="Q210" s="659"/>
      <c r="R210" s="660"/>
      <c r="S210" s="641"/>
      <c r="T210" s="641"/>
      <c r="U210" s="641"/>
      <c r="V210" s="641"/>
      <c r="W210" s="641"/>
      <c r="X210" s="641"/>
      <c r="Y210" s="641"/>
      <c r="Z210" s="641"/>
      <c r="AA210" s="641"/>
      <c r="AB210" s="641"/>
      <c r="AC210" s="641"/>
      <c r="AD210" s="641"/>
      <c r="AE210" s="641"/>
    </row>
    <row r="211" spans="1:31" s="642" customFormat="1" ht="18" customHeight="1">
      <c r="A211" s="98">
        <v>202</v>
      </c>
      <c r="B211" s="359"/>
      <c r="C211" s="1061"/>
      <c r="D211" s="1179"/>
      <c r="E211" s="483" t="s">
        <v>1091</v>
      </c>
      <c r="F211" s="1063"/>
      <c r="G211" s="1055"/>
      <c r="H211" s="1055"/>
      <c r="I211" s="637"/>
      <c r="J211" s="269">
        <f>SUM(K211:R211)</f>
        <v>6000</v>
      </c>
      <c r="K211" s="280">
        <f>SUM(K209:K210)</f>
        <v>4918</v>
      </c>
      <c r="L211" s="280">
        <f>SUM(L209:L210)</f>
        <v>1082</v>
      </c>
      <c r="M211" s="659"/>
      <c r="N211" s="659"/>
      <c r="O211" s="659"/>
      <c r="P211" s="659"/>
      <c r="Q211" s="659"/>
      <c r="R211" s="660"/>
      <c r="S211" s="641"/>
      <c r="T211" s="641"/>
      <c r="U211" s="641"/>
      <c r="V211" s="641"/>
      <c r="W211" s="641"/>
      <c r="X211" s="641"/>
      <c r="Y211" s="641"/>
      <c r="Z211" s="641"/>
      <c r="AA211" s="641"/>
      <c r="AB211" s="641"/>
      <c r="AC211" s="641"/>
      <c r="AD211" s="641"/>
      <c r="AE211" s="641"/>
    </row>
    <row r="212" spans="1:31" s="22" customFormat="1" ht="30" customHeight="1">
      <c r="A212" s="98">
        <v>203</v>
      </c>
      <c r="B212" s="359"/>
      <c r="C212" s="228">
        <v>7</v>
      </c>
      <c r="D212" s="2145" t="s">
        <v>360</v>
      </c>
      <c r="E212" s="2146"/>
      <c r="F212" s="501"/>
      <c r="G212" s="229"/>
      <c r="H212" s="229">
        <v>5962</v>
      </c>
      <c r="I212" s="267">
        <v>0</v>
      </c>
      <c r="J212" s="269"/>
      <c r="K212" s="280"/>
      <c r="L212" s="280"/>
      <c r="M212" s="280"/>
      <c r="N212" s="280"/>
      <c r="O212" s="280"/>
      <c r="P212" s="280"/>
      <c r="Q212" s="280"/>
      <c r="R212" s="281"/>
      <c r="S212" s="156"/>
      <c r="T212" s="156"/>
      <c r="U212" s="156"/>
      <c r="V212" s="156"/>
      <c r="W212" s="156"/>
      <c r="X212" s="156"/>
      <c r="Y212" s="156"/>
      <c r="Z212" s="156"/>
      <c r="AA212" s="156"/>
      <c r="AB212" s="156"/>
      <c r="AC212" s="156"/>
      <c r="AD212" s="156"/>
      <c r="AE212" s="156"/>
    </row>
    <row r="213" spans="1:31" s="598" customFormat="1" ht="18" customHeight="1">
      <c r="A213" s="98">
        <v>204</v>
      </c>
      <c r="B213" s="359"/>
      <c r="C213" s="1061"/>
      <c r="D213" s="1054"/>
      <c r="E213" s="1070" t="s">
        <v>283</v>
      </c>
      <c r="F213" s="1063"/>
      <c r="G213" s="1055"/>
      <c r="H213" s="1055"/>
      <c r="I213" s="637"/>
      <c r="J213" s="638">
        <f>SUM(K213:R213)</f>
        <v>5962</v>
      </c>
      <c r="K213" s="659">
        <v>4887</v>
      </c>
      <c r="L213" s="659">
        <v>1075</v>
      </c>
      <c r="M213" s="659"/>
      <c r="N213" s="659"/>
      <c r="O213" s="659"/>
      <c r="P213" s="659"/>
      <c r="Q213" s="659"/>
      <c r="R213" s="660"/>
      <c r="S213" s="661"/>
      <c r="T213" s="661"/>
      <c r="U213" s="661"/>
      <c r="V213" s="661"/>
      <c r="W213" s="661"/>
      <c r="X213" s="661"/>
      <c r="Y213" s="661"/>
      <c r="Z213" s="661"/>
      <c r="AA213" s="661"/>
      <c r="AB213" s="661"/>
      <c r="AC213" s="661"/>
      <c r="AD213" s="661"/>
      <c r="AE213" s="661"/>
    </row>
    <row r="214" spans="1:31" s="598" customFormat="1" ht="18" customHeight="1">
      <c r="A214" s="98">
        <v>205</v>
      </c>
      <c r="B214" s="359"/>
      <c r="C214" s="1061"/>
      <c r="D214" s="1179"/>
      <c r="E214" s="483" t="s">
        <v>938</v>
      </c>
      <c r="F214" s="1063"/>
      <c r="G214" s="1055"/>
      <c r="H214" s="1055"/>
      <c r="I214" s="637"/>
      <c r="J214" s="269">
        <f>SUM(K214:R214)</f>
        <v>5962</v>
      </c>
      <c r="K214" s="280">
        <v>4887</v>
      </c>
      <c r="L214" s="280">
        <v>1075</v>
      </c>
      <c r="M214" s="659"/>
      <c r="N214" s="659"/>
      <c r="O214" s="659"/>
      <c r="P214" s="659"/>
      <c r="Q214" s="659"/>
      <c r="R214" s="660"/>
      <c r="S214" s="661"/>
      <c r="T214" s="661"/>
      <c r="U214" s="661"/>
      <c r="V214" s="661"/>
      <c r="W214" s="661"/>
      <c r="X214" s="661"/>
      <c r="Y214" s="661"/>
      <c r="Z214" s="661"/>
      <c r="AA214" s="661"/>
      <c r="AB214" s="661"/>
      <c r="AC214" s="661"/>
      <c r="AD214" s="661"/>
      <c r="AE214" s="661"/>
    </row>
    <row r="215" spans="1:31" s="598" customFormat="1" ht="18" customHeight="1">
      <c r="A215" s="98">
        <v>206</v>
      </c>
      <c r="B215" s="359"/>
      <c r="C215" s="1061"/>
      <c r="D215" s="1179"/>
      <c r="E215" s="1146" t="s">
        <v>674</v>
      </c>
      <c r="F215" s="1063"/>
      <c r="G215" s="1055"/>
      <c r="H215" s="1055"/>
      <c r="I215" s="637"/>
      <c r="J215" s="1197">
        <f>SUM(K215:R215)</f>
        <v>0</v>
      </c>
      <c r="K215" s="659"/>
      <c r="L215" s="659"/>
      <c r="M215" s="659"/>
      <c r="N215" s="659"/>
      <c r="O215" s="659"/>
      <c r="P215" s="659"/>
      <c r="Q215" s="659"/>
      <c r="R215" s="660"/>
      <c r="S215" s="661"/>
      <c r="T215" s="661"/>
      <c r="U215" s="661"/>
      <c r="V215" s="661"/>
      <c r="W215" s="661"/>
      <c r="X215" s="661"/>
      <c r="Y215" s="661"/>
      <c r="Z215" s="661"/>
      <c r="AA215" s="661"/>
      <c r="AB215" s="661"/>
      <c r="AC215" s="661"/>
      <c r="AD215" s="661"/>
      <c r="AE215" s="661"/>
    </row>
    <row r="216" spans="1:31" s="598" customFormat="1" ht="18" customHeight="1">
      <c r="A216" s="98">
        <v>207</v>
      </c>
      <c r="B216" s="359"/>
      <c r="C216" s="1061"/>
      <c r="D216" s="1179"/>
      <c r="E216" s="483" t="s">
        <v>1091</v>
      </c>
      <c r="F216" s="1063"/>
      <c r="G216" s="1055"/>
      <c r="H216" s="1055"/>
      <c r="I216" s="637"/>
      <c r="J216" s="269">
        <f>SUM(K216:R216)</f>
        <v>5962</v>
      </c>
      <c r="K216" s="280">
        <f>SUM(K214:K215)</f>
        <v>4887</v>
      </c>
      <c r="L216" s="280">
        <f>SUM(L214:L215)</f>
        <v>1075</v>
      </c>
      <c r="M216" s="659"/>
      <c r="N216" s="659"/>
      <c r="O216" s="659"/>
      <c r="P216" s="659"/>
      <c r="Q216" s="659"/>
      <c r="R216" s="660"/>
      <c r="S216" s="661"/>
      <c r="T216" s="661"/>
      <c r="U216" s="661"/>
      <c r="V216" s="661"/>
      <c r="W216" s="661"/>
      <c r="X216" s="661"/>
      <c r="Y216" s="661"/>
      <c r="Z216" s="661"/>
      <c r="AA216" s="661"/>
      <c r="AB216" s="661"/>
      <c r="AC216" s="661"/>
      <c r="AD216" s="661"/>
      <c r="AE216" s="661"/>
    </row>
    <row r="217" spans="1:31" s="22" customFormat="1" ht="19.5" customHeight="1">
      <c r="A217" s="98">
        <v>208</v>
      </c>
      <c r="B217" s="359"/>
      <c r="C217" s="224">
        <v>8</v>
      </c>
      <c r="D217" s="2061" t="s">
        <v>382</v>
      </c>
      <c r="E217" s="2111"/>
      <c r="F217" s="2062"/>
      <c r="G217" s="229"/>
      <c r="H217" s="229">
        <v>12000</v>
      </c>
      <c r="I217" s="267">
        <v>0</v>
      </c>
      <c r="J217" s="269"/>
      <c r="K217" s="280"/>
      <c r="L217" s="280"/>
      <c r="M217" s="280"/>
      <c r="N217" s="280"/>
      <c r="O217" s="280"/>
      <c r="P217" s="280"/>
      <c r="Q217" s="280"/>
      <c r="R217" s="281"/>
      <c r="S217" s="156"/>
      <c r="T217" s="156"/>
      <c r="U217" s="156"/>
      <c r="V217" s="156"/>
      <c r="W217" s="156"/>
      <c r="X217" s="156"/>
      <c r="Y217" s="156"/>
      <c r="Z217" s="156"/>
      <c r="AA217" s="156"/>
      <c r="AB217" s="156"/>
      <c r="AC217" s="156"/>
      <c r="AD217" s="156"/>
      <c r="AE217" s="156"/>
    </row>
    <row r="218" spans="1:31" s="598" customFormat="1" ht="18" customHeight="1">
      <c r="A218" s="98">
        <v>209</v>
      </c>
      <c r="B218" s="359"/>
      <c r="C218" s="1061"/>
      <c r="D218" s="1054"/>
      <c r="E218" s="1070" t="s">
        <v>283</v>
      </c>
      <c r="F218" s="1063"/>
      <c r="G218" s="1055"/>
      <c r="H218" s="1055"/>
      <c r="I218" s="637"/>
      <c r="J218" s="638">
        <f>SUM(K218:R218)</f>
        <v>12000</v>
      </c>
      <c r="K218" s="659">
        <v>10042</v>
      </c>
      <c r="L218" s="659">
        <v>1958</v>
      </c>
      <c r="M218" s="659"/>
      <c r="N218" s="659"/>
      <c r="O218" s="659"/>
      <c r="P218" s="659"/>
      <c r="Q218" s="659"/>
      <c r="R218" s="660"/>
      <c r="S218" s="661"/>
      <c r="T218" s="661"/>
      <c r="U218" s="661"/>
      <c r="V218" s="661"/>
      <c r="W218" s="661"/>
      <c r="X218" s="661"/>
      <c r="Y218" s="661"/>
      <c r="Z218" s="661"/>
      <c r="AA218" s="661"/>
      <c r="AB218" s="661"/>
      <c r="AC218" s="661"/>
      <c r="AD218" s="661"/>
      <c r="AE218" s="661"/>
    </row>
    <row r="219" spans="1:31" s="598" customFormat="1" ht="18" customHeight="1">
      <c r="A219" s="98">
        <v>210</v>
      </c>
      <c r="B219" s="359"/>
      <c r="C219" s="1061"/>
      <c r="D219" s="1179"/>
      <c r="E219" s="483" t="s">
        <v>938</v>
      </c>
      <c r="F219" s="1063"/>
      <c r="G219" s="1055"/>
      <c r="H219" s="1055"/>
      <c r="I219" s="637"/>
      <c r="J219" s="269">
        <f>SUM(K219:R219)</f>
        <v>12000</v>
      </c>
      <c r="K219" s="280">
        <v>10042</v>
      </c>
      <c r="L219" s="280">
        <v>1958</v>
      </c>
      <c r="M219" s="659"/>
      <c r="N219" s="659"/>
      <c r="O219" s="659"/>
      <c r="P219" s="659"/>
      <c r="Q219" s="659"/>
      <c r="R219" s="660"/>
      <c r="S219" s="661"/>
      <c r="T219" s="661"/>
      <c r="U219" s="661"/>
      <c r="V219" s="661"/>
      <c r="W219" s="661"/>
      <c r="X219" s="661"/>
      <c r="Y219" s="661"/>
      <c r="Z219" s="661"/>
      <c r="AA219" s="661"/>
      <c r="AB219" s="661"/>
      <c r="AC219" s="661"/>
      <c r="AD219" s="661"/>
      <c r="AE219" s="661"/>
    </row>
    <row r="220" spans="1:31" s="598" customFormat="1" ht="18" customHeight="1">
      <c r="A220" s="98">
        <v>211</v>
      </c>
      <c r="B220" s="359"/>
      <c r="C220" s="1061"/>
      <c r="D220" s="1179"/>
      <c r="E220" s="1146" t="s">
        <v>674</v>
      </c>
      <c r="F220" s="1063"/>
      <c r="G220" s="1055"/>
      <c r="H220" s="1055"/>
      <c r="I220" s="637"/>
      <c r="J220" s="1197">
        <f>SUM(K220:R220)</f>
        <v>0</v>
      </c>
      <c r="K220" s="659"/>
      <c r="L220" s="659"/>
      <c r="M220" s="659"/>
      <c r="N220" s="659"/>
      <c r="O220" s="659"/>
      <c r="P220" s="659"/>
      <c r="Q220" s="659"/>
      <c r="R220" s="660"/>
      <c r="S220" s="661"/>
      <c r="T220" s="661"/>
      <c r="U220" s="661"/>
      <c r="V220" s="661"/>
      <c r="W220" s="661"/>
      <c r="X220" s="661"/>
      <c r="Y220" s="661"/>
      <c r="Z220" s="661"/>
      <c r="AA220" s="661"/>
      <c r="AB220" s="661"/>
      <c r="AC220" s="661"/>
      <c r="AD220" s="661"/>
      <c r="AE220" s="661"/>
    </row>
    <row r="221" spans="1:31" s="598" customFormat="1" ht="18" customHeight="1">
      <c r="A221" s="98">
        <v>212</v>
      </c>
      <c r="B221" s="359"/>
      <c r="C221" s="1061"/>
      <c r="D221" s="1179"/>
      <c r="E221" s="483" t="s">
        <v>1091</v>
      </c>
      <c r="F221" s="1063"/>
      <c r="G221" s="1055"/>
      <c r="H221" s="1055"/>
      <c r="I221" s="637"/>
      <c r="J221" s="269">
        <f>SUM(K221:R221)</f>
        <v>12000</v>
      </c>
      <c r="K221" s="280">
        <f>SUM(K219:K220)</f>
        <v>10042</v>
      </c>
      <c r="L221" s="280">
        <f>SUM(L219:L220)</f>
        <v>1958</v>
      </c>
      <c r="M221" s="659"/>
      <c r="N221" s="659"/>
      <c r="O221" s="659"/>
      <c r="P221" s="659"/>
      <c r="Q221" s="659"/>
      <c r="R221" s="660"/>
      <c r="S221" s="661"/>
      <c r="T221" s="661"/>
      <c r="U221" s="661"/>
      <c r="V221" s="661"/>
      <c r="W221" s="661"/>
      <c r="X221" s="661"/>
      <c r="Y221" s="661"/>
      <c r="Z221" s="661"/>
      <c r="AA221" s="661"/>
      <c r="AB221" s="661"/>
      <c r="AC221" s="661"/>
      <c r="AD221" s="661"/>
      <c r="AE221" s="661"/>
    </row>
    <row r="222" spans="1:31" s="22" customFormat="1" ht="19.5" customHeight="1">
      <c r="A222" s="98">
        <v>213</v>
      </c>
      <c r="B222" s="359"/>
      <c r="C222" s="224">
        <v>9</v>
      </c>
      <c r="D222" s="2061" t="s">
        <v>400</v>
      </c>
      <c r="E222" s="2062"/>
      <c r="F222" s="501"/>
      <c r="G222" s="229">
        <v>1684</v>
      </c>
      <c r="H222" s="229">
        <v>327</v>
      </c>
      <c r="I222" s="267">
        <v>2237</v>
      </c>
      <c r="J222" s="269"/>
      <c r="K222" s="280"/>
      <c r="L222" s="280"/>
      <c r="M222" s="280"/>
      <c r="N222" s="280"/>
      <c r="O222" s="280"/>
      <c r="P222" s="280"/>
      <c r="Q222" s="280"/>
      <c r="R222" s="281"/>
      <c r="S222" s="156"/>
      <c r="T222" s="156"/>
      <c r="U222" s="156"/>
      <c r="V222" s="156"/>
      <c r="W222" s="156"/>
      <c r="X222" s="156"/>
      <c r="Y222" s="156"/>
      <c r="Z222" s="156"/>
      <c r="AA222" s="156"/>
      <c r="AB222" s="156"/>
      <c r="AC222" s="156"/>
      <c r="AD222" s="156"/>
      <c r="AE222" s="156"/>
    </row>
    <row r="223" spans="1:31" s="598" customFormat="1" ht="18" customHeight="1">
      <c r="A223" s="98">
        <v>214</v>
      </c>
      <c r="B223" s="359"/>
      <c r="C223" s="1061"/>
      <c r="D223" s="1054"/>
      <c r="E223" s="1070" t="s">
        <v>283</v>
      </c>
      <c r="F223" s="1063"/>
      <c r="G223" s="1055"/>
      <c r="H223" s="1055"/>
      <c r="I223" s="637"/>
      <c r="J223" s="638">
        <f>SUM(K223:R223)</f>
        <v>76</v>
      </c>
      <c r="K223" s="659"/>
      <c r="L223" s="659">
        <v>33</v>
      </c>
      <c r="M223" s="659">
        <v>43</v>
      </c>
      <c r="N223" s="659"/>
      <c r="O223" s="659"/>
      <c r="P223" s="659"/>
      <c r="Q223" s="659"/>
      <c r="R223" s="660"/>
      <c r="S223" s="661"/>
      <c r="T223" s="661"/>
      <c r="U223" s="661"/>
      <c r="V223" s="661"/>
      <c r="W223" s="661"/>
      <c r="X223" s="661"/>
      <c r="Y223" s="661"/>
      <c r="Z223" s="661"/>
      <c r="AA223" s="661"/>
      <c r="AB223" s="661"/>
      <c r="AC223" s="661"/>
      <c r="AD223" s="661"/>
      <c r="AE223" s="661"/>
    </row>
    <row r="224" spans="1:31" s="598" customFormat="1" ht="18" customHeight="1">
      <c r="A224" s="98">
        <v>215</v>
      </c>
      <c r="B224" s="359"/>
      <c r="C224" s="1061"/>
      <c r="D224" s="1179"/>
      <c r="E224" s="483" t="s">
        <v>938</v>
      </c>
      <c r="F224" s="1063"/>
      <c r="G224" s="1055"/>
      <c r="H224" s="1055"/>
      <c r="I224" s="637"/>
      <c r="J224" s="269">
        <f>SUM(K224:R224)</f>
        <v>76</v>
      </c>
      <c r="K224" s="280"/>
      <c r="L224" s="280">
        <v>33</v>
      </c>
      <c r="M224" s="280">
        <v>43</v>
      </c>
      <c r="N224" s="659"/>
      <c r="O224" s="659"/>
      <c r="P224" s="659"/>
      <c r="Q224" s="659"/>
      <c r="R224" s="660"/>
      <c r="S224" s="661"/>
      <c r="T224" s="661"/>
      <c r="U224" s="661"/>
      <c r="V224" s="661"/>
      <c r="W224" s="661"/>
      <c r="X224" s="661"/>
      <c r="Y224" s="661"/>
      <c r="Z224" s="661"/>
      <c r="AA224" s="661"/>
      <c r="AB224" s="661"/>
      <c r="AC224" s="661"/>
      <c r="AD224" s="661"/>
      <c r="AE224" s="661"/>
    </row>
    <row r="225" spans="1:31" s="598" customFormat="1" ht="18" customHeight="1">
      <c r="A225" s="98">
        <v>216</v>
      </c>
      <c r="B225" s="359"/>
      <c r="C225" s="1061"/>
      <c r="D225" s="1179"/>
      <c r="E225" s="1146" t="s">
        <v>674</v>
      </c>
      <c r="F225" s="1063"/>
      <c r="G225" s="1055"/>
      <c r="H225" s="1055"/>
      <c r="I225" s="637"/>
      <c r="J225" s="1197">
        <f>SUM(K225:R225)</f>
        <v>0</v>
      </c>
      <c r="K225" s="659"/>
      <c r="L225" s="659"/>
      <c r="M225" s="659"/>
      <c r="N225" s="659"/>
      <c r="O225" s="659"/>
      <c r="P225" s="659"/>
      <c r="Q225" s="659"/>
      <c r="R225" s="660"/>
      <c r="S225" s="661"/>
      <c r="T225" s="661"/>
      <c r="U225" s="661"/>
      <c r="V225" s="661"/>
      <c r="W225" s="661"/>
      <c r="X225" s="661"/>
      <c r="Y225" s="661"/>
      <c r="Z225" s="661"/>
      <c r="AA225" s="661"/>
      <c r="AB225" s="661"/>
      <c r="AC225" s="661"/>
      <c r="AD225" s="661"/>
      <c r="AE225" s="661"/>
    </row>
    <row r="226" spans="1:31" s="598" customFormat="1" ht="18" customHeight="1">
      <c r="A226" s="98">
        <v>217</v>
      </c>
      <c r="B226" s="359"/>
      <c r="C226" s="1061"/>
      <c r="D226" s="1179"/>
      <c r="E226" s="483" t="s">
        <v>1091</v>
      </c>
      <c r="F226" s="1063"/>
      <c r="G226" s="1055"/>
      <c r="H226" s="1055"/>
      <c r="I226" s="637"/>
      <c r="J226" s="269">
        <f>SUM(K226:R226)</f>
        <v>76</v>
      </c>
      <c r="K226" s="659"/>
      <c r="L226" s="280">
        <f>SUM(L224:L225)</f>
        <v>33</v>
      </c>
      <c r="M226" s="280">
        <f>SUM(M224:M225)</f>
        <v>43</v>
      </c>
      <c r="N226" s="659"/>
      <c r="O226" s="659"/>
      <c r="P226" s="659"/>
      <c r="Q226" s="659"/>
      <c r="R226" s="660"/>
      <c r="S226" s="661"/>
      <c r="T226" s="661"/>
      <c r="U226" s="661"/>
      <c r="V226" s="661"/>
      <c r="W226" s="661"/>
      <c r="X226" s="661"/>
      <c r="Y226" s="661"/>
      <c r="Z226" s="661"/>
      <c r="AA226" s="661"/>
      <c r="AB226" s="661"/>
      <c r="AC226" s="661"/>
      <c r="AD226" s="661"/>
      <c r="AE226" s="661"/>
    </row>
    <row r="227" spans="1:31" s="878" customFormat="1" ht="19.5" customHeight="1">
      <c r="A227" s="98">
        <v>218</v>
      </c>
      <c r="B227" s="873"/>
      <c r="C227" s="224">
        <v>10</v>
      </c>
      <c r="D227" s="2061" t="s">
        <v>660</v>
      </c>
      <c r="E227" s="2062"/>
      <c r="F227" s="874"/>
      <c r="G227" s="116">
        <f>10996</f>
        <v>10996</v>
      </c>
      <c r="H227" s="116">
        <v>2261</v>
      </c>
      <c r="I227" s="875">
        <v>2181</v>
      </c>
      <c r="J227" s="277"/>
      <c r="K227" s="116"/>
      <c r="L227" s="116"/>
      <c r="M227" s="116"/>
      <c r="N227" s="116"/>
      <c r="O227" s="116"/>
      <c r="P227" s="116"/>
      <c r="Q227" s="116"/>
      <c r="R227" s="876"/>
      <c r="S227" s="1770"/>
      <c r="T227" s="877"/>
      <c r="U227" s="877"/>
      <c r="V227" s="877"/>
      <c r="W227" s="877"/>
      <c r="X227" s="877"/>
      <c r="Y227" s="877"/>
      <c r="Z227" s="877"/>
      <c r="AA227" s="877"/>
      <c r="AB227" s="877"/>
      <c r="AC227" s="877"/>
      <c r="AD227" s="877"/>
      <c r="AE227" s="877"/>
    </row>
    <row r="228" spans="1:31" s="22" customFormat="1" ht="18" customHeight="1">
      <c r="A228" s="98">
        <v>219</v>
      </c>
      <c r="B228" s="359"/>
      <c r="C228" s="224">
        <v>11</v>
      </c>
      <c r="D228" s="2061" t="s">
        <v>464</v>
      </c>
      <c r="E228" s="2062"/>
      <c r="F228" s="350"/>
      <c r="G228" s="229"/>
      <c r="H228" s="229">
        <v>205560</v>
      </c>
      <c r="I228" s="267">
        <v>9817</v>
      </c>
      <c r="J228" s="269"/>
      <c r="K228" s="280"/>
      <c r="L228" s="280"/>
      <c r="M228" s="280"/>
      <c r="N228" s="280"/>
      <c r="O228" s="280"/>
      <c r="P228" s="280"/>
      <c r="Q228" s="280"/>
      <c r="R228" s="281"/>
      <c r="S228" s="156"/>
      <c r="T228" s="156"/>
      <c r="U228" s="156"/>
      <c r="V228" s="156"/>
      <c r="W228" s="156"/>
      <c r="X228" s="156"/>
      <c r="Y228" s="156"/>
      <c r="Z228" s="156"/>
      <c r="AA228" s="156"/>
      <c r="AB228" s="156"/>
      <c r="AC228" s="156"/>
      <c r="AD228" s="156"/>
      <c r="AE228" s="156"/>
    </row>
    <row r="229" spans="1:31" s="22" customFormat="1" ht="18" customHeight="1">
      <c r="A229" s="98">
        <v>220</v>
      </c>
      <c r="B229" s="359"/>
      <c r="C229" s="224"/>
      <c r="D229" s="1054"/>
      <c r="E229" s="1070" t="s">
        <v>283</v>
      </c>
      <c r="F229" s="350"/>
      <c r="G229" s="229"/>
      <c r="H229" s="229"/>
      <c r="I229" s="267"/>
      <c r="J229" s="638">
        <f>SUM(K229:R229)</f>
        <v>3524</v>
      </c>
      <c r="K229" s="659">
        <v>2816</v>
      </c>
      <c r="L229" s="659">
        <v>708</v>
      </c>
      <c r="M229" s="280"/>
      <c r="N229" s="280"/>
      <c r="O229" s="280"/>
      <c r="P229" s="280"/>
      <c r="Q229" s="280"/>
      <c r="R229" s="281"/>
      <c r="S229" s="156"/>
      <c r="T229" s="156"/>
      <c r="U229" s="156"/>
      <c r="V229" s="156"/>
      <c r="W229" s="156"/>
      <c r="X229" s="156"/>
      <c r="Y229" s="156"/>
      <c r="Z229" s="156"/>
      <c r="AA229" s="156"/>
      <c r="AB229" s="156"/>
      <c r="AC229" s="156"/>
      <c r="AD229" s="156"/>
      <c r="AE229" s="156"/>
    </row>
    <row r="230" spans="1:31" s="22" customFormat="1" ht="18" customHeight="1">
      <c r="A230" s="98">
        <v>221</v>
      </c>
      <c r="B230" s="359"/>
      <c r="C230" s="224"/>
      <c r="D230" s="1179"/>
      <c r="E230" s="483" t="s">
        <v>938</v>
      </c>
      <c r="F230" s="350"/>
      <c r="G230" s="229"/>
      <c r="H230" s="229"/>
      <c r="I230" s="267"/>
      <c r="J230" s="269">
        <f>SUM(K230:R230)</f>
        <v>6083</v>
      </c>
      <c r="K230" s="280">
        <v>5267</v>
      </c>
      <c r="L230" s="280">
        <v>816</v>
      </c>
      <c r="M230" s="280"/>
      <c r="N230" s="280"/>
      <c r="O230" s="280"/>
      <c r="P230" s="280"/>
      <c r="Q230" s="280"/>
      <c r="R230" s="281"/>
      <c r="S230" s="156"/>
      <c r="T230" s="156"/>
      <c r="U230" s="156"/>
      <c r="V230" s="156"/>
      <c r="W230" s="156"/>
      <c r="X230" s="156"/>
      <c r="Y230" s="156"/>
      <c r="Z230" s="156"/>
      <c r="AA230" s="156"/>
      <c r="AB230" s="156"/>
      <c r="AC230" s="156"/>
      <c r="AD230" s="156"/>
      <c r="AE230" s="156"/>
    </row>
    <row r="231" spans="1:31" s="22" customFormat="1" ht="18" customHeight="1">
      <c r="A231" s="98">
        <v>222</v>
      </c>
      <c r="B231" s="359"/>
      <c r="C231" s="224"/>
      <c r="D231" s="1179"/>
      <c r="E231" s="1146" t="s">
        <v>725</v>
      </c>
      <c r="F231" s="350"/>
      <c r="G231" s="229"/>
      <c r="H231" s="229"/>
      <c r="I231" s="267"/>
      <c r="J231" s="1197">
        <f>SUM(K231:R231)</f>
        <v>0</v>
      </c>
      <c r="K231" s="273"/>
      <c r="L231" s="273"/>
      <c r="M231" s="280"/>
      <c r="N231" s="280"/>
      <c r="O231" s="280"/>
      <c r="P231" s="280"/>
      <c r="Q231" s="280"/>
      <c r="R231" s="281"/>
      <c r="S231" s="156"/>
      <c r="T231" s="156"/>
      <c r="U231" s="156"/>
      <c r="V231" s="156"/>
      <c r="W231" s="156"/>
      <c r="X231" s="156"/>
      <c r="Y231" s="156"/>
      <c r="Z231" s="156"/>
      <c r="AA231" s="156"/>
      <c r="AB231" s="156"/>
      <c r="AC231" s="156"/>
      <c r="AD231" s="156"/>
      <c r="AE231" s="156"/>
    </row>
    <row r="232" spans="1:31" s="22" customFormat="1" ht="18" customHeight="1">
      <c r="A232" s="98">
        <v>223</v>
      </c>
      <c r="B232" s="359"/>
      <c r="C232" s="224"/>
      <c r="D232" s="1179"/>
      <c r="E232" s="483" t="s">
        <v>1091</v>
      </c>
      <c r="F232" s="350"/>
      <c r="G232" s="229"/>
      <c r="H232" s="229"/>
      <c r="I232" s="267"/>
      <c r="J232" s="269">
        <f>SUM(K232:R232)</f>
        <v>6083</v>
      </c>
      <c r="K232" s="280">
        <f>SUM(K230:K231)</f>
        <v>5267</v>
      </c>
      <c r="L232" s="280">
        <f>SUM(L230:L231)</f>
        <v>816</v>
      </c>
      <c r="M232" s="280"/>
      <c r="N232" s="280"/>
      <c r="O232" s="280"/>
      <c r="P232" s="280"/>
      <c r="Q232" s="280"/>
      <c r="R232" s="281"/>
      <c r="S232" s="156"/>
      <c r="T232" s="156"/>
      <c r="U232" s="156"/>
      <c r="V232" s="156"/>
      <c r="W232" s="156"/>
      <c r="X232" s="156"/>
      <c r="Y232" s="156"/>
      <c r="Z232" s="156"/>
      <c r="AA232" s="156"/>
      <c r="AB232" s="156"/>
      <c r="AC232" s="156"/>
      <c r="AD232" s="156"/>
      <c r="AE232" s="156"/>
    </row>
    <row r="233" spans="1:31" s="22" customFormat="1" ht="18" customHeight="1">
      <c r="A233" s="98">
        <v>224</v>
      </c>
      <c r="B233" s="359"/>
      <c r="C233" s="224">
        <v>12</v>
      </c>
      <c r="D233" s="2061" t="s">
        <v>659</v>
      </c>
      <c r="E233" s="2062"/>
      <c r="F233" s="350"/>
      <c r="G233" s="229"/>
      <c r="H233" s="229"/>
      <c r="I233" s="267">
        <v>26713</v>
      </c>
      <c r="J233" s="269"/>
      <c r="K233" s="659"/>
      <c r="L233" s="659"/>
      <c r="M233" s="280"/>
      <c r="N233" s="280"/>
      <c r="O233" s="280"/>
      <c r="P233" s="280"/>
      <c r="Q233" s="280"/>
      <c r="R233" s="281"/>
      <c r="S233" s="156"/>
      <c r="T233" s="156"/>
      <c r="U233" s="156"/>
      <c r="V233" s="156"/>
      <c r="W233" s="156"/>
      <c r="X233" s="156"/>
      <c r="Y233" s="156"/>
      <c r="Z233" s="156"/>
      <c r="AA233" s="156"/>
      <c r="AB233" s="156"/>
      <c r="AC233" s="156"/>
      <c r="AD233" s="156"/>
      <c r="AE233" s="156"/>
    </row>
    <row r="234" spans="1:31" s="22" customFormat="1" ht="18" customHeight="1">
      <c r="A234" s="98">
        <v>225</v>
      </c>
      <c r="B234" s="359"/>
      <c r="C234" s="224"/>
      <c r="D234" s="1054"/>
      <c r="E234" s="1070" t="s">
        <v>283</v>
      </c>
      <c r="F234" s="350"/>
      <c r="G234" s="229"/>
      <c r="H234" s="229"/>
      <c r="I234" s="267"/>
      <c r="J234" s="638">
        <f>SUM(K234:R234)</f>
        <v>2271</v>
      </c>
      <c r="K234" s="659">
        <v>2077</v>
      </c>
      <c r="L234" s="659">
        <v>194</v>
      </c>
      <c r="M234" s="280"/>
      <c r="N234" s="280"/>
      <c r="O234" s="280"/>
      <c r="P234" s="280"/>
      <c r="Q234" s="280"/>
      <c r="R234" s="281"/>
      <c r="S234" s="156"/>
      <c r="T234" s="156"/>
      <c r="U234" s="156"/>
      <c r="V234" s="156"/>
      <c r="W234" s="156"/>
      <c r="X234" s="156"/>
      <c r="Y234" s="156"/>
      <c r="Z234" s="156"/>
      <c r="AA234" s="156"/>
      <c r="AB234" s="156"/>
      <c r="AC234" s="156"/>
      <c r="AD234" s="156"/>
      <c r="AE234" s="156"/>
    </row>
    <row r="235" spans="1:31" s="22" customFormat="1" ht="18" customHeight="1">
      <c r="A235" s="98">
        <v>226</v>
      </c>
      <c r="B235" s="359"/>
      <c r="C235" s="224"/>
      <c r="D235" s="1179"/>
      <c r="E235" s="483" t="s">
        <v>938</v>
      </c>
      <c r="F235" s="350"/>
      <c r="G235" s="229"/>
      <c r="H235" s="229"/>
      <c r="I235" s="267"/>
      <c r="J235" s="269">
        <f>SUM(K235:R235)</f>
        <v>4262</v>
      </c>
      <c r="K235" s="280">
        <v>3690</v>
      </c>
      <c r="L235" s="280">
        <v>572</v>
      </c>
      <c r="M235" s="280"/>
      <c r="N235" s="280"/>
      <c r="O235" s="280"/>
      <c r="P235" s="280"/>
      <c r="Q235" s="280"/>
      <c r="R235" s="281"/>
      <c r="S235" s="156"/>
      <c r="T235" s="156"/>
      <c r="U235" s="156"/>
      <c r="V235" s="156"/>
      <c r="W235" s="156"/>
      <c r="X235" s="156"/>
      <c r="Y235" s="156"/>
      <c r="Z235" s="156"/>
      <c r="AA235" s="156"/>
      <c r="AB235" s="156"/>
      <c r="AC235" s="156"/>
      <c r="AD235" s="156"/>
      <c r="AE235" s="156"/>
    </row>
    <row r="236" spans="1:31" s="22" customFormat="1" ht="18" customHeight="1">
      <c r="A236" s="98">
        <v>227</v>
      </c>
      <c r="B236" s="359"/>
      <c r="C236" s="224"/>
      <c r="D236" s="1179"/>
      <c r="E236" s="1146" t="s">
        <v>725</v>
      </c>
      <c r="F236" s="350"/>
      <c r="G236" s="229"/>
      <c r="H236" s="229"/>
      <c r="I236" s="267"/>
      <c r="J236" s="1197">
        <f>SUM(K236:R236)</f>
        <v>0</v>
      </c>
      <c r="K236" s="1235"/>
      <c r="L236" s="1235"/>
      <c r="M236" s="280"/>
      <c r="N236" s="280"/>
      <c r="O236" s="280"/>
      <c r="P236" s="280"/>
      <c r="Q236" s="280"/>
      <c r="R236" s="281"/>
      <c r="S236" s="156"/>
      <c r="T236" s="156"/>
      <c r="U236" s="156"/>
      <c r="V236" s="156"/>
      <c r="W236" s="156"/>
      <c r="X236" s="156"/>
      <c r="Y236" s="156"/>
      <c r="Z236" s="156"/>
      <c r="AA236" s="156"/>
      <c r="AB236" s="156"/>
      <c r="AC236" s="156"/>
      <c r="AD236" s="156"/>
      <c r="AE236" s="156"/>
    </row>
    <row r="237" spans="1:31" s="22" customFormat="1" ht="18" customHeight="1">
      <c r="A237" s="98">
        <v>228</v>
      </c>
      <c r="B237" s="359"/>
      <c r="C237" s="224"/>
      <c r="D237" s="1179"/>
      <c r="E237" s="483" t="s">
        <v>1091</v>
      </c>
      <c r="F237" s="350"/>
      <c r="G237" s="229"/>
      <c r="H237" s="229"/>
      <c r="I237" s="267"/>
      <c r="J237" s="269">
        <f>SUM(K237:R237)</f>
        <v>4262</v>
      </c>
      <c r="K237" s="280">
        <f>SUM(K235:K236)</f>
        <v>3690</v>
      </c>
      <c r="L237" s="280">
        <f>SUM(L235:L236)</f>
        <v>572</v>
      </c>
      <c r="M237" s="280"/>
      <c r="N237" s="280"/>
      <c r="O237" s="280"/>
      <c r="P237" s="280"/>
      <c r="Q237" s="280"/>
      <c r="R237" s="281"/>
      <c r="S237" s="156"/>
      <c r="T237" s="156"/>
      <c r="U237" s="156"/>
      <c r="V237" s="156"/>
      <c r="W237" s="156"/>
      <c r="X237" s="156"/>
      <c r="Y237" s="156"/>
      <c r="Z237" s="156"/>
      <c r="AA237" s="156"/>
      <c r="AB237" s="156"/>
      <c r="AC237" s="156"/>
      <c r="AD237" s="156"/>
      <c r="AE237" s="156"/>
    </row>
    <row r="238" spans="1:31" s="22" customFormat="1" ht="18" customHeight="1">
      <c r="A238" s="98">
        <v>229</v>
      </c>
      <c r="B238" s="359"/>
      <c r="C238" s="224">
        <v>13</v>
      </c>
      <c r="D238" s="2061" t="s">
        <v>649</v>
      </c>
      <c r="E238" s="2062"/>
      <c r="F238" s="350"/>
      <c r="G238" s="229"/>
      <c r="H238" s="229"/>
      <c r="I238" s="267"/>
      <c r="J238" s="269"/>
      <c r="K238" s="659"/>
      <c r="L238" s="659"/>
      <c r="M238" s="280"/>
      <c r="N238" s="280"/>
      <c r="O238" s="280"/>
      <c r="P238" s="280"/>
      <c r="Q238" s="280"/>
      <c r="R238" s="281"/>
      <c r="S238" s="156"/>
      <c r="T238" s="156"/>
      <c r="U238" s="156"/>
      <c r="V238" s="156"/>
      <c r="W238" s="156"/>
      <c r="X238" s="156"/>
      <c r="Y238" s="156"/>
      <c r="Z238" s="156"/>
      <c r="AA238" s="156"/>
      <c r="AB238" s="156"/>
      <c r="AC238" s="156"/>
      <c r="AD238" s="156"/>
      <c r="AE238" s="156"/>
    </row>
    <row r="239" spans="1:31" s="22" customFormat="1" ht="18" customHeight="1">
      <c r="A239" s="98">
        <v>230</v>
      </c>
      <c r="B239" s="359"/>
      <c r="C239" s="224"/>
      <c r="D239" s="1054"/>
      <c r="E239" s="1070" t="s">
        <v>283</v>
      </c>
      <c r="F239" s="350"/>
      <c r="G239" s="229"/>
      <c r="H239" s="229"/>
      <c r="I239" s="267"/>
      <c r="J239" s="638">
        <f>SUM(K239:R239)</f>
        <v>35000</v>
      </c>
      <c r="K239" s="659">
        <v>30303</v>
      </c>
      <c r="L239" s="659">
        <v>4697</v>
      </c>
      <c r="M239" s="280"/>
      <c r="N239" s="280"/>
      <c r="O239" s="280"/>
      <c r="P239" s="280"/>
      <c r="Q239" s="280"/>
      <c r="R239" s="281"/>
      <c r="S239" s="156"/>
      <c r="T239" s="156"/>
      <c r="U239" s="156"/>
      <c r="V239" s="156"/>
      <c r="W239" s="156"/>
      <c r="X239" s="156"/>
      <c r="Y239" s="156"/>
      <c r="Z239" s="156"/>
      <c r="AA239" s="156"/>
      <c r="AB239" s="156"/>
      <c r="AC239" s="156"/>
      <c r="AD239" s="156"/>
      <c r="AE239" s="156"/>
    </row>
    <row r="240" spans="1:31" s="22" customFormat="1" ht="18" customHeight="1">
      <c r="A240" s="98">
        <v>231</v>
      </c>
      <c r="B240" s="359"/>
      <c r="C240" s="224"/>
      <c r="D240" s="1179"/>
      <c r="E240" s="483" t="s">
        <v>938</v>
      </c>
      <c r="F240" s="350"/>
      <c r="G240" s="229"/>
      <c r="H240" s="229"/>
      <c r="I240" s="267"/>
      <c r="J240" s="269">
        <f>SUM(K240:R240)</f>
        <v>34903</v>
      </c>
      <c r="K240" s="280">
        <v>30219</v>
      </c>
      <c r="L240" s="280">
        <v>4684</v>
      </c>
      <c r="M240" s="280"/>
      <c r="N240" s="280"/>
      <c r="O240" s="280"/>
      <c r="P240" s="280"/>
      <c r="Q240" s="280"/>
      <c r="R240" s="281"/>
      <c r="S240" s="156"/>
      <c r="T240" s="156"/>
      <c r="U240" s="156"/>
      <c r="V240" s="156"/>
      <c r="W240" s="156"/>
      <c r="X240" s="156"/>
      <c r="Y240" s="156"/>
      <c r="Z240" s="156"/>
      <c r="AA240" s="156"/>
      <c r="AB240" s="156"/>
      <c r="AC240" s="156"/>
      <c r="AD240" s="156"/>
      <c r="AE240" s="156"/>
    </row>
    <row r="241" spans="1:31" s="22" customFormat="1" ht="18" customHeight="1">
      <c r="A241" s="98">
        <v>232</v>
      </c>
      <c r="B241" s="359"/>
      <c r="C241" s="224"/>
      <c r="D241" s="1179"/>
      <c r="E241" s="1146" t="s">
        <v>725</v>
      </c>
      <c r="F241" s="350"/>
      <c r="G241" s="229"/>
      <c r="H241" s="229"/>
      <c r="I241" s="267"/>
      <c r="J241" s="1197">
        <f>SUM(K241:R241)</f>
        <v>0</v>
      </c>
      <c r="K241" s="273"/>
      <c r="L241" s="273"/>
      <c r="M241" s="280"/>
      <c r="N241" s="280"/>
      <c r="O241" s="280"/>
      <c r="P241" s="280"/>
      <c r="Q241" s="280"/>
      <c r="R241" s="281"/>
      <c r="S241" s="156"/>
      <c r="T241" s="156"/>
      <c r="U241" s="156"/>
      <c r="V241" s="156"/>
      <c r="W241" s="156"/>
      <c r="X241" s="156"/>
      <c r="Y241" s="156"/>
      <c r="Z241" s="156"/>
      <c r="AA241" s="156"/>
      <c r="AB241" s="156"/>
      <c r="AC241" s="156"/>
      <c r="AD241" s="156"/>
      <c r="AE241" s="156"/>
    </row>
    <row r="242" spans="1:31" s="22" customFormat="1" ht="18" customHeight="1">
      <c r="A242" s="98">
        <v>233</v>
      </c>
      <c r="B242" s="359"/>
      <c r="C242" s="224"/>
      <c r="D242" s="1179"/>
      <c r="E242" s="483" t="s">
        <v>1091</v>
      </c>
      <c r="F242" s="350"/>
      <c r="G242" s="229"/>
      <c r="H242" s="229"/>
      <c r="I242" s="267"/>
      <c r="J242" s="269">
        <f>SUM(K242:R242)</f>
        <v>34903</v>
      </c>
      <c r="K242" s="280">
        <f>SUM(K240:K241)</f>
        <v>30219</v>
      </c>
      <c r="L242" s="280">
        <f>SUM(L240:L241)</f>
        <v>4684</v>
      </c>
      <c r="M242" s="280"/>
      <c r="N242" s="280"/>
      <c r="O242" s="280"/>
      <c r="P242" s="280"/>
      <c r="Q242" s="280"/>
      <c r="R242" s="281"/>
      <c r="S242" s="156"/>
      <c r="T242" s="156"/>
      <c r="U242" s="156"/>
      <c r="V242" s="156"/>
      <c r="W242" s="156"/>
      <c r="X242" s="156"/>
      <c r="Y242" s="156"/>
      <c r="Z242" s="156"/>
      <c r="AA242" s="156"/>
      <c r="AB242" s="156"/>
      <c r="AC242" s="156"/>
      <c r="AD242" s="156"/>
      <c r="AE242" s="156"/>
    </row>
    <row r="243" spans="1:31" s="22" customFormat="1" ht="18" customHeight="1">
      <c r="A243" s="98">
        <v>234</v>
      </c>
      <c r="B243" s="359"/>
      <c r="C243" s="224">
        <v>14</v>
      </c>
      <c r="D243" s="2061" t="s">
        <v>721</v>
      </c>
      <c r="E243" s="2062"/>
      <c r="F243" s="350"/>
      <c r="G243" s="229"/>
      <c r="H243" s="229"/>
      <c r="I243" s="267"/>
      <c r="J243" s="269"/>
      <c r="K243" s="280"/>
      <c r="L243" s="280"/>
      <c r="M243" s="280"/>
      <c r="N243" s="280"/>
      <c r="O243" s="280"/>
      <c r="P243" s="280"/>
      <c r="Q243" s="280"/>
      <c r="R243" s="281"/>
      <c r="S243" s="156"/>
      <c r="T243" s="156"/>
      <c r="U243" s="156"/>
      <c r="V243" s="156"/>
      <c r="W243" s="156"/>
      <c r="X243" s="156"/>
      <c r="Y243" s="156"/>
      <c r="Z243" s="156"/>
      <c r="AA243" s="156"/>
      <c r="AB243" s="156"/>
      <c r="AC243" s="156"/>
      <c r="AD243" s="156"/>
      <c r="AE243" s="156"/>
    </row>
    <row r="244" spans="1:31" s="22" customFormat="1" ht="18" customHeight="1">
      <c r="A244" s="98">
        <v>235</v>
      </c>
      <c r="B244" s="359"/>
      <c r="C244" s="224"/>
      <c r="D244" s="1971"/>
      <c r="E244" s="483" t="s">
        <v>938</v>
      </c>
      <c r="F244" s="350"/>
      <c r="G244" s="229"/>
      <c r="H244" s="229"/>
      <c r="I244" s="267"/>
      <c r="J244" s="269">
        <f>SUM(K244:R244)</f>
        <v>12927</v>
      </c>
      <c r="K244" s="280">
        <v>11125</v>
      </c>
      <c r="L244" s="280">
        <v>1802</v>
      </c>
      <c r="M244" s="280"/>
      <c r="N244" s="280"/>
      <c r="O244" s="280"/>
      <c r="P244" s="280"/>
      <c r="Q244" s="280"/>
      <c r="R244" s="281"/>
      <c r="S244" s="156"/>
      <c r="T244" s="156"/>
      <c r="U244" s="156"/>
      <c r="V244" s="156"/>
      <c r="W244" s="156"/>
      <c r="X244" s="156"/>
      <c r="Y244" s="156"/>
      <c r="Z244" s="156"/>
      <c r="AA244" s="156"/>
      <c r="AB244" s="156"/>
      <c r="AC244" s="156"/>
      <c r="AD244" s="156"/>
      <c r="AE244" s="156"/>
    </row>
    <row r="245" spans="1:31" s="22" customFormat="1" ht="18" customHeight="1">
      <c r="A245" s="98">
        <v>236</v>
      </c>
      <c r="B245" s="359"/>
      <c r="C245" s="224"/>
      <c r="D245" s="1179"/>
      <c r="E245" s="1146" t="s">
        <v>689</v>
      </c>
      <c r="F245" s="350"/>
      <c r="G245" s="229"/>
      <c r="H245" s="229"/>
      <c r="I245" s="267"/>
      <c r="J245" s="1197">
        <f>SUM(K245:R245)</f>
        <v>-2881</v>
      </c>
      <c r="K245" s="273">
        <v>-2427</v>
      </c>
      <c r="L245" s="273">
        <v>-454</v>
      </c>
      <c r="M245" s="280"/>
      <c r="N245" s="280"/>
      <c r="O245" s="280"/>
      <c r="P245" s="280"/>
      <c r="Q245" s="280"/>
      <c r="R245" s="281"/>
      <c r="S245" s="156"/>
      <c r="T245" s="156"/>
      <c r="U245" s="156"/>
      <c r="V245" s="156"/>
      <c r="W245" s="156"/>
      <c r="X245" s="156"/>
      <c r="Y245" s="156"/>
      <c r="Z245" s="156"/>
      <c r="AA245" s="156"/>
      <c r="AB245" s="156"/>
      <c r="AC245" s="156"/>
      <c r="AD245" s="156"/>
      <c r="AE245" s="156"/>
    </row>
    <row r="246" spans="1:31" s="22" customFormat="1" ht="18" customHeight="1">
      <c r="A246" s="98">
        <v>237</v>
      </c>
      <c r="B246" s="359"/>
      <c r="C246" s="224"/>
      <c r="D246" s="1179"/>
      <c r="E246" s="483" t="s">
        <v>1091</v>
      </c>
      <c r="F246" s="350"/>
      <c r="G246" s="229"/>
      <c r="H246" s="229"/>
      <c r="I246" s="267"/>
      <c r="J246" s="269">
        <f>SUM(K246:R246)</f>
        <v>10046</v>
      </c>
      <c r="K246" s="280">
        <f>SUM(K244:K245)</f>
        <v>8698</v>
      </c>
      <c r="L246" s="280">
        <f>SUM(L244:L245)</f>
        <v>1348</v>
      </c>
      <c r="M246" s="280"/>
      <c r="N246" s="280"/>
      <c r="O246" s="280"/>
      <c r="P246" s="280"/>
      <c r="Q246" s="280"/>
      <c r="R246" s="281"/>
      <c r="S246" s="156"/>
      <c r="T246" s="156"/>
      <c r="U246" s="156"/>
      <c r="V246" s="156"/>
      <c r="W246" s="156"/>
      <c r="X246" s="156"/>
      <c r="Y246" s="156"/>
      <c r="Z246" s="156"/>
      <c r="AA246" s="156"/>
      <c r="AB246" s="156"/>
      <c r="AC246" s="156"/>
      <c r="AD246" s="156"/>
      <c r="AE246" s="156"/>
    </row>
    <row r="247" spans="1:31" s="22" customFormat="1" ht="18" customHeight="1">
      <c r="A247" s="98">
        <v>238</v>
      </c>
      <c r="B247" s="359"/>
      <c r="C247" s="224">
        <v>15</v>
      </c>
      <c r="D247" s="2061" t="s">
        <v>619</v>
      </c>
      <c r="E247" s="2111"/>
      <c r="F247" s="2111"/>
      <c r="G247" s="2111"/>
      <c r="H247" s="2111"/>
      <c r="I247" s="2120"/>
      <c r="J247" s="269"/>
      <c r="K247" s="280"/>
      <c r="L247" s="280"/>
      <c r="M247" s="280"/>
      <c r="N247" s="280"/>
      <c r="O247" s="280"/>
      <c r="P247" s="280"/>
      <c r="Q247" s="280"/>
      <c r="R247" s="281"/>
      <c r="S247" s="156"/>
      <c r="T247" s="156"/>
      <c r="U247" s="156"/>
      <c r="V247" s="156"/>
      <c r="W247" s="156"/>
      <c r="X247" s="156"/>
      <c r="Y247" s="156"/>
      <c r="Z247" s="156"/>
      <c r="AA247" s="156"/>
      <c r="AB247" s="156"/>
      <c r="AC247" s="156"/>
      <c r="AD247" s="156"/>
      <c r="AE247" s="156"/>
    </row>
    <row r="248" spans="1:31" s="22" customFormat="1" ht="18" customHeight="1">
      <c r="A248" s="98">
        <v>239</v>
      </c>
      <c r="B248" s="359"/>
      <c r="C248" s="224"/>
      <c r="D248" s="500"/>
      <c r="E248" s="1070" t="s">
        <v>283</v>
      </c>
      <c r="F248" s="350"/>
      <c r="G248" s="229"/>
      <c r="H248" s="229"/>
      <c r="I248" s="267"/>
      <c r="J248" s="638">
        <f>SUM(K248:R248)</f>
        <v>22650</v>
      </c>
      <c r="K248" s="659">
        <v>19277</v>
      </c>
      <c r="L248" s="659">
        <v>3373</v>
      </c>
      <c r="M248" s="280"/>
      <c r="N248" s="280"/>
      <c r="O248" s="280"/>
      <c r="P248" s="280"/>
      <c r="Q248" s="280"/>
      <c r="R248" s="281"/>
      <c r="S248" s="156"/>
      <c r="T248" s="156"/>
      <c r="U248" s="156"/>
      <c r="V248" s="156"/>
      <c r="W248" s="156"/>
      <c r="X248" s="156"/>
      <c r="Y248" s="156"/>
      <c r="Z248" s="156"/>
      <c r="AA248" s="156"/>
      <c r="AB248" s="156"/>
      <c r="AC248" s="156"/>
      <c r="AD248" s="156"/>
      <c r="AE248" s="156"/>
    </row>
    <row r="249" spans="1:31" s="22" customFormat="1" ht="18" customHeight="1">
      <c r="A249" s="98">
        <v>240</v>
      </c>
      <c r="B249" s="359"/>
      <c r="C249" s="224"/>
      <c r="D249" s="500"/>
      <c r="E249" s="483" t="s">
        <v>938</v>
      </c>
      <c r="F249" s="350"/>
      <c r="G249" s="229"/>
      <c r="H249" s="229"/>
      <c r="I249" s="267"/>
      <c r="J249" s="269">
        <f>SUM(K249:R249)</f>
        <v>22650</v>
      </c>
      <c r="K249" s="280">
        <v>19277</v>
      </c>
      <c r="L249" s="280">
        <v>3373</v>
      </c>
      <c r="M249" s="280"/>
      <c r="N249" s="280"/>
      <c r="O249" s="280"/>
      <c r="P249" s="280"/>
      <c r="Q249" s="280"/>
      <c r="R249" s="281"/>
      <c r="S249" s="156"/>
      <c r="T249" s="156"/>
      <c r="U249" s="156"/>
      <c r="V249" s="156"/>
      <c r="W249" s="156"/>
      <c r="X249" s="156"/>
      <c r="Y249" s="156"/>
      <c r="Z249" s="156"/>
      <c r="AA249" s="156"/>
      <c r="AB249" s="156"/>
      <c r="AC249" s="156"/>
      <c r="AD249" s="156"/>
      <c r="AE249" s="156"/>
    </row>
    <row r="250" spans="1:31" s="22" customFormat="1" ht="18" customHeight="1">
      <c r="A250" s="98">
        <v>241</v>
      </c>
      <c r="B250" s="359"/>
      <c r="C250" s="224"/>
      <c r="D250" s="500"/>
      <c r="E250" s="1146" t="s">
        <v>674</v>
      </c>
      <c r="F250" s="350"/>
      <c r="G250" s="229"/>
      <c r="H250" s="229"/>
      <c r="I250" s="267"/>
      <c r="J250" s="1197">
        <f>SUM(K250:R250)</f>
        <v>0</v>
      </c>
      <c r="K250" s="659"/>
      <c r="L250" s="659"/>
      <c r="M250" s="280"/>
      <c r="N250" s="280"/>
      <c r="O250" s="280"/>
      <c r="P250" s="280"/>
      <c r="Q250" s="280"/>
      <c r="R250" s="281"/>
      <c r="S250" s="156"/>
      <c r="T250" s="156"/>
      <c r="U250" s="156"/>
      <c r="V250" s="156"/>
      <c r="W250" s="156"/>
      <c r="X250" s="156"/>
      <c r="Y250" s="156"/>
      <c r="Z250" s="156"/>
      <c r="AA250" s="156"/>
      <c r="AB250" s="156"/>
      <c r="AC250" s="156"/>
      <c r="AD250" s="156"/>
      <c r="AE250" s="156"/>
    </row>
    <row r="251" spans="1:31" s="22" customFormat="1" ht="18" customHeight="1">
      <c r="A251" s="98">
        <v>242</v>
      </c>
      <c r="B251" s="359"/>
      <c r="C251" s="224"/>
      <c r="D251" s="500"/>
      <c r="E251" s="483" t="s">
        <v>1091</v>
      </c>
      <c r="F251" s="350"/>
      <c r="G251" s="229"/>
      <c r="H251" s="229"/>
      <c r="I251" s="267"/>
      <c r="J251" s="269">
        <f>SUM(K251:R251)</f>
        <v>22650</v>
      </c>
      <c r="K251" s="280">
        <f>SUM(K249:K250)</f>
        <v>19277</v>
      </c>
      <c r="L251" s="280">
        <f>SUM(L249:L250)</f>
        <v>3373</v>
      </c>
      <c r="M251" s="280"/>
      <c r="N251" s="280"/>
      <c r="O251" s="280"/>
      <c r="P251" s="280"/>
      <c r="Q251" s="280"/>
      <c r="R251" s="281"/>
      <c r="S251" s="156"/>
      <c r="T251" s="156"/>
      <c r="U251" s="156"/>
      <c r="V251" s="156"/>
      <c r="W251" s="156"/>
      <c r="X251" s="156"/>
      <c r="Y251" s="156"/>
      <c r="Z251" s="156"/>
      <c r="AA251" s="156"/>
      <c r="AB251" s="156"/>
      <c r="AC251" s="156"/>
      <c r="AD251" s="156"/>
      <c r="AE251" s="156"/>
    </row>
    <row r="252" spans="1:31" s="22" customFormat="1" ht="18" customHeight="1">
      <c r="A252" s="98">
        <v>243</v>
      </c>
      <c r="B252" s="359"/>
      <c r="C252" s="224">
        <v>16</v>
      </c>
      <c r="D252" s="500" t="s">
        <v>620</v>
      </c>
      <c r="E252" s="482"/>
      <c r="F252" s="350"/>
      <c r="G252" s="229"/>
      <c r="H252" s="229">
        <v>22278</v>
      </c>
      <c r="I252" s="267"/>
      <c r="J252" s="269"/>
      <c r="K252" s="280"/>
      <c r="L252" s="280"/>
      <c r="M252" s="280"/>
      <c r="N252" s="280"/>
      <c r="O252" s="280"/>
      <c r="P252" s="280"/>
      <c r="Q252" s="280"/>
      <c r="R252" s="281"/>
      <c r="S252" s="156"/>
      <c r="T252" s="156"/>
      <c r="U252" s="156"/>
      <c r="V252" s="156"/>
      <c r="W252" s="156"/>
      <c r="X252" s="156"/>
      <c r="Y252" s="156"/>
      <c r="Z252" s="156"/>
      <c r="AA252" s="156"/>
      <c r="AB252" s="156"/>
      <c r="AC252" s="156"/>
      <c r="AD252" s="156"/>
      <c r="AE252" s="156"/>
    </row>
    <row r="253" spans="1:31" s="22" customFormat="1" ht="18" customHeight="1">
      <c r="A253" s="98">
        <v>244</v>
      </c>
      <c r="B253" s="359"/>
      <c r="C253" s="224"/>
      <c r="D253" s="500"/>
      <c r="E253" s="1070" t="s">
        <v>283</v>
      </c>
      <c r="F253" s="350"/>
      <c r="G253" s="229"/>
      <c r="H253" s="229"/>
      <c r="I253" s="267"/>
      <c r="J253" s="638">
        <f>SUM(K253:R253)</f>
        <v>39749</v>
      </c>
      <c r="K253" s="659">
        <v>34415</v>
      </c>
      <c r="L253" s="659">
        <v>5334</v>
      </c>
      <c r="M253" s="280"/>
      <c r="N253" s="280"/>
      <c r="O253" s="280"/>
      <c r="P253" s="280"/>
      <c r="Q253" s="280"/>
      <c r="R253" s="281"/>
      <c r="S253" s="156"/>
      <c r="T253" s="156"/>
      <c r="U253" s="156"/>
      <c r="V253" s="156"/>
      <c r="W253" s="156"/>
      <c r="X253" s="156"/>
      <c r="Y253" s="156"/>
      <c r="Z253" s="156"/>
      <c r="AA253" s="156"/>
      <c r="AB253" s="156"/>
      <c r="AC253" s="156"/>
      <c r="AD253" s="156"/>
      <c r="AE253" s="156"/>
    </row>
    <row r="254" spans="1:31" s="22" customFormat="1" ht="18" customHeight="1">
      <c r="A254" s="98">
        <v>245</v>
      </c>
      <c r="B254" s="359"/>
      <c r="C254" s="224"/>
      <c r="D254" s="500"/>
      <c r="E254" s="483" t="s">
        <v>938</v>
      </c>
      <c r="F254" s="350"/>
      <c r="G254" s="229"/>
      <c r="H254" s="229"/>
      <c r="I254" s="267"/>
      <c r="J254" s="269">
        <f>SUM(K254:R254)</f>
        <v>39749</v>
      </c>
      <c r="K254" s="280">
        <v>34415</v>
      </c>
      <c r="L254" s="280">
        <v>5334</v>
      </c>
      <c r="M254" s="280"/>
      <c r="N254" s="280"/>
      <c r="O254" s="280"/>
      <c r="P254" s="280"/>
      <c r="Q254" s="280"/>
      <c r="R254" s="281"/>
      <c r="S254" s="156"/>
      <c r="T254" s="156"/>
      <c r="U254" s="156"/>
      <c r="V254" s="156"/>
      <c r="W254" s="156"/>
      <c r="X254" s="156"/>
      <c r="Y254" s="156"/>
      <c r="Z254" s="156"/>
      <c r="AA254" s="156"/>
      <c r="AB254" s="156"/>
      <c r="AC254" s="156"/>
      <c r="AD254" s="156"/>
      <c r="AE254" s="156"/>
    </row>
    <row r="255" spans="1:31" s="22" customFormat="1" ht="18" customHeight="1">
      <c r="A255" s="98">
        <v>246</v>
      </c>
      <c r="B255" s="359"/>
      <c r="C255" s="224"/>
      <c r="D255" s="500"/>
      <c r="E255" s="1146" t="s">
        <v>674</v>
      </c>
      <c r="F255" s="350"/>
      <c r="G255" s="229"/>
      <c r="H255" s="229"/>
      <c r="I255" s="267"/>
      <c r="J255" s="1197">
        <f>SUM(K255:R255)</f>
        <v>0</v>
      </c>
      <c r="K255" s="659"/>
      <c r="L255" s="659"/>
      <c r="M255" s="280"/>
      <c r="N255" s="280"/>
      <c r="O255" s="280"/>
      <c r="P255" s="280"/>
      <c r="Q255" s="280"/>
      <c r="R255" s="281"/>
      <c r="S255" s="156"/>
      <c r="T255" s="156"/>
      <c r="U255" s="156"/>
      <c r="V255" s="156"/>
      <c r="W255" s="156"/>
      <c r="X255" s="156"/>
      <c r="Y255" s="156"/>
      <c r="Z255" s="156"/>
      <c r="AA255" s="156"/>
      <c r="AB255" s="156"/>
      <c r="AC255" s="156"/>
      <c r="AD255" s="156"/>
      <c r="AE255" s="156"/>
    </row>
    <row r="256" spans="1:31" s="22" customFormat="1" ht="18" customHeight="1">
      <c r="A256" s="98">
        <v>247</v>
      </c>
      <c r="B256" s="359"/>
      <c r="C256" s="224"/>
      <c r="D256" s="500"/>
      <c r="E256" s="483" t="s">
        <v>1091</v>
      </c>
      <c r="F256" s="350"/>
      <c r="G256" s="229"/>
      <c r="H256" s="229"/>
      <c r="I256" s="267"/>
      <c r="J256" s="269">
        <f>SUM(K256:R256)</f>
        <v>39749</v>
      </c>
      <c r="K256" s="280">
        <f>SUM(K254:K255)</f>
        <v>34415</v>
      </c>
      <c r="L256" s="280">
        <f>SUM(L254:L255)</f>
        <v>5334</v>
      </c>
      <c r="M256" s="280"/>
      <c r="N256" s="280"/>
      <c r="O256" s="280"/>
      <c r="P256" s="280"/>
      <c r="Q256" s="280"/>
      <c r="R256" s="281"/>
      <c r="S256" s="156"/>
      <c r="T256" s="156"/>
      <c r="U256" s="156"/>
      <c r="V256" s="156"/>
      <c r="W256" s="156"/>
      <c r="X256" s="156"/>
      <c r="Y256" s="156"/>
      <c r="Z256" s="156"/>
      <c r="AA256" s="156"/>
      <c r="AB256" s="156"/>
      <c r="AC256" s="156"/>
      <c r="AD256" s="156"/>
      <c r="AE256" s="156"/>
    </row>
    <row r="257" spans="1:31" s="22" customFormat="1" ht="19.5" customHeight="1">
      <c r="A257" s="98">
        <v>248</v>
      </c>
      <c r="B257" s="359"/>
      <c r="C257" s="224">
        <v>17</v>
      </c>
      <c r="D257" s="2061" t="s">
        <v>546</v>
      </c>
      <c r="E257" s="2062"/>
      <c r="F257" s="501"/>
      <c r="G257" s="229"/>
      <c r="H257" s="229"/>
      <c r="I257" s="267">
        <v>2297</v>
      </c>
      <c r="J257" s="269"/>
      <c r="K257" s="280"/>
      <c r="L257" s="280"/>
      <c r="M257" s="280"/>
      <c r="N257" s="280"/>
      <c r="O257" s="280"/>
      <c r="P257" s="280"/>
      <c r="Q257" s="280"/>
      <c r="R257" s="281"/>
      <c r="S257" s="156"/>
      <c r="T257" s="156"/>
      <c r="U257" s="156"/>
      <c r="V257" s="156"/>
      <c r="W257" s="156"/>
      <c r="X257" s="156"/>
      <c r="Y257" s="156"/>
      <c r="Z257" s="156"/>
      <c r="AA257" s="156"/>
      <c r="AB257" s="156"/>
      <c r="AC257" s="156"/>
      <c r="AD257" s="156"/>
      <c r="AE257" s="156"/>
    </row>
    <row r="258" spans="1:31" s="598" customFormat="1" ht="18" customHeight="1">
      <c r="A258" s="98">
        <v>249</v>
      </c>
      <c r="B258" s="359"/>
      <c r="C258" s="1061"/>
      <c r="D258" s="1054"/>
      <c r="E258" s="1070" t="s">
        <v>283</v>
      </c>
      <c r="F258" s="1063"/>
      <c r="G258" s="1055"/>
      <c r="H258" s="1055"/>
      <c r="I258" s="637"/>
      <c r="J258" s="638">
        <f>SUM(K258:R258)</f>
        <v>282</v>
      </c>
      <c r="K258" s="659"/>
      <c r="L258" s="659"/>
      <c r="M258" s="659">
        <v>187</v>
      </c>
      <c r="N258" s="659"/>
      <c r="O258" s="659"/>
      <c r="P258" s="659">
        <v>95</v>
      </c>
      <c r="Q258" s="659"/>
      <c r="R258" s="660"/>
      <c r="S258" s="661"/>
      <c r="T258" s="661"/>
      <c r="U258" s="661"/>
      <c r="V258" s="661"/>
      <c r="W258" s="661"/>
      <c r="X258" s="661"/>
      <c r="Y258" s="661"/>
      <c r="Z258" s="661"/>
      <c r="AA258" s="661"/>
      <c r="AB258" s="661"/>
      <c r="AC258" s="661"/>
      <c r="AD258" s="661"/>
      <c r="AE258" s="661"/>
    </row>
    <row r="259" spans="1:31" s="598" customFormat="1" ht="18" customHeight="1">
      <c r="A259" s="98">
        <v>250</v>
      </c>
      <c r="B259" s="359"/>
      <c r="C259" s="1061"/>
      <c r="D259" s="1179"/>
      <c r="E259" s="483" t="s">
        <v>938</v>
      </c>
      <c r="F259" s="1063"/>
      <c r="G259" s="1055"/>
      <c r="H259" s="1055"/>
      <c r="I259" s="637"/>
      <c r="J259" s="269">
        <f>SUM(K259:R259)</f>
        <v>482</v>
      </c>
      <c r="K259" s="280"/>
      <c r="L259" s="280"/>
      <c r="M259" s="280">
        <v>187</v>
      </c>
      <c r="N259" s="280"/>
      <c r="O259" s="280"/>
      <c r="P259" s="280">
        <v>295</v>
      </c>
      <c r="Q259" s="659"/>
      <c r="R259" s="660"/>
      <c r="S259" s="661"/>
      <c r="T259" s="661"/>
      <c r="U259" s="661"/>
      <c r="V259" s="661"/>
      <c r="W259" s="661"/>
      <c r="X259" s="661"/>
      <c r="Y259" s="661"/>
      <c r="Z259" s="661"/>
      <c r="AA259" s="661"/>
      <c r="AB259" s="661"/>
      <c r="AC259" s="661"/>
      <c r="AD259" s="661"/>
      <c r="AE259" s="661"/>
    </row>
    <row r="260" spans="1:31" s="598" customFormat="1" ht="18" customHeight="1">
      <c r="A260" s="98">
        <v>251</v>
      </c>
      <c r="B260" s="359"/>
      <c r="C260" s="1061"/>
      <c r="D260" s="1179"/>
      <c r="E260" s="1146" t="s">
        <v>674</v>
      </c>
      <c r="F260" s="1063"/>
      <c r="G260" s="1055"/>
      <c r="H260" s="1055"/>
      <c r="I260" s="637"/>
      <c r="J260" s="1197">
        <f>SUM(K260:R260)</f>
        <v>0</v>
      </c>
      <c r="K260" s="659"/>
      <c r="L260" s="659"/>
      <c r="M260" s="659"/>
      <c r="N260" s="659"/>
      <c r="O260" s="659"/>
      <c r="P260" s="1235"/>
      <c r="Q260" s="659"/>
      <c r="R260" s="660"/>
      <c r="S260" s="661"/>
      <c r="T260" s="661"/>
      <c r="U260" s="661"/>
      <c r="V260" s="661"/>
      <c r="W260" s="661"/>
      <c r="X260" s="661"/>
      <c r="Y260" s="661"/>
      <c r="Z260" s="661"/>
      <c r="AA260" s="661"/>
      <c r="AB260" s="661"/>
      <c r="AC260" s="661"/>
      <c r="AD260" s="661"/>
      <c r="AE260" s="661"/>
    </row>
    <row r="261" spans="1:31" s="598" customFormat="1" ht="18" customHeight="1">
      <c r="A261" s="98">
        <v>252</v>
      </c>
      <c r="B261" s="359"/>
      <c r="C261" s="1061"/>
      <c r="D261" s="1179"/>
      <c r="E261" s="483" t="s">
        <v>1091</v>
      </c>
      <c r="F261" s="1063"/>
      <c r="G261" s="1055"/>
      <c r="H261" s="1055"/>
      <c r="I261" s="637"/>
      <c r="J261" s="269">
        <f>SUM(K261:R261)</f>
        <v>482</v>
      </c>
      <c r="K261" s="659"/>
      <c r="L261" s="659"/>
      <c r="M261" s="280">
        <f>SUM(M259:M260)</f>
        <v>187</v>
      </c>
      <c r="N261" s="280"/>
      <c r="O261" s="280"/>
      <c r="P261" s="280">
        <f>SUM(P259:P260)</f>
        <v>295</v>
      </c>
      <c r="Q261" s="659"/>
      <c r="R261" s="660"/>
      <c r="S261" s="661"/>
      <c r="T261" s="661"/>
      <c r="U261" s="661"/>
      <c r="V261" s="661"/>
      <c r="W261" s="661"/>
      <c r="X261" s="661"/>
      <c r="Y261" s="661"/>
      <c r="Z261" s="661"/>
      <c r="AA261" s="661"/>
      <c r="AB261" s="661"/>
      <c r="AC261" s="661"/>
      <c r="AD261" s="661"/>
      <c r="AE261" s="661"/>
    </row>
    <row r="262" spans="1:31" s="22" customFormat="1" ht="19.5" customHeight="1">
      <c r="A262" s="98">
        <v>253</v>
      </c>
      <c r="B262" s="359"/>
      <c r="C262" s="224">
        <v>18</v>
      </c>
      <c r="D262" s="2061" t="s">
        <v>42</v>
      </c>
      <c r="E262" s="2062"/>
      <c r="F262" s="501"/>
      <c r="G262" s="229"/>
      <c r="H262" s="229"/>
      <c r="I262" s="267">
        <v>36</v>
      </c>
      <c r="J262" s="269"/>
      <c r="K262" s="280"/>
      <c r="L262" s="280"/>
      <c r="M262" s="280"/>
      <c r="N262" s="280"/>
      <c r="O262" s="280"/>
      <c r="P262" s="280"/>
      <c r="Q262" s="280"/>
      <c r="R262" s="281"/>
      <c r="S262" s="156"/>
      <c r="T262" s="156"/>
      <c r="U262" s="156"/>
      <c r="V262" s="156"/>
      <c r="W262" s="156"/>
      <c r="X262" s="156"/>
      <c r="Y262" s="156"/>
      <c r="Z262" s="156"/>
      <c r="AA262" s="156"/>
      <c r="AB262" s="156"/>
      <c r="AC262" s="156"/>
      <c r="AD262" s="156"/>
      <c r="AE262" s="156"/>
    </row>
    <row r="263" spans="1:31" s="22" customFormat="1" ht="19.5" customHeight="1">
      <c r="A263" s="98">
        <v>254</v>
      </c>
      <c r="B263" s="359"/>
      <c r="C263" s="224">
        <v>19</v>
      </c>
      <c r="D263" s="2061" t="s">
        <v>446</v>
      </c>
      <c r="E263" s="2062"/>
      <c r="F263" s="501"/>
      <c r="G263" s="229"/>
      <c r="H263" s="229"/>
      <c r="I263" s="267">
        <v>2474</v>
      </c>
      <c r="J263" s="269"/>
      <c r="K263" s="280"/>
      <c r="L263" s="280"/>
      <c r="M263" s="280"/>
      <c r="N263" s="280"/>
      <c r="O263" s="280"/>
      <c r="P263" s="280"/>
      <c r="Q263" s="280"/>
      <c r="R263" s="281"/>
      <c r="S263" s="156"/>
      <c r="T263" s="156"/>
      <c r="U263" s="156"/>
      <c r="V263" s="156"/>
      <c r="W263" s="156"/>
      <c r="X263" s="156"/>
      <c r="Y263" s="156"/>
      <c r="Z263" s="156"/>
      <c r="AA263" s="156"/>
      <c r="AB263" s="156"/>
      <c r="AC263" s="156"/>
      <c r="AD263" s="156"/>
      <c r="AE263" s="156"/>
    </row>
    <row r="264" spans="1:31" s="598" customFormat="1" ht="18" customHeight="1">
      <c r="A264" s="98">
        <v>255</v>
      </c>
      <c r="B264" s="359"/>
      <c r="C264" s="1061"/>
      <c r="D264" s="1054"/>
      <c r="E264" s="1070" t="s">
        <v>283</v>
      </c>
      <c r="F264" s="1063"/>
      <c r="G264" s="1055"/>
      <c r="H264" s="1055"/>
      <c r="I264" s="637"/>
      <c r="J264" s="638">
        <f>SUM(K264:R264)</f>
        <v>625</v>
      </c>
      <c r="K264" s="659">
        <v>508</v>
      </c>
      <c r="L264" s="659">
        <v>117</v>
      </c>
      <c r="M264" s="659"/>
      <c r="N264" s="659"/>
      <c r="O264" s="659"/>
      <c r="P264" s="659"/>
      <c r="Q264" s="659"/>
      <c r="R264" s="660"/>
      <c r="S264" s="661"/>
      <c r="T264" s="661"/>
      <c r="U264" s="661"/>
      <c r="V264" s="661"/>
      <c r="W264" s="661"/>
      <c r="X264" s="661"/>
      <c r="Y264" s="661"/>
      <c r="Z264" s="661"/>
      <c r="AA264" s="661"/>
      <c r="AB264" s="661"/>
      <c r="AC264" s="661"/>
      <c r="AD264" s="661"/>
      <c r="AE264" s="661"/>
    </row>
    <row r="265" spans="1:31" s="598" customFormat="1" ht="18" customHeight="1">
      <c r="A265" s="98">
        <v>256</v>
      </c>
      <c r="B265" s="359"/>
      <c r="C265" s="1061"/>
      <c r="D265" s="1179"/>
      <c r="E265" s="483" t="s">
        <v>938</v>
      </c>
      <c r="F265" s="1063"/>
      <c r="G265" s="1055"/>
      <c r="H265" s="1055"/>
      <c r="I265" s="637"/>
      <c r="J265" s="269">
        <f>SUM(K265:R265)</f>
        <v>6289</v>
      </c>
      <c r="K265" s="280">
        <v>5412</v>
      </c>
      <c r="L265" s="280">
        <v>877</v>
      </c>
      <c r="M265" s="659"/>
      <c r="N265" s="659"/>
      <c r="O265" s="659"/>
      <c r="P265" s="659"/>
      <c r="Q265" s="659"/>
      <c r="R265" s="660"/>
      <c r="S265" s="661"/>
      <c r="T265" s="661"/>
      <c r="U265" s="661"/>
      <c r="V265" s="661"/>
      <c r="W265" s="661"/>
      <c r="X265" s="661"/>
      <c r="Y265" s="661"/>
      <c r="Z265" s="661"/>
      <c r="AA265" s="661"/>
      <c r="AB265" s="661"/>
      <c r="AC265" s="661"/>
      <c r="AD265" s="661"/>
      <c r="AE265" s="661"/>
    </row>
    <row r="266" spans="1:31" s="598" customFormat="1" ht="18" customHeight="1">
      <c r="A266" s="98">
        <v>257</v>
      </c>
      <c r="B266" s="359"/>
      <c r="C266" s="1061"/>
      <c r="D266" s="1179"/>
      <c r="E266" s="1146" t="s">
        <v>725</v>
      </c>
      <c r="F266" s="1063"/>
      <c r="G266" s="1055"/>
      <c r="H266" s="1055"/>
      <c r="I266" s="637"/>
      <c r="J266" s="1197">
        <f>SUM(K266:R266)</f>
        <v>0</v>
      </c>
      <c r="K266" s="1235"/>
      <c r="L266" s="1235"/>
      <c r="M266" s="659"/>
      <c r="N266" s="659"/>
      <c r="O266" s="659"/>
      <c r="P266" s="659"/>
      <c r="Q266" s="659"/>
      <c r="R266" s="660"/>
      <c r="S266" s="661"/>
      <c r="T266" s="661"/>
      <c r="U266" s="661"/>
      <c r="V266" s="661"/>
      <c r="W266" s="661"/>
      <c r="X266" s="661"/>
      <c r="Y266" s="661"/>
      <c r="Z266" s="661"/>
      <c r="AA266" s="661"/>
      <c r="AB266" s="661"/>
      <c r="AC266" s="661"/>
      <c r="AD266" s="661"/>
      <c r="AE266" s="661"/>
    </row>
    <row r="267" spans="1:31" s="598" customFormat="1" ht="18" customHeight="1">
      <c r="A267" s="98">
        <v>258</v>
      </c>
      <c r="B267" s="359"/>
      <c r="C267" s="1061"/>
      <c r="D267" s="1179"/>
      <c r="E267" s="483" t="s">
        <v>1091</v>
      </c>
      <c r="F267" s="1063"/>
      <c r="G267" s="1055"/>
      <c r="H267" s="1055"/>
      <c r="I267" s="637"/>
      <c r="J267" s="269">
        <f>SUM(K267:R267)</f>
        <v>6289</v>
      </c>
      <c r="K267" s="280">
        <f>SUM(K265:K266)</f>
        <v>5412</v>
      </c>
      <c r="L267" s="280">
        <f>SUM(L265:L266)</f>
        <v>877</v>
      </c>
      <c r="M267" s="659"/>
      <c r="N267" s="659"/>
      <c r="O267" s="659"/>
      <c r="P267" s="659"/>
      <c r="Q267" s="659"/>
      <c r="R267" s="660"/>
      <c r="S267" s="661"/>
      <c r="T267" s="661"/>
      <c r="U267" s="661"/>
      <c r="V267" s="661"/>
      <c r="W267" s="661"/>
      <c r="X267" s="661"/>
      <c r="Y267" s="661"/>
      <c r="Z267" s="661"/>
      <c r="AA267" s="661"/>
      <c r="AB267" s="661"/>
      <c r="AC267" s="661"/>
      <c r="AD267" s="661"/>
      <c r="AE267" s="661"/>
    </row>
    <row r="268" spans="1:31" s="22" customFormat="1" ht="19.5" customHeight="1">
      <c r="A268" s="98">
        <v>259</v>
      </c>
      <c r="B268" s="359"/>
      <c r="C268" s="224">
        <v>20</v>
      </c>
      <c r="D268" s="2061" t="s">
        <v>547</v>
      </c>
      <c r="E268" s="2062"/>
      <c r="F268" s="501"/>
      <c r="G268" s="229"/>
      <c r="H268" s="229"/>
      <c r="I268" s="267">
        <v>0</v>
      </c>
      <c r="J268" s="269"/>
      <c r="K268" s="280"/>
      <c r="L268" s="280"/>
      <c r="M268" s="280"/>
      <c r="N268" s="280"/>
      <c r="O268" s="280"/>
      <c r="P268" s="280"/>
      <c r="Q268" s="280"/>
      <c r="R268" s="281"/>
      <c r="S268" s="156"/>
      <c r="T268" s="156"/>
      <c r="U268" s="156"/>
      <c r="V268" s="156"/>
      <c r="W268" s="156"/>
      <c r="X268" s="156"/>
      <c r="Y268" s="156"/>
      <c r="Z268" s="156"/>
      <c r="AA268" s="156"/>
      <c r="AB268" s="156"/>
      <c r="AC268" s="156"/>
      <c r="AD268" s="156"/>
      <c r="AE268" s="156"/>
    </row>
    <row r="269" spans="1:31" s="598" customFormat="1" ht="18" customHeight="1">
      <c r="A269" s="98">
        <v>260</v>
      </c>
      <c r="B269" s="359"/>
      <c r="C269" s="1061"/>
      <c r="D269" s="1054"/>
      <c r="E269" s="1070" t="s">
        <v>283</v>
      </c>
      <c r="F269" s="1063"/>
      <c r="G269" s="1055"/>
      <c r="H269" s="1055"/>
      <c r="I269" s="637"/>
      <c r="J269" s="638">
        <f>SUM(K269:R269)</f>
        <v>63255</v>
      </c>
      <c r="K269" s="659">
        <v>53727</v>
      </c>
      <c r="L269" s="659">
        <v>8328</v>
      </c>
      <c r="M269" s="659">
        <v>1200</v>
      </c>
      <c r="N269" s="659"/>
      <c r="O269" s="659"/>
      <c r="P269" s="659"/>
      <c r="Q269" s="659"/>
      <c r="R269" s="660"/>
      <c r="S269" s="661"/>
      <c r="T269" s="661"/>
      <c r="U269" s="661"/>
      <c r="V269" s="661"/>
      <c r="W269" s="661"/>
      <c r="X269" s="661"/>
      <c r="Y269" s="661"/>
      <c r="Z269" s="661"/>
      <c r="AA269" s="661"/>
      <c r="AB269" s="661"/>
      <c r="AC269" s="661"/>
      <c r="AD269" s="661"/>
      <c r="AE269" s="661"/>
    </row>
    <row r="270" spans="1:31" s="598" customFormat="1" ht="18" customHeight="1">
      <c r="A270" s="98">
        <v>261</v>
      </c>
      <c r="B270" s="359"/>
      <c r="C270" s="1061"/>
      <c r="D270" s="1179"/>
      <c r="E270" s="483" t="s">
        <v>938</v>
      </c>
      <c r="F270" s="1063"/>
      <c r="G270" s="1055"/>
      <c r="H270" s="1055"/>
      <c r="I270" s="637"/>
      <c r="J270" s="269">
        <f>SUM(K270:R270)</f>
        <v>47061</v>
      </c>
      <c r="K270" s="280">
        <v>0</v>
      </c>
      <c r="L270" s="280">
        <v>0</v>
      </c>
      <c r="M270" s="280">
        <v>0</v>
      </c>
      <c r="N270" s="280"/>
      <c r="O270" s="280">
        <v>47061</v>
      </c>
      <c r="P270" s="659"/>
      <c r="Q270" s="659"/>
      <c r="R270" s="660"/>
      <c r="S270" s="661"/>
      <c r="T270" s="661"/>
      <c r="U270" s="661"/>
      <c r="V270" s="661"/>
      <c r="W270" s="661"/>
      <c r="X270" s="661"/>
      <c r="Y270" s="661"/>
      <c r="Z270" s="661"/>
      <c r="AA270" s="661"/>
      <c r="AB270" s="661"/>
      <c r="AC270" s="661"/>
      <c r="AD270" s="661"/>
      <c r="AE270" s="661"/>
    </row>
    <row r="271" spans="1:31" s="598" customFormat="1" ht="18" customHeight="1">
      <c r="A271" s="98">
        <v>262</v>
      </c>
      <c r="B271" s="359"/>
      <c r="C271" s="1061"/>
      <c r="D271" s="1179"/>
      <c r="E271" s="1146" t="s">
        <v>725</v>
      </c>
      <c r="F271" s="1063"/>
      <c r="G271" s="1055"/>
      <c r="H271" s="1055"/>
      <c r="I271" s="637"/>
      <c r="J271" s="1197">
        <f>SUM(K271:R271)</f>
        <v>0</v>
      </c>
      <c r="K271" s="1235"/>
      <c r="L271" s="1235"/>
      <c r="M271" s="1235"/>
      <c r="N271" s="1235"/>
      <c r="O271" s="1235"/>
      <c r="P271" s="659"/>
      <c r="Q271" s="659"/>
      <c r="R271" s="660"/>
      <c r="S271" s="661"/>
      <c r="T271" s="661"/>
      <c r="U271" s="661"/>
      <c r="V271" s="661"/>
      <c r="W271" s="661"/>
      <c r="X271" s="661"/>
      <c r="Y271" s="661"/>
      <c r="Z271" s="661"/>
      <c r="AA271" s="661"/>
      <c r="AB271" s="661"/>
      <c r="AC271" s="661"/>
      <c r="AD271" s="661"/>
      <c r="AE271" s="661"/>
    </row>
    <row r="272" spans="1:31" s="598" customFormat="1" ht="18" customHeight="1">
      <c r="A272" s="98">
        <v>263</v>
      </c>
      <c r="B272" s="359"/>
      <c r="C272" s="1061"/>
      <c r="D272" s="1179"/>
      <c r="E272" s="483" t="s">
        <v>1091</v>
      </c>
      <c r="F272" s="1063"/>
      <c r="G272" s="1055"/>
      <c r="H272" s="1055"/>
      <c r="I272" s="637"/>
      <c r="J272" s="269">
        <f>SUM(K272:R272)</f>
        <v>47061</v>
      </c>
      <c r="K272" s="280">
        <f>SUM(K270:K271)</f>
        <v>0</v>
      </c>
      <c r="L272" s="280">
        <f>SUM(L270:L271)</f>
        <v>0</v>
      </c>
      <c r="M272" s="280">
        <f>SUM(M270:M271)</f>
        <v>0</v>
      </c>
      <c r="N272" s="280">
        <f>SUM(N270:N271)</f>
        <v>0</v>
      </c>
      <c r="O272" s="280">
        <f>SUM(O270:O271)</f>
        <v>47061</v>
      </c>
      <c r="P272" s="659"/>
      <c r="Q272" s="659"/>
      <c r="R272" s="660"/>
      <c r="S272" s="661"/>
      <c r="T272" s="661"/>
      <c r="U272" s="661"/>
      <c r="V272" s="661"/>
      <c r="W272" s="661"/>
      <c r="X272" s="661"/>
      <c r="Y272" s="661"/>
      <c r="Z272" s="661"/>
      <c r="AA272" s="661"/>
      <c r="AB272" s="661"/>
      <c r="AC272" s="661"/>
      <c r="AD272" s="661"/>
      <c r="AE272" s="661"/>
    </row>
    <row r="273" spans="1:31" s="598" customFormat="1" ht="30" customHeight="1">
      <c r="A273" s="98">
        <v>264</v>
      </c>
      <c r="B273" s="359"/>
      <c r="C273" s="228">
        <v>21</v>
      </c>
      <c r="D273" s="2070" t="s">
        <v>898</v>
      </c>
      <c r="E273" s="2071"/>
      <c r="F273" s="1063"/>
      <c r="G273" s="1055"/>
      <c r="H273" s="1055"/>
      <c r="I273" s="637"/>
      <c r="J273" s="269"/>
      <c r="K273" s="280"/>
      <c r="L273" s="280"/>
      <c r="M273" s="280"/>
      <c r="N273" s="280"/>
      <c r="O273" s="280"/>
      <c r="P273" s="659"/>
      <c r="Q273" s="659"/>
      <c r="R273" s="660"/>
      <c r="S273" s="661"/>
      <c r="T273" s="661"/>
      <c r="U273" s="661"/>
      <c r="V273" s="661"/>
      <c r="W273" s="661"/>
      <c r="X273" s="661"/>
      <c r="Y273" s="661"/>
      <c r="Z273" s="661"/>
      <c r="AA273" s="661"/>
      <c r="AB273" s="661"/>
      <c r="AC273" s="661"/>
      <c r="AD273" s="661"/>
      <c r="AE273" s="661"/>
    </row>
    <row r="274" spans="1:31" s="598" customFormat="1" ht="19.5" customHeight="1">
      <c r="A274" s="98">
        <v>265</v>
      </c>
      <c r="B274" s="359"/>
      <c r="C274" s="228"/>
      <c r="D274" s="1970"/>
      <c r="E274" s="483" t="s">
        <v>938</v>
      </c>
      <c r="F274" s="1063"/>
      <c r="G274" s="1055"/>
      <c r="H274" s="1055"/>
      <c r="I274" s="637"/>
      <c r="J274" s="269">
        <f>SUM(K274:R274)</f>
        <v>4436</v>
      </c>
      <c r="K274" s="1200">
        <v>3840</v>
      </c>
      <c r="L274" s="1200">
        <v>596</v>
      </c>
      <c r="M274" s="280"/>
      <c r="N274" s="280"/>
      <c r="O274" s="280"/>
      <c r="P274" s="659"/>
      <c r="Q274" s="659"/>
      <c r="R274" s="660"/>
      <c r="S274" s="661"/>
      <c r="T274" s="661"/>
      <c r="U274" s="661"/>
      <c r="V274" s="661"/>
      <c r="W274" s="661"/>
      <c r="X274" s="661"/>
      <c r="Y274" s="661"/>
      <c r="Z274" s="661"/>
      <c r="AA274" s="661"/>
      <c r="AB274" s="661"/>
      <c r="AC274" s="661"/>
      <c r="AD274" s="661"/>
      <c r="AE274" s="661"/>
    </row>
    <row r="275" spans="1:31" s="598" customFormat="1" ht="18" customHeight="1">
      <c r="A275" s="98">
        <v>266</v>
      </c>
      <c r="B275" s="359"/>
      <c r="C275" s="1061"/>
      <c r="D275" s="1179"/>
      <c r="E275" s="1146" t="s">
        <v>725</v>
      </c>
      <c r="F275" s="1063"/>
      <c r="G275" s="1055"/>
      <c r="H275" s="1055"/>
      <c r="I275" s="637"/>
      <c r="J275" s="1197">
        <f>SUM(K275:R275)</f>
        <v>0</v>
      </c>
      <c r="K275" s="116"/>
      <c r="L275" s="116"/>
      <c r="M275" s="280"/>
      <c r="N275" s="280"/>
      <c r="O275" s="280"/>
      <c r="P275" s="659"/>
      <c r="Q275" s="659"/>
      <c r="R275" s="660"/>
      <c r="S275" s="661"/>
      <c r="T275" s="661"/>
      <c r="U275" s="661"/>
      <c r="V275" s="661"/>
      <c r="W275" s="661"/>
      <c r="X275" s="661"/>
      <c r="Y275" s="661"/>
      <c r="Z275" s="661"/>
      <c r="AA275" s="661"/>
      <c r="AB275" s="661"/>
      <c r="AC275" s="661"/>
      <c r="AD275" s="661"/>
      <c r="AE275" s="661"/>
    </row>
    <row r="276" spans="1:31" s="598" customFormat="1" ht="18" customHeight="1">
      <c r="A276" s="98">
        <v>267</v>
      </c>
      <c r="B276" s="359"/>
      <c r="C276" s="1061"/>
      <c r="D276" s="1179"/>
      <c r="E276" s="483" t="s">
        <v>1091</v>
      </c>
      <c r="F276" s="1063"/>
      <c r="G276" s="1055"/>
      <c r="H276" s="1055"/>
      <c r="I276" s="637"/>
      <c r="J276" s="269">
        <f>SUM(K276:R276)</f>
        <v>4436</v>
      </c>
      <c r="K276" s="1200">
        <f>SUM(K274:K275)</f>
        <v>3840</v>
      </c>
      <c r="L276" s="1200">
        <f>SUM(L274:L275)</f>
        <v>596</v>
      </c>
      <c r="M276" s="280"/>
      <c r="N276" s="280"/>
      <c r="O276" s="280"/>
      <c r="P276" s="659"/>
      <c r="Q276" s="659"/>
      <c r="R276" s="660"/>
      <c r="S276" s="661"/>
      <c r="T276" s="661"/>
      <c r="U276" s="661"/>
      <c r="V276" s="661"/>
      <c r="W276" s="661"/>
      <c r="X276" s="661"/>
      <c r="Y276" s="661"/>
      <c r="Z276" s="661"/>
      <c r="AA276" s="661"/>
      <c r="AB276" s="661"/>
      <c r="AC276" s="661"/>
      <c r="AD276" s="661"/>
      <c r="AE276" s="661"/>
    </row>
    <row r="277" spans="1:31" s="598" customFormat="1" ht="18" customHeight="1">
      <c r="A277" s="98">
        <v>268</v>
      </c>
      <c r="B277" s="359"/>
      <c r="C277" s="224">
        <v>22</v>
      </c>
      <c r="D277" s="2070" t="s">
        <v>900</v>
      </c>
      <c r="E277" s="2071"/>
      <c r="F277" s="1063"/>
      <c r="G277" s="1055"/>
      <c r="H277" s="1055"/>
      <c r="I277" s="637"/>
      <c r="J277" s="269"/>
      <c r="K277" s="1200"/>
      <c r="L277" s="1200"/>
      <c r="M277" s="280"/>
      <c r="N277" s="280"/>
      <c r="O277" s="280"/>
      <c r="P277" s="659"/>
      <c r="Q277" s="659"/>
      <c r="R277" s="660"/>
      <c r="S277" s="661"/>
      <c r="T277" s="661"/>
      <c r="U277" s="661"/>
      <c r="V277" s="661"/>
      <c r="W277" s="661"/>
      <c r="X277" s="661"/>
      <c r="Y277" s="661"/>
      <c r="Z277" s="661"/>
      <c r="AA277" s="661"/>
      <c r="AB277" s="661"/>
      <c r="AC277" s="661"/>
      <c r="AD277" s="661"/>
      <c r="AE277" s="661"/>
    </row>
    <row r="278" spans="1:31" s="598" customFormat="1" ht="18" customHeight="1">
      <c r="A278" s="98">
        <v>269</v>
      </c>
      <c r="B278" s="359"/>
      <c r="C278" s="224"/>
      <c r="D278" s="1970"/>
      <c r="E278" s="483" t="s">
        <v>938</v>
      </c>
      <c r="F278" s="1063"/>
      <c r="G278" s="1055"/>
      <c r="H278" s="1055"/>
      <c r="I278" s="637"/>
      <c r="J278" s="269">
        <f>SUM(K278:R278)</f>
        <v>19603</v>
      </c>
      <c r="K278" s="1200">
        <v>16972</v>
      </c>
      <c r="L278" s="1200">
        <v>2631</v>
      </c>
      <c r="M278" s="280"/>
      <c r="N278" s="280"/>
      <c r="O278" s="280"/>
      <c r="P278" s="659"/>
      <c r="Q278" s="659"/>
      <c r="R278" s="660"/>
      <c r="S278" s="661"/>
      <c r="T278" s="661"/>
      <c r="U278" s="661"/>
      <c r="V278" s="661"/>
      <c r="W278" s="661"/>
      <c r="X278" s="661"/>
      <c r="Y278" s="661"/>
      <c r="Z278" s="661"/>
      <c r="AA278" s="661"/>
      <c r="AB278" s="661"/>
      <c r="AC278" s="661"/>
      <c r="AD278" s="661"/>
      <c r="AE278" s="661"/>
    </row>
    <row r="279" spans="1:31" s="598" customFormat="1" ht="18" customHeight="1">
      <c r="A279" s="98">
        <v>270</v>
      </c>
      <c r="B279" s="359"/>
      <c r="C279" s="1061"/>
      <c r="D279" s="1179"/>
      <c r="E279" s="1146" t="s">
        <v>725</v>
      </c>
      <c r="F279" s="1063"/>
      <c r="G279" s="1055"/>
      <c r="H279" s="1055"/>
      <c r="I279" s="637"/>
      <c r="J279" s="1197">
        <f>SUM(K279:R279)</f>
        <v>0</v>
      </c>
      <c r="K279" s="273"/>
      <c r="L279" s="273"/>
      <c r="M279" s="280"/>
      <c r="N279" s="280"/>
      <c r="O279" s="280"/>
      <c r="P279" s="659"/>
      <c r="Q279" s="659"/>
      <c r="R279" s="660"/>
      <c r="S279" s="661"/>
      <c r="T279" s="661"/>
      <c r="U279" s="661"/>
      <c r="V279" s="661"/>
      <c r="W279" s="661"/>
      <c r="X279" s="661"/>
      <c r="Y279" s="661"/>
      <c r="Z279" s="661"/>
      <c r="AA279" s="661"/>
      <c r="AB279" s="661"/>
      <c r="AC279" s="661"/>
      <c r="AD279" s="661"/>
      <c r="AE279" s="661"/>
    </row>
    <row r="280" spans="1:31" s="598" customFormat="1" ht="18" customHeight="1">
      <c r="A280" s="98">
        <v>271</v>
      </c>
      <c r="B280" s="359"/>
      <c r="C280" s="1061"/>
      <c r="D280" s="1179"/>
      <c r="E280" s="483" t="s">
        <v>1091</v>
      </c>
      <c r="F280" s="1063"/>
      <c r="G280" s="1055"/>
      <c r="H280" s="1055"/>
      <c r="I280" s="637"/>
      <c r="J280" s="269">
        <f>SUM(K280:R280)</f>
        <v>19603</v>
      </c>
      <c r="K280" s="1200">
        <f>SUM(K278:K279)</f>
        <v>16972</v>
      </c>
      <c r="L280" s="1200">
        <f>SUM(L278:L279)</f>
        <v>2631</v>
      </c>
      <c r="M280" s="280"/>
      <c r="N280" s="280"/>
      <c r="O280" s="280"/>
      <c r="P280" s="659"/>
      <c r="Q280" s="659"/>
      <c r="R280" s="660"/>
      <c r="S280" s="661"/>
      <c r="T280" s="661"/>
      <c r="U280" s="661"/>
      <c r="V280" s="661"/>
      <c r="W280" s="661"/>
      <c r="X280" s="661"/>
      <c r="Y280" s="661"/>
      <c r="Z280" s="661"/>
      <c r="AA280" s="661"/>
      <c r="AB280" s="661"/>
      <c r="AC280" s="661"/>
      <c r="AD280" s="661"/>
      <c r="AE280" s="661"/>
    </row>
    <row r="281" spans="1:31" s="598" customFormat="1" ht="31.5" customHeight="1">
      <c r="A281" s="98">
        <v>272</v>
      </c>
      <c r="B281" s="359"/>
      <c r="C281" s="228">
        <v>23</v>
      </c>
      <c r="D281" s="2070" t="s">
        <v>448</v>
      </c>
      <c r="E281" s="2071"/>
      <c r="F281" s="1063"/>
      <c r="G281" s="1055"/>
      <c r="H281" s="1055"/>
      <c r="I281" s="637"/>
      <c r="J281" s="269"/>
      <c r="K281" s="1200"/>
      <c r="L281" s="1200"/>
      <c r="M281" s="280"/>
      <c r="N281" s="280"/>
      <c r="O281" s="280"/>
      <c r="P281" s="659"/>
      <c r="Q281" s="659"/>
      <c r="R281" s="660"/>
      <c r="S281" s="661"/>
      <c r="T281" s="661"/>
      <c r="U281" s="661"/>
      <c r="V281" s="661"/>
      <c r="W281" s="661"/>
      <c r="X281" s="661"/>
      <c r="Y281" s="661"/>
      <c r="Z281" s="661"/>
      <c r="AA281" s="661"/>
      <c r="AB281" s="661"/>
      <c r="AC281" s="661"/>
      <c r="AD281" s="661"/>
      <c r="AE281" s="661"/>
    </row>
    <row r="282" spans="1:31" s="598" customFormat="1" ht="18" customHeight="1">
      <c r="A282" s="98">
        <v>273</v>
      </c>
      <c r="B282" s="359"/>
      <c r="C282" s="1061"/>
      <c r="D282" s="1179"/>
      <c r="E282" s="1146" t="s">
        <v>1006</v>
      </c>
      <c r="F282" s="1063"/>
      <c r="G282" s="1055"/>
      <c r="H282" s="1055"/>
      <c r="I282" s="637"/>
      <c r="J282" s="1197">
        <f>SUM(K282:R282)</f>
        <v>2030</v>
      </c>
      <c r="K282" s="273">
        <v>1758</v>
      </c>
      <c r="L282" s="273">
        <v>272</v>
      </c>
      <c r="M282" s="280"/>
      <c r="N282" s="280"/>
      <c r="O282" s="280"/>
      <c r="P282" s="659"/>
      <c r="Q282" s="659"/>
      <c r="R282" s="660"/>
      <c r="S282" s="661"/>
      <c r="T282" s="661"/>
      <c r="U282" s="661"/>
      <c r="V282" s="661"/>
      <c r="W282" s="661"/>
      <c r="X282" s="661"/>
      <c r="Y282" s="661"/>
      <c r="Z282" s="661"/>
      <c r="AA282" s="661"/>
      <c r="AB282" s="661"/>
      <c r="AC282" s="661"/>
      <c r="AD282" s="661"/>
      <c r="AE282" s="661"/>
    </row>
    <row r="283" spans="1:31" s="598" customFormat="1" ht="18" customHeight="1">
      <c r="A283" s="98">
        <v>274</v>
      </c>
      <c r="B283" s="359"/>
      <c r="C283" s="1061"/>
      <c r="D283" s="1179"/>
      <c r="E283" s="483" t="s">
        <v>1091</v>
      </c>
      <c r="F283" s="1063"/>
      <c r="G283" s="1055"/>
      <c r="H283" s="1055"/>
      <c r="I283" s="637"/>
      <c r="J283" s="269">
        <f>SUM(K283:R283)</f>
        <v>2030</v>
      </c>
      <c r="K283" s="1200">
        <f>SUM(K282)</f>
        <v>1758</v>
      </c>
      <c r="L283" s="1200">
        <f>SUM(L282)</f>
        <v>272</v>
      </c>
      <c r="M283" s="280"/>
      <c r="N283" s="280"/>
      <c r="O283" s="280"/>
      <c r="P283" s="659"/>
      <c r="Q283" s="659"/>
      <c r="R283" s="660"/>
      <c r="S283" s="661"/>
      <c r="T283" s="661"/>
      <c r="U283" s="661"/>
      <c r="V283" s="661"/>
      <c r="W283" s="661"/>
      <c r="X283" s="661"/>
      <c r="Y283" s="661"/>
      <c r="Z283" s="661"/>
      <c r="AA283" s="661"/>
      <c r="AB283" s="661"/>
      <c r="AC283" s="661"/>
      <c r="AD283" s="661"/>
      <c r="AE283" s="661"/>
    </row>
    <row r="284" spans="1:31" s="598" customFormat="1" ht="18" customHeight="1">
      <c r="A284" s="98">
        <v>275</v>
      </c>
      <c r="B284" s="359"/>
      <c r="C284" s="224">
        <v>24</v>
      </c>
      <c r="D284" s="2061" t="s">
        <v>1029</v>
      </c>
      <c r="E284" s="2062"/>
      <c r="F284" s="1063"/>
      <c r="G284" s="1055"/>
      <c r="H284" s="1055"/>
      <c r="I284" s="637"/>
      <c r="J284" s="269"/>
      <c r="K284" s="1200"/>
      <c r="L284" s="1200"/>
      <c r="M284" s="280"/>
      <c r="N284" s="280"/>
      <c r="O284" s="280"/>
      <c r="P284" s="659"/>
      <c r="Q284" s="659"/>
      <c r="R284" s="660"/>
      <c r="S284" s="661"/>
      <c r="T284" s="661"/>
      <c r="U284" s="661"/>
      <c r="V284" s="661"/>
      <c r="W284" s="661"/>
      <c r="X284" s="661"/>
      <c r="Y284" s="661"/>
      <c r="Z284" s="661"/>
      <c r="AA284" s="661"/>
      <c r="AB284" s="661"/>
      <c r="AC284" s="661"/>
      <c r="AD284" s="661"/>
      <c r="AE284" s="661"/>
    </row>
    <row r="285" spans="1:31" s="598" customFormat="1" ht="18" customHeight="1">
      <c r="A285" s="98">
        <v>276</v>
      </c>
      <c r="B285" s="359"/>
      <c r="C285" s="1061"/>
      <c r="D285" s="1179"/>
      <c r="E285" s="1146" t="s">
        <v>725</v>
      </c>
      <c r="F285" s="1063"/>
      <c r="G285" s="1055"/>
      <c r="H285" s="1055"/>
      <c r="I285" s="637"/>
      <c r="J285" s="1197">
        <f>SUM(K285:R285)</f>
        <v>3000</v>
      </c>
      <c r="K285" s="273">
        <v>2597</v>
      </c>
      <c r="L285" s="273">
        <v>403</v>
      </c>
      <c r="M285" s="280"/>
      <c r="N285" s="280"/>
      <c r="O285" s="280"/>
      <c r="P285" s="659"/>
      <c r="Q285" s="659"/>
      <c r="R285" s="660"/>
      <c r="S285" s="661"/>
      <c r="T285" s="661"/>
      <c r="U285" s="661"/>
      <c r="V285" s="661"/>
      <c r="W285" s="661"/>
      <c r="X285" s="661"/>
      <c r="Y285" s="661"/>
      <c r="Z285" s="661"/>
      <c r="AA285" s="661"/>
      <c r="AB285" s="661"/>
      <c r="AC285" s="661"/>
      <c r="AD285" s="661"/>
      <c r="AE285" s="661"/>
    </row>
    <row r="286" spans="1:31" s="598" customFormat="1" ht="18" customHeight="1">
      <c r="A286" s="98">
        <v>277</v>
      </c>
      <c r="B286" s="359"/>
      <c r="C286" s="1061"/>
      <c r="D286" s="1179"/>
      <c r="E286" s="483" t="s">
        <v>1091</v>
      </c>
      <c r="F286" s="1063"/>
      <c r="G286" s="1055"/>
      <c r="H286" s="1055"/>
      <c r="I286" s="637"/>
      <c r="J286" s="269">
        <f>SUM(K286:R286)</f>
        <v>3000</v>
      </c>
      <c r="K286" s="1200">
        <f>SUM(K285)</f>
        <v>2597</v>
      </c>
      <c r="L286" s="1200">
        <f>SUM(L285)</f>
        <v>403</v>
      </c>
      <c r="M286" s="280"/>
      <c r="N286" s="280"/>
      <c r="O286" s="280"/>
      <c r="P286" s="659"/>
      <c r="Q286" s="659"/>
      <c r="R286" s="660"/>
      <c r="S286" s="661"/>
      <c r="T286" s="661"/>
      <c r="U286" s="661"/>
      <c r="V286" s="661"/>
      <c r="W286" s="661"/>
      <c r="X286" s="661"/>
      <c r="Y286" s="661"/>
      <c r="Z286" s="661"/>
      <c r="AA286" s="661"/>
      <c r="AB286" s="661"/>
      <c r="AC286" s="661"/>
      <c r="AD286" s="661"/>
      <c r="AE286" s="661"/>
    </row>
    <row r="287" spans="1:31" s="598" customFormat="1" ht="18" customHeight="1">
      <c r="A287" s="98">
        <v>278</v>
      </c>
      <c r="B287" s="359"/>
      <c r="C287" s="224">
        <v>25</v>
      </c>
      <c r="D287" s="2061" t="s">
        <v>1036</v>
      </c>
      <c r="E287" s="2062"/>
      <c r="F287" s="1063"/>
      <c r="G287" s="1055"/>
      <c r="H287" s="1055"/>
      <c r="I287" s="637"/>
      <c r="J287" s="269"/>
      <c r="K287" s="1200"/>
      <c r="L287" s="1200"/>
      <c r="M287" s="280"/>
      <c r="N287" s="280"/>
      <c r="O287" s="280"/>
      <c r="P287" s="659"/>
      <c r="Q287" s="659"/>
      <c r="R287" s="660"/>
      <c r="S287" s="661"/>
      <c r="T287" s="661"/>
      <c r="U287" s="661"/>
      <c r="V287" s="661"/>
      <c r="W287" s="661"/>
      <c r="X287" s="661"/>
      <c r="Y287" s="661"/>
      <c r="Z287" s="661"/>
      <c r="AA287" s="661"/>
      <c r="AB287" s="661"/>
      <c r="AC287" s="661"/>
      <c r="AD287" s="661"/>
      <c r="AE287" s="661"/>
    </row>
    <row r="288" spans="1:31" s="598" customFormat="1" ht="18" customHeight="1">
      <c r="A288" s="98">
        <v>279</v>
      </c>
      <c r="B288" s="359"/>
      <c r="C288" s="1061"/>
      <c r="D288" s="1179"/>
      <c r="E288" s="1146" t="s">
        <v>725</v>
      </c>
      <c r="F288" s="1063"/>
      <c r="G288" s="1055"/>
      <c r="H288" s="1055"/>
      <c r="I288" s="637"/>
      <c r="J288" s="1197">
        <f>SUM(K288:R288)</f>
        <v>6504</v>
      </c>
      <c r="K288" s="273">
        <v>5559</v>
      </c>
      <c r="L288" s="273">
        <v>945</v>
      </c>
      <c r="M288" s="280"/>
      <c r="N288" s="280"/>
      <c r="O288" s="280"/>
      <c r="P288" s="659"/>
      <c r="Q288" s="659"/>
      <c r="R288" s="660"/>
      <c r="S288" s="661"/>
      <c r="T288" s="661"/>
      <c r="U288" s="661"/>
      <c r="V288" s="661"/>
      <c r="W288" s="661"/>
      <c r="X288" s="661"/>
      <c r="Y288" s="661"/>
      <c r="Z288" s="661"/>
      <c r="AA288" s="661"/>
      <c r="AB288" s="661"/>
      <c r="AC288" s="661"/>
      <c r="AD288" s="661"/>
      <c r="AE288" s="661"/>
    </row>
    <row r="289" spans="1:31" s="598" customFormat="1" ht="18" customHeight="1">
      <c r="A289" s="98">
        <v>280</v>
      </c>
      <c r="B289" s="359"/>
      <c r="C289" s="1061"/>
      <c r="D289" s="1179"/>
      <c r="E289" s="483" t="s">
        <v>1091</v>
      </c>
      <c r="F289" s="1063"/>
      <c r="G289" s="1055"/>
      <c r="H289" s="1055"/>
      <c r="I289" s="637"/>
      <c r="J289" s="269">
        <f>SUM(K289:R289)</f>
        <v>6504</v>
      </c>
      <c r="K289" s="1200">
        <f>SUM(K288)</f>
        <v>5559</v>
      </c>
      <c r="L289" s="1200">
        <f>SUM(L288)</f>
        <v>945</v>
      </c>
      <c r="M289" s="280"/>
      <c r="N289" s="280"/>
      <c r="O289" s="280"/>
      <c r="P289" s="659"/>
      <c r="Q289" s="659"/>
      <c r="R289" s="660"/>
      <c r="S289" s="661"/>
      <c r="T289" s="661"/>
      <c r="U289" s="661"/>
      <c r="V289" s="661"/>
      <c r="W289" s="661"/>
      <c r="X289" s="661"/>
      <c r="Y289" s="661"/>
      <c r="Z289" s="661"/>
      <c r="AA289" s="661"/>
      <c r="AB289" s="661"/>
      <c r="AC289" s="661"/>
      <c r="AD289" s="661"/>
      <c r="AE289" s="661"/>
    </row>
    <row r="290" spans="1:31" s="32" customFormat="1" ht="30" customHeight="1">
      <c r="A290" s="98">
        <v>281</v>
      </c>
      <c r="B290" s="359"/>
      <c r="C290" s="228">
        <v>26</v>
      </c>
      <c r="D290" s="2070" t="s">
        <v>402</v>
      </c>
      <c r="E290" s="2071"/>
      <c r="F290" s="350"/>
      <c r="G290" s="229"/>
      <c r="H290" s="229">
        <v>13852</v>
      </c>
      <c r="I290" s="267"/>
      <c r="J290" s="269"/>
      <c r="K290" s="265"/>
      <c r="L290" s="265"/>
      <c r="M290" s="280"/>
      <c r="N290" s="280"/>
      <c r="O290" s="280"/>
      <c r="P290" s="280"/>
      <c r="Q290" s="280"/>
      <c r="R290" s="281"/>
      <c r="S290" s="201"/>
      <c r="T290" s="201"/>
      <c r="U290" s="201"/>
      <c r="V290" s="201"/>
      <c r="W290" s="201"/>
      <c r="X290" s="201"/>
      <c r="Y290" s="201"/>
      <c r="Z290" s="201"/>
      <c r="AA290" s="201"/>
      <c r="AB290" s="201"/>
      <c r="AC290" s="201"/>
      <c r="AD290" s="201"/>
      <c r="AE290" s="201"/>
    </row>
    <row r="291" spans="1:31" s="22" customFormat="1" ht="19.5" customHeight="1">
      <c r="A291" s="98">
        <v>282</v>
      </c>
      <c r="B291" s="359"/>
      <c r="C291" s="224">
        <v>27</v>
      </c>
      <c r="D291" s="2061" t="s">
        <v>343</v>
      </c>
      <c r="E291" s="2062"/>
      <c r="F291" s="350"/>
      <c r="G291" s="229">
        <v>3536</v>
      </c>
      <c r="H291" s="229"/>
      <c r="I291" s="267"/>
      <c r="J291" s="269"/>
      <c r="K291" s="280"/>
      <c r="L291" s="280"/>
      <c r="M291" s="280"/>
      <c r="N291" s="280"/>
      <c r="O291" s="280"/>
      <c r="P291" s="280"/>
      <c r="Q291" s="280"/>
      <c r="R291" s="281"/>
      <c r="S291" s="156"/>
      <c r="T291" s="156"/>
      <c r="U291" s="156"/>
      <c r="V291" s="156"/>
      <c r="W291" s="156"/>
      <c r="X291" s="156"/>
      <c r="Y291" s="156"/>
      <c r="Z291" s="156"/>
      <c r="AA291" s="156"/>
      <c r="AB291" s="156"/>
      <c r="AC291" s="156"/>
      <c r="AD291" s="156"/>
      <c r="AE291" s="156"/>
    </row>
    <row r="292" spans="1:31" s="22" customFormat="1" ht="30" customHeight="1">
      <c r="A292" s="98">
        <v>283</v>
      </c>
      <c r="B292" s="359"/>
      <c r="C292" s="228">
        <v>28</v>
      </c>
      <c r="D292" s="2145" t="s">
        <v>344</v>
      </c>
      <c r="E292" s="2146"/>
      <c r="F292" s="501"/>
      <c r="G292" s="229">
        <v>2506</v>
      </c>
      <c r="H292" s="229"/>
      <c r="I292" s="267"/>
      <c r="J292" s="269"/>
      <c r="K292" s="280"/>
      <c r="L292" s="280"/>
      <c r="M292" s="280"/>
      <c r="N292" s="280"/>
      <c r="O292" s="280"/>
      <c r="P292" s="280"/>
      <c r="Q292" s="280"/>
      <c r="R292" s="281"/>
      <c r="S292" s="156"/>
      <c r="T292" s="156"/>
      <c r="U292" s="156"/>
      <c r="V292" s="156"/>
      <c r="W292" s="156"/>
      <c r="X292" s="156"/>
      <c r="Y292" s="156"/>
      <c r="Z292" s="156"/>
      <c r="AA292" s="156"/>
      <c r="AB292" s="156"/>
      <c r="AC292" s="156"/>
      <c r="AD292" s="156"/>
      <c r="AE292" s="156"/>
    </row>
    <row r="293" spans="1:31" s="22" customFormat="1" ht="19.5" customHeight="1">
      <c r="A293" s="98">
        <v>284</v>
      </c>
      <c r="B293" s="359"/>
      <c r="C293" s="228">
        <v>29</v>
      </c>
      <c r="D293" s="2061" t="s">
        <v>361</v>
      </c>
      <c r="E293" s="2062"/>
      <c r="F293" s="244"/>
      <c r="G293" s="229"/>
      <c r="H293" s="229">
        <v>482</v>
      </c>
      <c r="I293" s="267">
        <v>0</v>
      </c>
      <c r="J293" s="269"/>
      <c r="K293" s="280"/>
      <c r="L293" s="280"/>
      <c r="M293" s="280"/>
      <c r="N293" s="280"/>
      <c r="O293" s="280"/>
      <c r="P293" s="280"/>
      <c r="Q293" s="280"/>
      <c r="R293" s="281"/>
      <c r="S293" s="156"/>
      <c r="T293" s="156"/>
      <c r="U293" s="156"/>
      <c r="V293" s="156"/>
      <c r="W293" s="156"/>
      <c r="X293" s="156"/>
      <c r="Y293" s="156"/>
      <c r="Z293" s="156"/>
      <c r="AA293" s="156"/>
      <c r="AB293" s="156"/>
      <c r="AC293" s="156"/>
      <c r="AD293" s="156"/>
      <c r="AE293" s="156"/>
    </row>
    <row r="294" spans="1:31" s="22" customFormat="1" ht="19.5" customHeight="1">
      <c r="A294" s="98">
        <v>285</v>
      </c>
      <c r="B294" s="359"/>
      <c r="C294" s="224">
        <v>30</v>
      </c>
      <c r="D294" s="2061" t="s">
        <v>373</v>
      </c>
      <c r="E294" s="2062"/>
      <c r="F294" s="244"/>
      <c r="G294" s="229">
        <v>1541</v>
      </c>
      <c r="H294" s="229"/>
      <c r="I294" s="267"/>
      <c r="J294" s="269"/>
      <c r="K294" s="280"/>
      <c r="L294" s="280"/>
      <c r="M294" s="280"/>
      <c r="N294" s="280"/>
      <c r="O294" s="280"/>
      <c r="P294" s="280"/>
      <c r="Q294" s="280"/>
      <c r="R294" s="281"/>
      <c r="S294" s="156"/>
      <c r="T294" s="156"/>
      <c r="U294" s="156"/>
      <c r="V294" s="156"/>
      <c r="W294" s="156"/>
      <c r="X294" s="156"/>
      <c r="Y294" s="156"/>
      <c r="Z294" s="156"/>
      <c r="AA294" s="156"/>
      <c r="AB294" s="156"/>
      <c r="AC294" s="156"/>
      <c r="AD294" s="156"/>
      <c r="AE294" s="156"/>
    </row>
    <row r="295" spans="1:31" s="22" customFormat="1" ht="30" customHeight="1">
      <c r="A295" s="98">
        <v>286</v>
      </c>
      <c r="B295" s="359"/>
      <c r="C295" s="228">
        <v>31</v>
      </c>
      <c r="D295" s="2145" t="s">
        <v>374</v>
      </c>
      <c r="E295" s="2146"/>
      <c r="F295" s="244"/>
      <c r="G295" s="229">
        <v>13</v>
      </c>
      <c r="H295" s="229">
        <v>62</v>
      </c>
      <c r="I295" s="267">
        <v>0</v>
      </c>
      <c r="J295" s="269"/>
      <c r="K295" s="280"/>
      <c r="L295" s="280"/>
      <c r="M295" s="280"/>
      <c r="N295" s="280"/>
      <c r="O295" s="280"/>
      <c r="P295" s="280"/>
      <c r="Q295" s="280"/>
      <c r="R295" s="281"/>
      <c r="S295" s="156"/>
      <c r="T295" s="156"/>
      <c r="U295" s="156"/>
      <c r="V295" s="156"/>
      <c r="W295" s="156"/>
      <c r="X295" s="156"/>
      <c r="Y295" s="156"/>
      <c r="Z295" s="156"/>
      <c r="AA295" s="156"/>
      <c r="AB295" s="156"/>
      <c r="AC295" s="156"/>
      <c r="AD295" s="156"/>
      <c r="AE295" s="156"/>
    </row>
    <row r="296" spans="1:31" s="22" customFormat="1" ht="19.5" customHeight="1">
      <c r="A296" s="98">
        <v>287</v>
      </c>
      <c r="B296" s="359"/>
      <c r="C296" s="228">
        <v>32</v>
      </c>
      <c r="D296" s="2061" t="s">
        <v>420</v>
      </c>
      <c r="E296" s="2062"/>
      <c r="F296" s="244"/>
      <c r="G296" s="229">
        <v>14715</v>
      </c>
      <c r="H296" s="229"/>
      <c r="I296" s="267"/>
      <c r="J296" s="269"/>
      <c r="K296" s="280"/>
      <c r="L296" s="280"/>
      <c r="M296" s="280"/>
      <c r="N296" s="280"/>
      <c r="O296" s="280"/>
      <c r="P296" s="280"/>
      <c r="Q296" s="280"/>
      <c r="R296" s="281"/>
      <c r="S296" s="156"/>
      <c r="T296" s="156"/>
      <c r="U296" s="156"/>
      <c r="V296" s="156"/>
      <c r="W296" s="156"/>
      <c r="X296" s="156"/>
      <c r="Y296" s="156"/>
      <c r="Z296" s="156"/>
      <c r="AA296" s="156"/>
      <c r="AB296" s="156"/>
      <c r="AC296" s="156"/>
      <c r="AD296" s="156"/>
      <c r="AE296" s="156"/>
    </row>
    <row r="297" spans="1:31" s="22" customFormat="1" ht="19.5" customHeight="1">
      <c r="A297" s="98">
        <v>288</v>
      </c>
      <c r="B297" s="359"/>
      <c r="C297" s="224">
        <v>33</v>
      </c>
      <c r="D297" s="2061" t="s">
        <v>414</v>
      </c>
      <c r="E297" s="2062"/>
      <c r="F297" s="244"/>
      <c r="G297" s="229">
        <v>16537</v>
      </c>
      <c r="H297" s="229"/>
      <c r="I297" s="267">
        <v>0</v>
      </c>
      <c r="J297" s="269"/>
      <c r="K297" s="280"/>
      <c r="L297" s="280"/>
      <c r="M297" s="280"/>
      <c r="N297" s="280"/>
      <c r="O297" s="280"/>
      <c r="P297" s="280"/>
      <c r="Q297" s="280"/>
      <c r="R297" s="281"/>
      <c r="S297" s="156"/>
      <c r="T297" s="156"/>
      <c r="U297" s="156"/>
      <c r="V297" s="156"/>
      <c r="W297" s="156"/>
      <c r="X297" s="156"/>
      <c r="Y297" s="156"/>
      <c r="Z297" s="156"/>
      <c r="AA297" s="156"/>
      <c r="AB297" s="156"/>
      <c r="AC297" s="156"/>
      <c r="AD297" s="156"/>
      <c r="AE297" s="156"/>
    </row>
    <row r="298" spans="1:31" s="22" customFormat="1" ht="18" customHeight="1">
      <c r="A298" s="98">
        <v>289</v>
      </c>
      <c r="B298" s="359"/>
      <c r="C298" s="228">
        <v>34</v>
      </c>
      <c r="D298" s="2061" t="s">
        <v>427</v>
      </c>
      <c r="E298" s="2062"/>
      <c r="F298" s="350"/>
      <c r="G298" s="229">
        <v>329</v>
      </c>
      <c r="H298" s="229"/>
      <c r="I298" s="267"/>
      <c r="J298" s="269"/>
      <c r="K298" s="280"/>
      <c r="L298" s="280"/>
      <c r="M298" s="280"/>
      <c r="N298" s="280"/>
      <c r="O298" s="280"/>
      <c r="P298" s="280"/>
      <c r="Q298" s="280"/>
      <c r="R298" s="281"/>
      <c r="S298" s="156"/>
      <c r="T298" s="156"/>
      <c r="U298" s="156"/>
      <c r="V298" s="156"/>
      <c r="W298" s="156"/>
      <c r="X298" s="156"/>
      <c r="Y298" s="156"/>
      <c r="Z298" s="156"/>
      <c r="AA298" s="156"/>
      <c r="AB298" s="156"/>
      <c r="AC298" s="156"/>
      <c r="AD298" s="156"/>
      <c r="AE298" s="156"/>
    </row>
    <row r="299" spans="1:31" s="22" customFormat="1" ht="30" customHeight="1">
      <c r="A299" s="98">
        <v>290</v>
      </c>
      <c r="B299" s="359"/>
      <c r="C299" s="228">
        <v>35</v>
      </c>
      <c r="D299" s="2070" t="s">
        <v>375</v>
      </c>
      <c r="E299" s="2071"/>
      <c r="F299" s="350"/>
      <c r="G299" s="229">
        <v>11</v>
      </c>
      <c r="H299" s="229"/>
      <c r="I299" s="267"/>
      <c r="J299" s="269"/>
      <c r="K299" s="280"/>
      <c r="L299" s="280"/>
      <c r="M299" s="280"/>
      <c r="N299" s="280"/>
      <c r="O299" s="280"/>
      <c r="P299" s="280"/>
      <c r="Q299" s="280"/>
      <c r="R299" s="281"/>
      <c r="S299" s="156"/>
      <c r="T299" s="156"/>
      <c r="U299" s="156"/>
      <c r="V299" s="156"/>
      <c r="W299" s="156"/>
      <c r="X299" s="156"/>
      <c r="Y299" s="156"/>
      <c r="Z299" s="156"/>
      <c r="AA299" s="156"/>
      <c r="AB299" s="156"/>
      <c r="AC299" s="156"/>
      <c r="AD299" s="156"/>
      <c r="AE299" s="156"/>
    </row>
    <row r="300" spans="1:31" s="22" customFormat="1" ht="18" customHeight="1">
      <c r="A300" s="98">
        <v>291</v>
      </c>
      <c r="B300" s="359"/>
      <c r="C300" s="224">
        <v>36</v>
      </c>
      <c r="D300" s="2061" t="s">
        <v>421</v>
      </c>
      <c r="E300" s="2062"/>
      <c r="F300" s="350"/>
      <c r="G300" s="229">
        <v>14897</v>
      </c>
      <c r="H300" s="229"/>
      <c r="I300" s="267">
        <v>16</v>
      </c>
      <c r="J300" s="269"/>
      <c r="K300" s="280"/>
      <c r="L300" s="280"/>
      <c r="M300" s="280"/>
      <c r="N300" s="280"/>
      <c r="O300" s="280"/>
      <c r="P300" s="280"/>
      <c r="Q300" s="280"/>
      <c r="R300" s="281"/>
      <c r="S300" s="156"/>
      <c r="T300" s="156"/>
      <c r="U300" s="156"/>
      <c r="V300" s="156"/>
      <c r="W300" s="156"/>
      <c r="X300" s="156"/>
      <c r="Y300" s="156"/>
      <c r="Z300" s="156"/>
      <c r="AA300" s="156"/>
      <c r="AB300" s="156"/>
      <c r="AC300" s="156"/>
      <c r="AD300" s="156"/>
      <c r="AE300" s="156"/>
    </row>
    <row r="301" spans="1:31" s="22" customFormat="1" ht="19.5" customHeight="1" thickBot="1">
      <c r="A301" s="98">
        <v>292</v>
      </c>
      <c r="B301" s="359"/>
      <c r="C301" s="228">
        <v>37</v>
      </c>
      <c r="D301" s="2107" t="s">
        <v>442</v>
      </c>
      <c r="E301" s="2108"/>
      <c r="F301" s="501"/>
      <c r="G301" s="229"/>
      <c r="H301" s="229"/>
      <c r="I301" s="267">
        <v>250</v>
      </c>
      <c r="J301" s="269"/>
      <c r="K301" s="280"/>
      <c r="L301" s="280"/>
      <c r="M301" s="280"/>
      <c r="N301" s="280"/>
      <c r="O301" s="280"/>
      <c r="P301" s="280"/>
      <c r="Q301" s="280"/>
      <c r="R301" s="281"/>
      <c r="S301" s="156"/>
      <c r="T301" s="156"/>
      <c r="U301" s="156"/>
      <c r="V301" s="156"/>
      <c r="W301" s="156"/>
      <c r="X301" s="156"/>
      <c r="Y301" s="156"/>
      <c r="Z301" s="156"/>
      <c r="AA301" s="156"/>
      <c r="AB301" s="156"/>
      <c r="AC301" s="156"/>
      <c r="AD301" s="156"/>
      <c r="AE301" s="156"/>
    </row>
    <row r="302" spans="1:31" s="31" customFormat="1" ht="22.5" customHeight="1" thickTop="1">
      <c r="A302" s="98">
        <v>293</v>
      </c>
      <c r="B302" s="343"/>
      <c r="C302" s="2139" t="s">
        <v>408</v>
      </c>
      <c r="D302" s="2140"/>
      <c r="E302" s="2141"/>
      <c r="F302" s="655"/>
      <c r="G302" s="527">
        <f>SUM(G181:G301)</f>
        <v>1582989</v>
      </c>
      <c r="H302" s="527">
        <f>SUM(H181:H301)</f>
        <v>1675561</v>
      </c>
      <c r="I302" s="527">
        <f>SUM(I181:I301)</f>
        <v>1490907</v>
      </c>
      <c r="J302" s="530"/>
      <c r="K302" s="532"/>
      <c r="L302" s="532"/>
      <c r="M302" s="532"/>
      <c r="N302" s="532"/>
      <c r="O302" s="532"/>
      <c r="P302" s="532"/>
      <c r="Q302" s="532"/>
      <c r="R302" s="533"/>
      <c r="S302" s="197"/>
      <c r="T302" s="197"/>
      <c r="U302" s="197"/>
      <c r="V302" s="197"/>
      <c r="W302" s="197"/>
      <c r="X302" s="197"/>
      <c r="Y302" s="197"/>
      <c r="Z302" s="197"/>
      <c r="AA302" s="197"/>
      <c r="AB302" s="197"/>
      <c r="AC302" s="197"/>
      <c r="AD302" s="197"/>
      <c r="AE302" s="197"/>
    </row>
    <row r="303" spans="1:31" s="598" customFormat="1" ht="18" customHeight="1">
      <c r="A303" s="98">
        <v>294</v>
      </c>
      <c r="B303" s="627"/>
      <c r="C303" s="604"/>
      <c r="D303" s="645"/>
      <c r="E303" s="1220" t="s">
        <v>283</v>
      </c>
      <c r="F303" s="1221"/>
      <c r="G303" s="619"/>
      <c r="H303" s="619"/>
      <c r="I303" s="646"/>
      <c r="J303" s="647">
        <f>SUM(K303:R303)</f>
        <v>1889184</v>
      </c>
      <c r="K303" s="1218">
        <f aca="true" t="shared" si="14" ref="K303:R303">SUM(K183,K188,K193,K198,K203,K208,K213,K218,K223,K258,K264,K269)+K253+K248+K239+K234+K229</f>
        <v>1327593</v>
      </c>
      <c r="L303" s="1218">
        <f t="shared" si="14"/>
        <v>220346</v>
      </c>
      <c r="M303" s="1218">
        <f t="shared" si="14"/>
        <v>307239</v>
      </c>
      <c r="N303" s="1218">
        <f t="shared" si="14"/>
        <v>0</v>
      </c>
      <c r="O303" s="1218">
        <f t="shared" si="14"/>
        <v>0</v>
      </c>
      <c r="P303" s="1218">
        <f t="shared" si="14"/>
        <v>34006</v>
      </c>
      <c r="Q303" s="1218">
        <f t="shared" si="14"/>
        <v>0</v>
      </c>
      <c r="R303" s="1219">
        <f t="shared" si="14"/>
        <v>0</v>
      </c>
      <c r="S303" s="661"/>
      <c r="T303" s="661"/>
      <c r="U303" s="661"/>
      <c r="V303" s="661"/>
      <c r="W303" s="661"/>
      <c r="X303" s="661"/>
      <c r="Y303" s="661"/>
      <c r="Z303" s="661"/>
      <c r="AA303" s="661"/>
      <c r="AB303" s="661"/>
      <c r="AC303" s="661"/>
      <c r="AD303" s="661"/>
      <c r="AE303" s="661"/>
    </row>
    <row r="304" spans="1:31" s="598" customFormat="1" ht="18" customHeight="1">
      <c r="A304" s="98">
        <v>295</v>
      </c>
      <c r="B304" s="1647"/>
      <c r="C304" s="604"/>
      <c r="D304" s="1648"/>
      <c r="E304" s="483" t="s">
        <v>938</v>
      </c>
      <c r="F304" s="1221"/>
      <c r="G304" s="619"/>
      <c r="H304" s="619"/>
      <c r="I304" s="646"/>
      <c r="J304" s="1644">
        <f>SUM(K304:R304)</f>
        <v>2297500</v>
      </c>
      <c r="K304" s="1649">
        <f>SUM(K184,K189,K194,K199,K204,K209,K214,K219,K224,K259,K265,K270)+K254+K249+K240+K235+K230+K244+K278+K274</f>
        <v>1422175</v>
      </c>
      <c r="L304" s="1649">
        <f aca="true" t="shared" si="15" ref="L304:R304">SUM(L184,L189,L194,L199,L204,L209,L214,L219,L224,L259,L265,L270)+L254+L249+L240+L235+L230+L244+L278+L274</f>
        <v>254784</v>
      </c>
      <c r="M304" s="1649">
        <f t="shared" si="15"/>
        <v>523288</v>
      </c>
      <c r="N304" s="1649">
        <f t="shared" si="15"/>
        <v>0</v>
      </c>
      <c r="O304" s="1649">
        <f t="shared" si="15"/>
        <v>47061</v>
      </c>
      <c r="P304" s="1649">
        <f t="shared" si="15"/>
        <v>50192</v>
      </c>
      <c r="Q304" s="1649">
        <f t="shared" si="15"/>
        <v>0</v>
      </c>
      <c r="R304" s="1654">
        <f t="shared" si="15"/>
        <v>0</v>
      </c>
      <c r="S304" s="661"/>
      <c r="T304" s="661"/>
      <c r="U304" s="661"/>
      <c r="V304" s="661"/>
      <c r="W304" s="661"/>
      <c r="X304" s="661"/>
      <c r="Y304" s="661"/>
      <c r="Z304" s="661"/>
      <c r="AA304" s="661"/>
      <c r="AB304" s="661"/>
      <c r="AC304" s="661"/>
      <c r="AD304" s="661"/>
      <c r="AE304" s="661"/>
    </row>
    <row r="305" spans="1:31" s="598" customFormat="1" ht="18" customHeight="1">
      <c r="A305" s="98">
        <v>296</v>
      </c>
      <c r="B305" s="1225"/>
      <c r="C305" s="592"/>
      <c r="D305" s="1178"/>
      <c r="E305" s="1146" t="s">
        <v>674</v>
      </c>
      <c r="F305" s="1223"/>
      <c r="G305" s="613"/>
      <c r="H305" s="613"/>
      <c r="I305" s="637"/>
      <c r="J305" s="1197">
        <f>SUM(K305:R305)</f>
        <v>8653</v>
      </c>
      <c r="K305" s="273">
        <f>K271+K266+K260+K255+K250+K241+K236+K231+K225+K220+K215+K210+K205+K200+K195+K190+K185+K245+K275+K279+K282+K285+K288</f>
        <v>7487</v>
      </c>
      <c r="L305" s="273">
        <f aca="true" t="shared" si="16" ref="L305:R305">L271+L266+L260+L255+L250+L241+L236+L231+L225+L220+L215+L210+L205+L200+L195+L190+L185+L245+L275+L279+L282+L285+L288</f>
        <v>1166</v>
      </c>
      <c r="M305" s="273">
        <f t="shared" si="16"/>
        <v>0</v>
      </c>
      <c r="N305" s="273">
        <f t="shared" si="16"/>
        <v>0</v>
      </c>
      <c r="O305" s="273">
        <f t="shared" si="16"/>
        <v>0</v>
      </c>
      <c r="P305" s="273">
        <f t="shared" si="16"/>
        <v>0</v>
      </c>
      <c r="Q305" s="273">
        <f t="shared" si="16"/>
        <v>0</v>
      </c>
      <c r="R305" s="274">
        <f t="shared" si="16"/>
        <v>0</v>
      </c>
      <c r="S305" s="661"/>
      <c r="T305" s="661"/>
      <c r="U305" s="661"/>
      <c r="V305" s="661"/>
      <c r="W305" s="661"/>
      <c r="X305" s="661"/>
      <c r="Y305" s="661"/>
      <c r="Z305" s="661"/>
      <c r="AA305" s="661"/>
      <c r="AB305" s="661"/>
      <c r="AC305" s="661"/>
      <c r="AD305" s="661"/>
      <c r="AE305" s="661"/>
    </row>
    <row r="306" spans="1:31" s="598" customFormat="1" ht="18" customHeight="1" thickBot="1">
      <c r="A306" s="98">
        <v>297</v>
      </c>
      <c r="B306" s="1224"/>
      <c r="C306" s="1147"/>
      <c r="D306" s="1145"/>
      <c r="E306" s="483" t="s">
        <v>1091</v>
      </c>
      <c r="F306" s="1191"/>
      <c r="G306" s="1137"/>
      <c r="H306" s="1137"/>
      <c r="I306" s="1182"/>
      <c r="J306" s="269">
        <f>SUM(K306:R306)</f>
        <v>2306153</v>
      </c>
      <c r="K306" s="1226">
        <f>SUM(K304:K305)</f>
        <v>1429662</v>
      </c>
      <c r="L306" s="1226">
        <f aca="true" t="shared" si="17" ref="L306:R306">SUM(L304:L305)</f>
        <v>255950</v>
      </c>
      <c r="M306" s="1226">
        <f t="shared" si="17"/>
        <v>523288</v>
      </c>
      <c r="N306" s="1226">
        <f t="shared" si="17"/>
        <v>0</v>
      </c>
      <c r="O306" s="1226">
        <f t="shared" si="17"/>
        <v>47061</v>
      </c>
      <c r="P306" s="1226">
        <f t="shared" si="17"/>
        <v>50192</v>
      </c>
      <c r="Q306" s="1226">
        <f t="shared" si="17"/>
        <v>0</v>
      </c>
      <c r="R306" s="1230">
        <f t="shared" si="17"/>
        <v>0</v>
      </c>
      <c r="S306" s="661"/>
      <c r="T306" s="661"/>
      <c r="U306" s="661"/>
      <c r="V306" s="661"/>
      <c r="W306" s="661"/>
      <c r="X306" s="661"/>
      <c r="Y306" s="661"/>
      <c r="Z306" s="661"/>
      <c r="AA306" s="661"/>
      <c r="AB306" s="661"/>
      <c r="AC306" s="661"/>
      <c r="AD306" s="661"/>
      <c r="AE306" s="661"/>
    </row>
    <row r="307" spans="1:31" s="31" customFormat="1" ht="36" customHeight="1">
      <c r="A307" s="98">
        <v>298</v>
      </c>
      <c r="B307" s="2056" t="s">
        <v>13</v>
      </c>
      <c r="C307" s="2057"/>
      <c r="D307" s="2057"/>
      <c r="E307" s="2058"/>
      <c r="F307" s="656"/>
      <c r="G307" s="626">
        <f>SUM(G302,G176)</f>
        <v>8054296</v>
      </c>
      <c r="H307" s="626">
        <f>SUM(H302,H176)</f>
        <v>8038573</v>
      </c>
      <c r="I307" s="626">
        <f>SUM(I302,I176)</f>
        <v>7660387</v>
      </c>
      <c r="J307" s="657"/>
      <c r="K307" s="626"/>
      <c r="L307" s="626"/>
      <c r="M307" s="626"/>
      <c r="N307" s="626"/>
      <c r="O307" s="626"/>
      <c r="P307" s="626"/>
      <c r="Q307" s="626"/>
      <c r="R307" s="658"/>
      <c r="S307" s="197"/>
      <c r="T307" s="197"/>
      <c r="U307" s="197"/>
      <c r="V307" s="197"/>
      <c r="W307" s="197"/>
      <c r="X307" s="197"/>
      <c r="Y307" s="197"/>
      <c r="Z307" s="197"/>
      <c r="AA307" s="197"/>
      <c r="AB307" s="197"/>
      <c r="AC307" s="197"/>
      <c r="AD307" s="197"/>
      <c r="AE307" s="197"/>
    </row>
    <row r="308" spans="1:31" s="598" customFormat="1" ht="18" customHeight="1">
      <c r="A308" s="98">
        <v>299</v>
      </c>
      <c r="B308" s="627"/>
      <c r="C308" s="604"/>
      <c r="D308" s="645"/>
      <c r="E308" s="1220" t="s">
        <v>283</v>
      </c>
      <c r="F308" s="1221"/>
      <c r="G308" s="619"/>
      <c r="H308" s="619"/>
      <c r="I308" s="646"/>
      <c r="J308" s="647">
        <f>SUM(K308:R308)</f>
        <v>8835002</v>
      </c>
      <c r="K308" s="1218">
        <f aca="true" t="shared" si="18" ref="K308:R309">SUM(K303,K177)</f>
        <v>5077497</v>
      </c>
      <c r="L308" s="1218">
        <f t="shared" si="18"/>
        <v>860098</v>
      </c>
      <c r="M308" s="1218">
        <f t="shared" si="18"/>
        <v>2751198</v>
      </c>
      <c r="N308" s="1218">
        <f t="shared" si="18"/>
        <v>0</v>
      </c>
      <c r="O308" s="1218">
        <f t="shared" si="18"/>
        <v>0</v>
      </c>
      <c r="P308" s="1218">
        <f t="shared" si="18"/>
        <v>146209</v>
      </c>
      <c r="Q308" s="1218">
        <f t="shared" si="18"/>
        <v>0</v>
      </c>
      <c r="R308" s="1219">
        <f t="shared" si="18"/>
        <v>0</v>
      </c>
      <c r="S308" s="661"/>
      <c r="T308" s="661"/>
      <c r="U308" s="661"/>
      <c r="V308" s="661"/>
      <c r="W308" s="661"/>
      <c r="X308" s="661"/>
      <c r="Y308" s="661"/>
      <c r="Z308" s="661"/>
      <c r="AA308" s="661"/>
      <c r="AB308" s="661"/>
      <c r="AC308" s="661"/>
      <c r="AD308" s="661"/>
      <c r="AE308" s="661"/>
    </row>
    <row r="309" spans="1:31" s="598" customFormat="1" ht="18" customHeight="1">
      <c r="A309" s="98">
        <v>300</v>
      </c>
      <c r="B309" s="627"/>
      <c r="C309" s="1650"/>
      <c r="D309" s="645"/>
      <c r="E309" s="483" t="s">
        <v>938</v>
      </c>
      <c r="F309" s="1221"/>
      <c r="G309" s="619"/>
      <c r="H309" s="619"/>
      <c r="I309" s="646"/>
      <c r="J309" s="1644">
        <f>SUM(K309:R309)</f>
        <v>9879838</v>
      </c>
      <c r="K309" s="1649">
        <f t="shared" si="18"/>
        <v>5436760</v>
      </c>
      <c r="L309" s="1649">
        <f t="shared" si="18"/>
        <v>921653</v>
      </c>
      <c r="M309" s="1649">
        <f t="shared" si="18"/>
        <v>3120042</v>
      </c>
      <c r="N309" s="1649">
        <f t="shared" si="18"/>
        <v>0</v>
      </c>
      <c r="O309" s="1649">
        <f t="shared" si="18"/>
        <v>47324</v>
      </c>
      <c r="P309" s="1649">
        <f t="shared" si="18"/>
        <v>354059</v>
      </c>
      <c r="Q309" s="1649">
        <f t="shared" si="18"/>
        <v>0</v>
      </c>
      <c r="R309" s="1654">
        <f t="shared" si="18"/>
        <v>0</v>
      </c>
      <c r="S309" s="661"/>
      <c r="T309" s="661"/>
      <c r="U309" s="661"/>
      <c r="V309" s="661"/>
      <c r="W309" s="661"/>
      <c r="X309" s="661"/>
      <c r="Y309" s="661"/>
      <c r="Z309" s="661"/>
      <c r="AA309" s="661"/>
      <c r="AB309" s="661"/>
      <c r="AC309" s="661"/>
      <c r="AD309" s="661"/>
      <c r="AE309" s="661"/>
    </row>
    <row r="310" spans="1:31" s="598" customFormat="1" ht="18" customHeight="1">
      <c r="A310" s="98">
        <v>301</v>
      </c>
      <c r="B310" s="591"/>
      <c r="C310" s="1222"/>
      <c r="D310" s="635"/>
      <c r="E310" s="1146" t="s">
        <v>674</v>
      </c>
      <c r="F310" s="1223"/>
      <c r="G310" s="613"/>
      <c r="H310" s="613"/>
      <c r="I310" s="637"/>
      <c r="J310" s="1197">
        <f>SUM(K310:R310)</f>
        <v>180550</v>
      </c>
      <c r="K310" s="1235">
        <f aca="true" t="shared" si="19" ref="K310:R310">K305+K179</f>
        <v>65966</v>
      </c>
      <c r="L310" s="1235">
        <f t="shared" si="19"/>
        <v>2706</v>
      </c>
      <c r="M310" s="1235">
        <f t="shared" si="19"/>
        <v>76054</v>
      </c>
      <c r="N310" s="1235">
        <f t="shared" si="19"/>
        <v>2349</v>
      </c>
      <c r="O310" s="1235">
        <f t="shared" si="19"/>
        <v>1200</v>
      </c>
      <c r="P310" s="1235">
        <f t="shared" si="19"/>
        <v>29985</v>
      </c>
      <c r="Q310" s="1235">
        <f t="shared" si="19"/>
        <v>0</v>
      </c>
      <c r="R310" s="1236">
        <f t="shared" si="19"/>
        <v>2290</v>
      </c>
      <c r="S310" s="661"/>
      <c r="T310" s="661"/>
      <c r="U310" s="661"/>
      <c r="V310" s="661"/>
      <c r="W310" s="661"/>
      <c r="X310" s="661"/>
      <c r="Y310" s="661"/>
      <c r="Z310" s="661"/>
      <c r="AA310" s="661"/>
      <c r="AB310" s="661"/>
      <c r="AC310" s="661"/>
      <c r="AD310" s="661"/>
      <c r="AE310" s="661"/>
    </row>
    <row r="311" spans="1:31" s="598" customFormat="1" ht="18" customHeight="1" thickBot="1">
      <c r="A311" s="98">
        <v>302</v>
      </c>
      <c r="B311" s="1144"/>
      <c r="C311" s="1189"/>
      <c r="D311" s="1190"/>
      <c r="E311" s="483" t="s">
        <v>1091</v>
      </c>
      <c r="F311" s="1191"/>
      <c r="G311" s="1137"/>
      <c r="H311" s="1137"/>
      <c r="I311" s="1182"/>
      <c r="J311" s="269">
        <f>SUM(K311:R311)</f>
        <v>10060388</v>
      </c>
      <c r="K311" s="1226">
        <f>SUM(K309:K310)</f>
        <v>5502726</v>
      </c>
      <c r="L311" s="1226">
        <f aca="true" t="shared" si="20" ref="L311:R311">SUM(L309:L310)</f>
        <v>924359</v>
      </c>
      <c r="M311" s="1226">
        <f t="shared" si="20"/>
        <v>3196096</v>
      </c>
      <c r="N311" s="1226">
        <f t="shared" si="20"/>
        <v>2349</v>
      </c>
      <c r="O311" s="1226">
        <f t="shared" si="20"/>
        <v>48524</v>
      </c>
      <c r="P311" s="1226">
        <f t="shared" si="20"/>
        <v>384044</v>
      </c>
      <c r="Q311" s="1226">
        <f t="shared" si="20"/>
        <v>0</v>
      </c>
      <c r="R311" s="1230">
        <f t="shared" si="20"/>
        <v>2290</v>
      </c>
      <c r="S311" s="661"/>
      <c r="T311" s="661"/>
      <c r="U311" s="661"/>
      <c r="V311" s="661"/>
      <c r="W311" s="661"/>
      <c r="X311" s="661"/>
      <c r="Y311" s="661"/>
      <c r="Z311" s="661"/>
      <c r="AA311" s="661"/>
      <c r="AB311" s="661"/>
      <c r="AC311" s="661"/>
      <c r="AD311" s="661"/>
      <c r="AE311" s="661"/>
    </row>
    <row r="312" spans="1:31" s="29" customFormat="1" ht="15" customHeight="1">
      <c r="A312" s="98">
        <v>303</v>
      </c>
      <c r="B312" s="2142" t="s">
        <v>152</v>
      </c>
      <c r="C312" s="2143"/>
      <c r="D312" s="2143"/>
      <c r="E312" s="2144"/>
      <c r="F312" s="361"/>
      <c r="G312" s="282"/>
      <c r="H312" s="282"/>
      <c r="I312" s="362"/>
      <c r="J312" s="286"/>
      <c r="K312" s="282"/>
      <c r="L312" s="282"/>
      <c r="M312" s="282"/>
      <c r="N312" s="282"/>
      <c r="O312" s="282"/>
      <c r="P312" s="282"/>
      <c r="Q312" s="282"/>
      <c r="R312" s="283"/>
      <c r="S312" s="203"/>
      <c r="T312" s="113"/>
      <c r="U312" s="113"/>
      <c r="V312" s="113"/>
      <c r="W312" s="113"/>
      <c r="X312" s="113"/>
      <c r="Y312" s="113"/>
      <c r="Z312" s="113"/>
      <c r="AA312" s="113"/>
      <c r="AB312" s="113"/>
      <c r="AC312" s="113"/>
      <c r="AD312" s="113"/>
      <c r="AE312" s="113"/>
    </row>
    <row r="313" spans="1:31" s="29" customFormat="1" ht="15" customHeight="1">
      <c r="A313" s="98">
        <v>304</v>
      </c>
      <c r="B313" s="2117" t="s">
        <v>153</v>
      </c>
      <c r="C313" s="2118"/>
      <c r="D313" s="2118"/>
      <c r="E313" s="2119"/>
      <c r="F313" s="2119"/>
      <c r="G313" s="265">
        <f>SUM(G81:G132,G76,G47,G171)</f>
        <v>5457000</v>
      </c>
      <c r="H313" s="265">
        <f>SUM(H81:H132,H76,H47,H171)-H87-H105-H120-H131</f>
        <v>5482717</v>
      </c>
      <c r="I313" s="360">
        <f>SUM(I81:I132,I76,I47,I171)+I133</f>
        <v>5189835</v>
      </c>
      <c r="J313" s="285"/>
      <c r="K313" s="229"/>
      <c r="L313" s="229"/>
      <c r="M313" s="229"/>
      <c r="N313" s="229"/>
      <c r="O313" s="229"/>
      <c r="P313" s="229"/>
      <c r="Q313" s="229"/>
      <c r="R313" s="242"/>
      <c r="S313" s="203"/>
      <c r="T313" s="113"/>
      <c r="U313" s="113"/>
      <c r="V313" s="113"/>
      <c r="W313" s="113"/>
      <c r="X313" s="113"/>
      <c r="Y313" s="113"/>
      <c r="Z313" s="113"/>
      <c r="AA313" s="113"/>
      <c r="AB313" s="113"/>
      <c r="AC313" s="113"/>
      <c r="AD313" s="113"/>
      <c r="AE313" s="113"/>
    </row>
    <row r="314" spans="1:31" s="642" customFormat="1" ht="15" customHeight="1">
      <c r="A314" s="98">
        <v>305</v>
      </c>
      <c r="B314" s="662"/>
      <c r="C314" s="663"/>
      <c r="D314" s="663"/>
      <c r="E314" s="636" t="s">
        <v>283</v>
      </c>
      <c r="F314" s="664"/>
      <c r="G314" s="665"/>
      <c r="H314" s="665"/>
      <c r="I314" s="674"/>
      <c r="J314" s="659">
        <f>SUM(K314:R314)</f>
        <v>6039998</v>
      </c>
      <c r="K314" s="659">
        <f aca="true" t="shared" si="21" ref="K314:R314">SUM(K48,K77,K82,K89,K98,K115,K122,K127,K132,K172,)+K134+K107</f>
        <v>3192947</v>
      </c>
      <c r="L314" s="659">
        <f t="shared" si="21"/>
        <v>561642</v>
      </c>
      <c r="M314" s="659">
        <f t="shared" si="21"/>
        <v>2177206</v>
      </c>
      <c r="N314" s="659">
        <f t="shared" si="21"/>
        <v>0</v>
      </c>
      <c r="O314" s="659">
        <f t="shared" si="21"/>
        <v>0</v>
      </c>
      <c r="P314" s="659">
        <f t="shared" si="21"/>
        <v>108203</v>
      </c>
      <c r="Q314" s="659">
        <f t="shared" si="21"/>
        <v>0</v>
      </c>
      <c r="R314" s="660">
        <f t="shared" si="21"/>
        <v>0</v>
      </c>
      <c r="S314" s="643"/>
      <c r="T314" s="641"/>
      <c r="U314" s="641"/>
      <c r="V314" s="641"/>
      <c r="W314" s="641"/>
      <c r="X314" s="641"/>
      <c r="Y314" s="641"/>
      <c r="Z314" s="641"/>
      <c r="AA314" s="641"/>
      <c r="AB314" s="641"/>
      <c r="AC314" s="641"/>
      <c r="AD314" s="641"/>
      <c r="AE314" s="641"/>
    </row>
    <row r="315" spans="1:31" s="642" customFormat="1" ht="15" customHeight="1">
      <c r="A315" s="98">
        <v>306</v>
      </c>
      <c r="B315" s="662"/>
      <c r="C315" s="663"/>
      <c r="D315" s="663"/>
      <c r="E315" s="483" t="s">
        <v>938</v>
      </c>
      <c r="F315" s="664"/>
      <c r="G315" s="665"/>
      <c r="H315" s="665"/>
      <c r="I315" s="666"/>
      <c r="J315" s="285">
        <f>SUM(K315:R315)</f>
        <v>6463390</v>
      </c>
      <c r="K315" s="280">
        <f aca="true" t="shared" si="22" ref="K315:R315">SUM(K49,K78,K83,K90,K99,K116,K123,K128,K173,)+K135+K108+K94</f>
        <v>3359640</v>
      </c>
      <c r="L315" s="280">
        <f t="shared" si="22"/>
        <v>581390</v>
      </c>
      <c r="M315" s="280">
        <f t="shared" si="22"/>
        <v>2309082</v>
      </c>
      <c r="N315" s="280">
        <f t="shared" si="22"/>
        <v>0</v>
      </c>
      <c r="O315" s="280">
        <f t="shared" si="22"/>
        <v>0</v>
      </c>
      <c r="P315" s="280">
        <f t="shared" si="22"/>
        <v>213278</v>
      </c>
      <c r="Q315" s="280">
        <f t="shared" si="22"/>
        <v>0</v>
      </c>
      <c r="R315" s="281">
        <f t="shared" si="22"/>
        <v>0</v>
      </c>
      <c r="S315" s="643"/>
      <c r="T315" s="641"/>
      <c r="U315" s="641"/>
      <c r="V315" s="641"/>
      <c r="W315" s="641"/>
      <c r="X315" s="641"/>
      <c r="Y315" s="641"/>
      <c r="Z315" s="641"/>
      <c r="AA315" s="641"/>
      <c r="AB315" s="641"/>
      <c r="AC315" s="641"/>
      <c r="AD315" s="641"/>
      <c r="AE315" s="641"/>
    </row>
    <row r="316" spans="1:31" s="642" customFormat="1" ht="15" customHeight="1">
      <c r="A316" s="98">
        <v>307</v>
      </c>
      <c r="B316" s="662"/>
      <c r="C316" s="663"/>
      <c r="D316" s="663"/>
      <c r="E316" s="1146" t="s">
        <v>674</v>
      </c>
      <c r="F316" s="664"/>
      <c r="G316" s="665"/>
      <c r="H316" s="665"/>
      <c r="I316" s="666"/>
      <c r="J316" s="1197">
        <f>SUM(K316:R316)</f>
        <v>170503</v>
      </c>
      <c r="K316" s="1235">
        <f>K174+K136+K129+K124+K118+K117+K109+K101+K100+K91+K84+K79+K50+K85+K102+K103+K95+K139+K112</f>
        <v>45179</v>
      </c>
      <c r="L316" s="1235">
        <f aca="true" t="shared" si="23" ref="L316:R316">L174+L136+L129+L124+L118+L117+L109+L101+L100+L91+L84+L79+L50+L85+L102+L103+L95+L139+L112</f>
        <v>7340</v>
      </c>
      <c r="M316" s="1235">
        <f t="shared" si="23"/>
        <v>75226</v>
      </c>
      <c r="N316" s="1235">
        <f t="shared" si="23"/>
        <v>2349</v>
      </c>
      <c r="O316" s="1235">
        <f t="shared" si="23"/>
        <v>1200</v>
      </c>
      <c r="P316" s="1235">
        <f t="shared" si="23"/>
        <v>36919</v>
      </c>
      <c r="Q316" s="1235">
        <f t="shared" si="23"/>
        <v>0</v>
      </c>
      <c r="R316" s="1235">
        <f t="shared" si="23"/>
        <v>2290</v>
      </c>
      <c r="S316" s="643"/>
      <c r="T316" s="641"/>
      <c r="U316" s="641"/>
      <c r="V316" s="641"/>
      <c r="W316" s="641"/>
      <c r="X316" s="641"/>
      <c r="Y316" s="641"/>
      <c r="Z316" s="641"/>
      <c r="AA316" s="641"/>
      <c r="AB316" s="641"/>
      <c r="AC316" s="641"/>
      <c r="AD316" s="641"/>
      <c r="AE316" s="641"/>
    </row>
    <row r="317" spans="1:31" s="642" customFormat="1" ht="15" customHeight="1">
      <c r="A317" s="98">
        <v>308</v>
      </c>
      <c r="B317" s="662"/>
      <c r="C317" s="663"/>
      <c r="D317" s="663"/>
      <c r="E317" s="483" t="s">
        <v>1091</v>
      </c>
      <c r="F317" s="664"/>
      <c r="G317" s="665"/>
      <c r="H317" s="665"/>
      <c r="I317" s="666"/>
      <c r="J317" s="269">
        <f>SUM(K317:R317)</f>
        <v>6633893</v>
      </c>
      <c r="K317" s="280">
        <f>SUM(K315:K316)</f>
        <v>3404819</v>
      </c>
      <c r="L317" s="280">
        <f aca="true" t="shared" si="24" ref="L317:R317">SUM(L315:L316)</f>
        <v>588730</v>
      </c>
      <c r="M317" s="280">
        <f t="shared" si="24"/>
        <v>2384308</v>
      </c>
      <c r="N317" s="280">
        <f t="shared" si="24"/>
        <v>2349</v>
      </c>
      <c r="O317" s="280">
        <f t="shared" si="24"/>
        <v>1200</v>
      </c>
      <c r="P317" s="280">
        <f t="shared" si="24"/>
        <v>250197</v>
      </c>
      <c r="Q317" s="280">
        <f t="shared" si="24"/>
        <v>0</v>
      </c>
      <c r="R317" s="281">
        <f t="shared" si="24"/>
        <v>2290</v>
      </c>
      <c r="S317" s="643"/>
      <c r="T317" s="641"/>
      <c r="U317" s="641"/>
      <c r="V317" s="641"/>
      <c r="W317" s="641"/>
      <c r="X317" s="641"/>
      <c r="Y317" s="641"/>
      <c r="Z317" s="641"/>
      <c r="AA317" s="641"/>
      <c r="AB317" s="641"/>
      <c r="AC317" s="641"/>
      <c r="AD317" s="641"/>
      <c r="AE317" s="641"/>
    </row>
    <row r="318" spans="1:31" s="29" customFormat="1" ht="15" customHeight="1">
      <c r="A318" s="98">
        <v>309</v>
      </c>
      <c r="B318" s="2117" t="s">
        <v>152</v>
      </c>
      <c r="C318" s="2118"/>
      <c r="D318" s="2118"/>
      <c r="E318" s="2119"/>
      <c r="F318" s="363"/>
      <c r="G318" s="265"/>
      <c r="H318" s="265"/>
      <c r="I318" s="360"/>
      <c r="J318" s="287"/>
      <c r="K318" s="265"/>
      <c r="L318" s="265"/>
      <c r="M318" s="265"/>
      <c r="N318" s="265"/>
      <c r="O318" s="265"/>
      <c r="P318" s="265"/>
      <c r="Q318" s="265"/>
      <c r="R318" s="275"/>
      <c r="S318" s="203"/>
      <c r="T318" s="113"/>
      <c r="U318" s="113"/>
      <c r="V318" s="113"/>
      <c r="W318" s="113"/>
      <c r="X318" s="113"/>
      <c r="Y318" s="113"/>
      <c r="Z318" s="113"/>
      <c r="AA318" s="113"/>
      <c r="AB318" s="113"/>
      <c r="AC318" s="113"/>
      <c r="AD318" s="113"/>
      <c r="AE318" s="113"/>
    </row>
    <row r="319" spans="1:31" s="29" customFormat="1" ht="15" customHeight="1">
      <c r="A319" s="98">
        <v>310</v>
      </c>
      <c r="B319" s="2117" t="s">
        <v>154</v>
      </c>
      <c r="C319" s="2118"/>
      <c r="D319" s="2118"/>
      <c r="E319" s="2119"/>
      <c r="F319" s="2119"/>
      <c r="G319" s="265">
        <f>SUM(G141:G162)</f>
        <v>1014307</v>
      </c>
      <c r="H319" s="265">
        <f>SUM(H141:H162)</f>
        <v>880295</v>
      </c>
      <c r="I319" s="360">
        <f>SUM(I141:I162)</f>
        <v>979645</v>
      </c>
      <c r="J319" s="287"/>
      <c r="K319" s="265"/>
      <c r="L319" s="265"/>
      <c r="M319" s="265"/>
      <c r="N319" s="265"/>
      <c r="O319" s="265"/>
      <c r="P319" s="265"/>
      <c r="Q319" s="265"/>
      <c r="R319" s="275"/>
      <c r="S319" s="203"/>
      <c r="T319" s="113"/>
      <c r="U319" s="113"/>
      <c r="V319" s="113"/>
      <c r="W319" s="113"/>
      <c r="X319" s="113"/>
      <c r="Y319" s="113"/>
      <c r="Z319" s="113"/>
      <c r="AA319" s="113"/>
      <c r="AB319" s="113"/>
      <c r="AC319" s="113"/>
      <c r="AD319" s="113"/>
      <c r="AE319" s="113"/>
    </row>
    <row r="320" spans="1:31" s="642" customFormat="1" ht="15" customHeight="1">
      <c r="A320" s="98">
        <v>311</v>
      </c>
      <c r="B320" s="662"/>
      <c r="C320" s="663"/>
      <c r="D320" s="663"/>
      <c r="E320" s="636" t="s">
        <v>283</v>
      </c>
      <c r="F320" s="664"/>
      <c r="G320" s="665"/>
      <c r="H320" s="665"/>
      <c r="I320" s="666"/>
      <c r="J320" s="667">
        <f>SUM(K320:R320)</f>
        <v>905820</v>
      </c>
      <c r="K320" s="659">
        <f aca="true" t="shared" si="25" ref="K320:R321">SUM(K142,K148,K162)+K154</f>
        <v>556957</v>
      </c>
      <c r="L320" s="659">
        <f t="shared" si="25"/>
        <v>78110</v>
      </c>
      <c r="M320" s="659">
        <f t="shared" si="25"/>
        <v>266753</v>
      </c>
      <c r="N320" s="659">
        <f t="shared" si="25"/>
        <v>0</v>
      </c>
      <c r="O320" s="659">
        <f t="shared" si="25"/>
        <v>0</v>
      </c>
      <c r="P320" s="659">
        <f t="shared" si="25"/>
        <v>4000</v>
      </c>
      <c r="Q320" s="659">
        <f t="shared" si="25"/>
        <v>0</v>
      </c>
      <c r="R320" s="660">
        <f t="shared" si="25"/>
        <v>0</v>
      </c>
      <c r="S320" s="643"/>
      <c r="T320" s="641"/>
      <c r="U320" s="641"/>
      <c r="V320" s="641"/>
      <c r="W320" s="641"/>
      <c r="X320" s="641"/>
      <c r="Y320" s="641"/>
      <c r="Z320" s="641"/>
      <c r="AA320" s="641"/>
      <c r="AB320" s="641"/>
      <c r="AC320" s="641"/>
      <c r="AD320" s="641"/>
      <c r="AE320" s="641"/>
    </row>
    <row r="321" spans="1:31" s="642" customFormat="1" ht="15" customHeight="1">
      <c r="A321" s="98">
        <v>312</v>
      </c>
      <c r="B321" s="662"/>
      <c r="C321" s="663"/>
      <c r="D321" s="663"/>
      <c r="E321" s="483" t="s">
        <v>938</v>
      </c>
      <c r="F321" s="664"/>
      <c r="G321" s="665"/>
      <c r="H321" s="665"/>
      <c r="I321" s="666"/>
      <c r="J321" s="285">
        <f>SUM(K321:R321)</f>
        <v>1118948</v>
      </c>
      <c r="K321" s="280">
        <f t="shared" si="25"/>
        <v>654945</v>
      </c>
      <c r="L321" s="280">
        <f t="shared" si="25"/>
        <v>85479</v>
      </c>
      <c r="M321" s="280">
        <f t="shared" si="25"/>
        <v>287672</v>
      </c>
      <c r="N321" s="280">
        <f t="shared" si="25"/>
        <v>0</v>
      </c>
      <c r="O321" s="280">
        <f t="shared" si="25"/>
        <v>263</v>
      </c>
      <c r="P321" s="280">
        <f t="shared" si="25"/>
        <v>90589</v>
      </c>
      <c r="Q321" s="280">
        <f t="shared" si="25"/>
        <v>0</v>
      </c>
      <c r="R321" s="281">
        <f t="shared" si="25"/>
        <v>0</v>
      </c>
      <c r="S321" s="643"/>
      <c r="T321" s="641"/>
      <c r="U321" s="641"/>
      <c r="V321" s="641"/>
      <c r="W321" s="641"/>
      <c r="X321" s="641"/>
      <c r="Y321" s="641"/>
      <c r="Z321" s="641"/>
      <c r="AA321" s="641"/>
      <c r="AB321" s="641"/>
      <c r="AC321" s="641"/>
      <c r="AD321" s="641"/>
      <c r="AE321" s="641"/>
    </row>
    <row r="322" spans="1:31" s="642" customFormat="1" ht="15" customHeight="1">
      <c r="A322" s="98">
        <v>313</v>
      </c>
      <c r="B322" s="662"/>
      <c r="C322" s="663"/>
      <c r="D322" s="663"/>
      <c r="E322" s="1146" t="s">
        <v>674</v>
      </c>
      <c r="F322" s="664"/>
      <c r="G322" s="665"/>
      <c r="H322" s="665"/>
      <c r="I322" s="666"/>
      <c r="J322" s="1197">
        <f>SUM(K322:R322)</f>
        <v>1394</v>
      </c>
      <c r="K322" s="1235">
        <f>K164+K156+K150+K144+K159+K145</f>
        <v>13300</v>
      </c>
      <c r="L322" s="1235">
        <f aca="true" t="shared" si="26" ref="L322:R322">L164+L156+L150+L144+L159+L145</f>
        <v>-5800</v>
      </c>
      <c r="M322" s="1235">
        <f t="shared" si="26"/>
        <v>828</v>
      </c>
      <c r="N322" s="1235">
        <f t="shared" si="26"/>
        <v>0</v>
      </c>
      <c r="O322" s="1235">
        <f t="shared" si="26"/>
        <v>0</v>
      </c>
      <c r="P322" s="1235">
        <f t="shared" si="26"/>
        <v>-6934</v>
      </c>
      <c r="Q322" s="1235">
        <f t="shared" si="26"/>
        <v>0</v>
      </c>
      <c r="R322" s="1235">
        <f t="shared" si="26"/>
        <v>0</v>
      </c>
      <c r="S322" s="643"/>
      <c r="T322" s="641"/>
      <c r="U322" s="641"/>
      <c r="V322" s="641"/>
      <c r="W322" s="641"/>
      <c r="X322" s="641"/>
      <c r="Y322" s="641"/>
      <c r="Z322" s="641"/>
      <c r="AA322" s="641"/>
      <c r="AB322" s="641"/>
      <c r="AC322" s="641"/>
      <c r="AD322" s="641"/>
      <c r="AE322" s="641"/>
    </row>
    <row r="323" spans="1:31" s="642" customFormat="1" ht="15" customHeight="1">
      <c r="A323" s="98">
        <v>314</v>
      </c>
      <c r="B323" s="662"/>
      <c r="C323" s="663"/>
      <c r="D323" s="663"/>
      <c r="E323" s="483" t="s">
        <v>1091</v>
      </c>
      <c r="F323" s="664"/>
      <c r="G323" s="665"/>
      <c r="H323" s="665"/>
      <c r="I323" s="666"/>
      <c r="J323" s="269">
        <f>SUM(K323:R323)</f>
        <v>1120342</v>
      </c>
      <c r="K323" s="280">
        <f>SUM(K321:K322)</f>
        <v>668245</v>
      </c>
      <c r="L323" s="280">
        <f aca="true" t="shared" si="27" ref="L323:R323">SUM(L321:L322)</f>
        <v>79679</v>
      </c>
      <c r="M323" s="280">
        <f t="shared" si="27"/>
        <v>288500</v>
      </c>
      <c r="N323" s="280">
        <f t="shared" si="27"/>
        <v>0</v>
      </c>
      <c r="O323" s="280">
        <f t="shared" si="27"/>
        <v>263</v>
      </c>
      <c r="P323" s="280">
        <f t="shared" si="27"/>
        <v>83655</v>
      </c>
      <c r="Q323" s="280">
        <f t="shared" si="27"/>
        <v>0</v>
      </c>
      <c r="R323" s="281">
        <f t="shared" si="27"/>
        <v>0</v>
      </c>
      <c r="S323" s="643"/>
      <c r="T323" s="641"/>
      <c r="U323" s="641"/>
      <c r="V323" s="641"/>
      <c r="W323" s="641"/>
      <c r="X323" s="641"/>
      <c r="Y323" s="641"/>
      <c r="Z323" s="641"/>
      <c r="AA323" s="641"/>
      <c r="AB323" s="641"/>
      <c r="AC323" s="641"/>
      <c r="AD323" s="641"/>
      <c r="AE323" s="641"/>
    </row>
    <row r="324" spans="1:31" s="29" customFormat="1" ht="15" customHeight="1">
      <c r="A324" s="98">
        <v>315</v>
      </c>
      <c r="B324" s="2117" t="s">
        <v>152</v>
      </c>
      <c r="C324" s="2118"/>
      <c r="D324" s="2118"/>
      <c r="E324" s="2119"/>
      <c r="F324" s="363"/>
      <c r="G324" s="265"/>
      <c r="H324" s="265"/>
      <c r="I324" s="360"/>
      <c r="J324" s="287"/>
      <c r="K324" s="280"/>
      <c r="L324" s="280"/>
      <c r="M324" s="280"/>
      <c r="N324" s="280"/>
      <c r="O324" s="280"/>
      <c r="P324" s="280"/>
      <c r="Q324" s="280"/>
      <c r="R324" s="281"/>
      <c r="S324" s="203"/>
      <c r="T324" s="113"/>
      <c r="U324" s="113"/>
      <c r="V324" s="113"/>
      <c r="W324" s="113"/>
      <c r="X324" s="113"/>
      <c r="Y324" s="113"/>
      <c r="Z324" s="113"/>
      <c r="AA324" s="113"/>
      <c r="AB324" s="113"/>
      <c r="AC324" s="113"/>
      <c r="AD324" s="113"/>
      <c r="AE324" s="113"/>
    </row>
    <row r="325" spans="1:31" s="29" customFormat="1" ht="15" customHeight="1">
      <c r="A325" s="98">
        <v>316</v>
      </c>
      <c r="B325" s="2136" t="s">
        <v>155</v>
      </c>
      <c r="C325" s="2137"/>
      <c r="D325" s="2137"/>
      <c r="E325" s="2138"/>
      <c r="F325" s="2138"/>
      <c r="G325" s="263">
        <f>SUM(G302)</f>
        <v>1582989</v>
      </c>
      <c r="H325" s="263">
        <f>SUM(H302)</f>
        <v>1675561</v>
      </c>
      <c r="I325" s="364">
        <f>SUM(I302)</f>
        <v>1490907</v>
      </c>
      <c r="J325" s="287"/>
      <c r="K325" s="265"/>
      <c r="L325" s="265"/>
      <c r="M325" s="265"/>
      <c r="N325" s="265"/>
      <c r="O325" s="265"/>
      <c r="P325" s="265"/>
      <c r="Q325" s="265"/>
      <c r="R325" s="275"/>
      <c r="S325" s="203"/>
      <c r="T325" s="113"/>
      <c r="U325" s="113"/>
      <c r="V325" s="113"/>
      <c r="W325" s="113"/>
      <c r="X325" s="113"/>
      <c r="Y325" s="113"/>
      <c r="Z325" s="113"/>
      <c r="AA325" s="113"/>
      <c r="AB325" s="113"/>
      <c r="AC325" s="113"/>
      <c r="AD325" s="113"/>
      <c r="AE325" s="113"/>
    </row>
    <row r="326" spans="1:31" s="668" customFormat="1" ht="15" customHeight="1">
      <c r="A326" s="98">
        <v>317</v>
      </c>
      <c r="B326" s="1212"/>
      <c r="C326" s="1213"/>
      <c r="D326" s="1213"/>
      <c r="E326" s="628" t="s">
        <v>283</v>
      </c>
      <c r="F326" s="1214"/>
      <c r="G326" s="1215"/>
      <c r="H326" s="1215"/>
      <c r="I326" s="1216"/>
      <c r="J326" s="1217">
        <f>SUM(K326:R326)</f>
        <v>1889184</v>
      </c>
      <c r="K326" s="1218">
        <f>K303</f>
        <v>1327593</v>
      </c>
      <c r="L326" s="1218">
        <f aca="true" t="shared" si="28" ref="L326:R326">L303</f>
        <v>220346</v>
      </c>
      <c r="M326" s="1218">
        <f t="shared" si="28"/>
        <v>307239</v>
      </c>
      <c r="N326" s="1218">
        <f t="shared" si="28"/>
        <v>0</v>
      </c>
      <c r="O326" s="1218">
        <f t="shared" si="28"/>
        <v>0</v>
      </c>
      <c r="P326" s="1218">
        <f t="shared" si="28"/>
        <v>34006</v>
      </c>
      <c r="Q326" s="1218">
        <f t="shared" si="28"/>
        <v>0</v>
      </c>
      <c r="R326" s="1219">
        <f t="shared" si="28"/>
        <v>0</v>
      </c>
      <c r="S326" s="650"/>
      <c r="T326" s="650"/>
      <c r="U326" s="650"/>
      <c r="V326" s="650"/>
      <c r="W326" s="650"/>
      <c r="X326" s="650"/>
      <c r="Y326" s="650"/>
      <c r="Z326" s="650"/>
      <c r="AA326" s="650"/>
      <c r="AB326" s="650"/>
      <c r="AC326" s="650"/>
      <c r="AD326" s="650"/>
      <c r="AE326" s="650"/>
    </row>
    <row r="327" spans="1:31" s="668" customFormat="1" ht="15" customHeight="1">
      <c r="A327" s="98">
        <v>318</v>
      </c>
      <c r="B327" s="1212"/>
      <c r="C327" s="1213"/>
      <c r="D327" s="1213"/>
      <c r="E327" s="483" t="s">
        <v>938</v>
      </c>
      <c r="F327" s="1214"/>
      <c r="G327" s="1215"/>
      <c r="H327" s="1215"/>
      <c r="I327" s="1216"/>
      <c r="J327" s="1651">
        <f>SUM(K327:R327)</f>
        <v>2297500</v>
      </c>
      <c r="K327" s="1649">
        <f>K304</f>
        <v>1422175</v>
      </c>
      <c r="L327" s="1649">
        <f aca="true" t="shared" si="29" ref="L327:R327">L304</f>
        <v>254784</v>
      </c>
      <c r="M327" s="1649">
        <f t="shared" si="29"/>
        <v>523288</v>
      </c>
      <c r="N327" s="1649">
        <f t="shared" si="29"/>
        <v>0</v>
      </c>
      <c r="O327" s="1649">
        <f t="shared" si="29"/>
        <v>47061</v>
      </c>
      <c r="P327" s="1649">
        <f t="shared" si="29"/>
        <v>50192</v>
      </c>
      <c r="Q327" s="1649">
        <f t="shared" si="29"/>
        <v>0</v>
      </c>
      <c r="R327" s="1654">
        <f t="shared" si="29"/>
        <v>0</v>
      </c>
      <c r="S327" s="650"/>
      <c r="T327" s="650"/>
      <c r="U327" s="650"/>
      <c r="V327" s="650"/>
      <c r="W327" s="650"/>
      <c r="X327" s="650"/>
      <c r="Y327" s="650"/>
      <c r="Z327" s="650"/>
      <c r="AA327" s="650"/>
      <c r="AB327" s="650"/>
      <c r="AC327" s="650"/>
      <c r="AD327" s="650"/>
      <c r="AE327" s="650"/>
    </row>
    <row r="328" spans="1:31" s="668" customFormat="1" ht="15" customHeight="1">
      <c r="A328" s="98">
        <v>319</v>
      </c>
      <c r="B328" s="662"/>
      <c r="C328" s="664"/>
      <c r="D328" s="664"/>
      <c r="E328" s="1151" t="s">
        <v>674</v>
      </c>
      <c r="F328" s="664"/>
      <c r="G328" s="665"/>
      <c r="H328" s="665"/>
      <c r="I328" s="666"/>
      <c r="J328" s="1197">
        <f>SUM(K328:R328)</f>
        <v>8653</v>
      </c>
      <c r="K328" s="1235">
        <f>K305</f>
        <v>7487</v>
      </c>
      <c r="L328" s="1235">
        <f aca="true" t="shared" si="30" ref="L328:R328">L305</f>
        <v>1166</v>
      </c>
      <c r="M328" s="1235">
        <f t="shared" si="30"/>
        <v>0</v>
      </c>
      <c r="N328" s="1235">
        <f t="shared" si="30"/>
        <v>0</v>
      </c>
      <c r="O328" s="1235">
        <f t="shared" si="30"/>
        <v>0</v>
      </c>
      <c r="P328" s="1235">
        <f t="shared" si="30"/>
        <v>0</v>
      </c>
      <c r="Q328" s="1235">
        <f t="shared" si="30"/>
        <v>0</v>
      </c>
      <c r="R328" s="1236">
        <f t="shared" si="30"/>
        <v>0</v>
      </c>
      <c r="S328" s="650"/>
      <c r="T328" s="650"/>
      <c r="U328" s="650"/>
      <c r="V328" s="650"/>
      <c r="W328" s="650"/>
      <c r="X328" s="650"/>
      <c r="Y328" s="650"/>
      <c r="Z328" s="650"/>
      <c r="AA328" s="650"/>
      <c r="AB328" s="650"/>
      <c r="AC328" s="650"/>
      <c r="AD328" s="650"/>
      <c r="AE328" s="650"/>
    </row>
    <row r="329" spans="1:31" s="668" customFormat="1" ht="15" customHeight="1" thickBot="1">
      <c r="A329" s="98">
        <v>320</v>
      </c>
      <c r="B329" s="1231"/>
      <c r="C329" s="1232"/>
      <c r="D329" s="1232"/>
      <c r="E329" s="1148" t="s">
        <v>1091</v>
      </c>
      <c r="F329" s="1232"/>
      <c r="G329" s="1233"/>
      <c r="H329" s="1233"/>
      <c r="I329" s="1233"/>
      <c r="J329" s="1234">
        <f>SUM(K329:R329)</f>
        <v>2306153</v>
      </c>
      <c r="K329" s="1652">
        <f>SUM(K327:K328)</f>
        <v>1429662</v>
      </c>
      <c r="L329" s="1652">
        <f aca="true" t="shared" si="31" ref="L329:R329">SUM(L327:L328)</f>
        <v>255950</v>
      </c>
      <c r="M329" s="1652">
        <f t="shared" si="31"/>
        <v>523288</v>
      </c>
      <c r="N329" s="1652">
        <f t="shared" si="31"/>
        <v>0</v>
      </c>
      <c r="O329" s="1652">
        <f t="shared" si="31"/>
        <v>47061</v>
      </c>
      <c r="P329" s="1652">
        <f t="shared" si="31"/>
        <v>50192</v>
      </c>
      <c r="Q329" s="1652">
        <f t="shared" si="31"/>
        <v>0</v>
      </c>
      <c r="R329" s="1655">
        <f t="shared" si="31"/>
        <v>0</v>
      </c>
      <c r="S329" s="650"/>
      <c r="T329" s="650"/>
      <c r="U329" s="650"/>
      <c r="V329" s="650"/>
      <c r="W329" s="650"/>
      <c r="X329" s="650"/>
      <c r="Y329" s="650"/>
      <c r="Z329" s="650"/>
      <c r="AA329" s="650"/>
      <c r="AB329" s="650"/>
      <c r="AC329" s="650"/>
      <c r="AD329" s="650"/>
      <c r="AE329" s="650"/>
    </row>
    <row r="330" spans="1:31" s="671" customFormat="1" ht="18" customHeight="1">
      <c r="A330" s="669"/>
      <c r="B330" s="673" t="s">
        <v>26</v>
      </c>
      <c r="C330" s="673"/>
      <c r="D330" s="673"/>
      <c r="E330" s="670"/>
      <c r="F330" s="437"/>
      <c r="G330" s="438"/>
      <c r="H330" s="438"/>
      <c r="I330" s="438"/>
      <c r="J330" s="439"/>
      <c r="K330" s="438"/>
      <c r="L330" s="438"/>
      <c r="M330" s="438"/>
      <c r="N330" s="438"/>
      <c r="O330" s="438"/>
      <c r="P330" s="438"/>
      <c r="Q330" s="438"/>
      <c r="R330" s="438"/>
      <c r="S330" s="1770"/>
      <c r="T330" s="1770"/>
      <c r="U330" s="1770"/>
      <c r="V330" s="1770"/>
      <c r="W330" s="1770"/>
      <c r="X330" s="1770"/>
      <c r="Y330" s="1770"/>
      <c r="Z330" s="1770"/>
      <c r="AA330" s="1770"/>
      <c r="AB330" s="1770"/>
      <c r="AC330" s="1770"/>
      <c r="AD330" s="1770"/>
      <c r="AE330" s="1770"/>
    </row>
    <row r="331" spans="1:31" s="112" customFormat="1" ht="18" customHeight="1">
      <c r="A331" s="669"/>
      <c r="B331" s="672" t="s">
        <v>27</v>
      </c>
      <c r="C331" s="672"/>
      <c r="D331" s="672"/>
      <c r="E331" s="28"/>
      <c r="F331" s="28"/>
      <c r="G331" s="28"/>
      <c r="H331" s="28"/>
      <c r="I331" s="28"/>
      <c r="J331" s="28"/>
      <c r="K331" s="88"/>
      <c r="L331" s="88"/>
      <c r="M331" s="88"/>
      <c r="N331" s="88"/>
      <c r="O331" s="88"/>
      <c r="P331" s="88"/>
      <c r="Q331" s="88"/>
      <c r="R331" s="88"/>
      <c r="S331" s="114"/>
      <c r="T331" s="114"/>
      <c r="U331" s="114"/>
      <c r="V331" s="114"/>
      <c r="W331" s="114"/>
      <c r="X331" s="114"/>
      <c r="Y331" s="114"/>
      <c r="Z331" s="114"/>
      <c r="AA331" s="114"/>
      <c r="AB331" s="114"/>
      <c r="AC331" s="114"/>
      <c r="AD331" s="114"/>
      <c r="AE331" s="114"/>
    </row>
    <row r="332" spans="1:31" s="27" customFormat="1" ht="18" customHeight="1">
      <c r="A332" s="669"/>
      <c r="B332" s="672" t="s">
        <v>28</v>
      </c>
      <c r="C332" s="672"/>
      <c r="D332" s="672"/>
      <c r="E332" s="28"/>
      <c r="F332" s="349"/>
      <c r="G332" s="88"/>
      <c r="H332" s="88"/>
      <c r="I332" s="88"/>
      <c r="J332" s="476"/>
      <c r="K332" s="88"/>
      <c r="L332" s="88"/>
      <c r="M332" s="88"/>
      <c r="N332" s="88"/>
      <c r="O332" s="88"/>
      <c r="P332" s="88"/>
      <c r="Q332" s="88"/>
      <c r="R332" s="88"/>
      <c r="S332" s="199"/>
      <c r="T332" s="199"/>
      <c r="U332" s="199"/>
      <c r="V332" s="199"/>
      <c r="W332" s="199"/>
      <c r="X332" s="199"/>
      <c r="Y332" s="199"/>
      <c r="Z332" s="199"/>
      <c r="AA332" s="199"/>
      <c r="AB332" s="199"/>
      <c r="AC332" s="199"/>
      <c r="AD332" s="199"/>
      <c r="AE332" s="199"/>
    </row>
    <row r="333" spans="7:18" ht="15">
      <c r="G333" s="199">
        <f>+G307-G313-G319-G325</f>
        <v>0</v>
      </c>
      <c r="H333" s="199">
        <f>+H307-H313-H319-H325</f>
        <v>0</v>
      </c>
      <c r="I333" s="199">
        <f>+I307-I313-I319-I325</f>
        <v>0</v>
      </c>
      <c r="J333" s="114">
        <f>+J308-J314-J320-J326</f>
        <v>0</v>
      </c>
      <c r="K333" s="114">
        <f>+K308-K314-K320-K326</f>
        <v>0</v>
      </c>
      <c r="L333" s="114">
        <f aca="true" t="shared" si="32" ref="L333:R333">+L308-L314-L320-L326</f>
        <v>0</v>
      </c>
      <c r="M333" s="114">
        <f t="shared" si="32"/>
        <v>0</v>
      </c>
      <c r="N333" s="114">
        <f t="shared" si="32"/>
        <v>0</v>
      </c>
      <c r="O333" s="114">
        <f t="shared" si="32"/>
        <v>0</v>
      </c>
      <c r="P333" s="114">
        <f t="shared" si="32"/>
        <v>0</v>
      </c>
      <c r="Q333" s="114">
        <f t="shared" si="32"/>
        <v>0</v>
      </c>
      <c r="R333" s="114">
        <f t="shared" si="32"/>
        <v>0</v>
      </c>
    </row>
    <row r="334" spans="7:10" ht="15">
      <c r="G334" s="199">
        <f>+G307-'2.Onki'!G8</f>
        <v>0</v>
      </c>
      <c r="H334" s="199">
        <f>+H307-'2.Onki'!H8</f>
        <v>0</v>
      </c>
      <c r="J334" s="114">
        <f>+J308-'2.Onki'!J8</f>
        <v>0</v>
      </c>
    </row>
  </sheetData>
  <sheetProtection/>
  <mergeCells count="106">
    <mergeCell ref="D39:E39"/>
    <mergeCell ref="D15:E15"/>
    <mergeCell ref="D16:E16"/>
    <mergeCell ref="D21:E21"/>
    <mergeCell ref="D22:E22"/>
    <mergeCell ref="D27:E27"/>
    <mergeCell ref="J7:J8"/>
    <mergeCell ref="B7:B8"/>
    <mergeCell ref="C7:C8"/>
    <mergeCell ref="K7:O7"/>
    <mergeCell ref="D9:E9"/>
    <mergeCell ref="D10:E10"/>
    <mergeCell ref="D28:E28"/>
    <mergeCell ref="D33:E33"/>
    <mergeCell ref="D34:E34"/>
    <mergeCell ref="B325:F325"/>
    <mergeCell ref="D299:E299"/>
    <mergeCell ref="C302:E302"/>
    <mergeCell ref="B307:E307"/>
    <mergeCell ref="B312:E312"/>
    <mergeCell ref="B313:F313"/>
    <mergeCell ref="D295:E295"/>
    <mergeCell ref="C47:E47"/>
    <mergeCell ref="C76:E76"/>
    <mergeCell ref="D132:E132"/>
    <mergeCell ref="D152:E152"/>
    <mergeCell ref="C166:E166"/>
    <mergeCell ref="D202:E202"/>
    <mergeCell ref="D292:E292"/>
    <mergeCell ref="D212:E212"/>
    <mergeCell ref="D207:F207"/>
    <mergeCell ref="D182:E182"/>
    <mergeCell ref="D187:E187"/>
    <mergeCell ref="D40:E40"/>
    <mergeCell ref="D52:E52"/>
    <mergeCell ref="D59:E59"/>
    <mergeCell ref="D60:E60"/>
    <mergeCell ref="D45:E45"/>
    <mergeCell ref="D111:E111"/>
    <mergeCell ref="D66:E66"/>
    <mergeCell ref="D75:E75"/>
    <mergeCell ref="D81:E81"/>
    <mergeCell ref="D87:E87"/>
    <mergeCell ref="D97:E97"/>
    <mergeCell ref="D93:E93"/>
    <mergeCell ref="D88:E88"/>
    <mergeCell ref="B1:M1"/>
    <mergeCell ref="B318:E318"/>
    <mergeCell ref="B319:F319"/>
    <mergeCell ref="B324:E324"/>
    <mergeCell ref="D233:E233"/>
    <mergeCell ref="D238:E238"/>
    <mergeCell ref="D243:E243"/>
    <mergeCell ref="D247:I247"/>
    <mergeCell ref="B2:G2"/>
    <mergeCell ref="B3:R3"/>
    <mergeCell ref="B4:R4"/>
    <mergeCell ref="Q5:R5"/>
    <mergeCell ref="D6:E6"/>
    <mergeCell ref="P7:R7"/>
    <mergeCell ref="D7:E8"/>
    <mergeCell ref="F7:F8"/>
    <mergeCell ref="G7:G8"/>
    <mergeCell ref="H7:H8"/>
    <mergeCell ref="I7:I8"/>
    <mergeCell ref="D105:E105"/>
    <mergeCell ref="D106:E106"/>
    <mergeCell ref="D114:E114"/>
    <mergeCell ref="D120:E120"/>
    <mergeCell ref="D121:F121"/>
    <mergeCell ref="D158:E158"/>
    <mergeCell ref="D126:E126"/>
    <mergeCell ref="D131:E131"/>
    <mergeCell ref="D133:E133"/>
    <mergeCell ref="D141:E141"/>
    <mergeCell ref="D147:E147"/>
    <mergeCell ref="D138:E138"/>
    <mergeCell ref="D298:E298"/>
    <mergeCell ref="D300:E300"/>
    <mergeCell ref="D192:E192"/>
    <mergeCell ref="D197:E197"/>
    <mergeCell ref="D217:F217"/>
    <mergeCell ref="D222:E222"/>
    <mergeCell ref="D227:E227"/>
    <mergeCell ref="D228:E228"/>
    <mergeCell ref="D153:E153"/>
    <mergeCell ref="D161:E161"/>
    <mergeCell ref="D171:E171"/>
    <mergeCell ref="D181:E181"/>
    <mergeCell ref="B176:E176"/>
    <mergeCell ref="D281:E281"/>
    <mergeCell ref="D301:E301"/>
    <mergeCell ref="D293:E293"/>
    <mergeCell ref="D294:E294"/>
    <mergeCell ref="D290:E290"/>
    <mergeCell ref="D296:E296"/>
    <mergeCell ref="D297:E297"/>
    <mergeCell ref="D257:E257"/>
    <mergeCell ref="D262:E262"/>
    <mergeCell ref="D263:E263"/>
    <mergeCell ref="D268:E268"/>
    <mergeCell ref="D291:E291"/>
    <mergeCell ref="D273:E273"/>
    <mergeCell ref="D277:E277"/>
    <mergeCell ref="D284:E284"/>
    <mergeCell ref="D287:E287"/>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58"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N204"/>
  <sheetViews>
    <sheetView view="pageBreakPreview" zoomScaleSheetLayoutView="100" zoomScalePageLayoutView="0" workbookViewId="0" topLeftCell="A1">
      <pane ySplit="8" topLeftCell="A155" activePane="bottomLeft" state="frozen"/>
      <selection pane="topLeft" activeCell="F23" sqref="F23"/>
      <selection pane="bottomLeft" activeCell="B1" sqref="B1:N1"/>
    </sheetView>
  </sheetViews>
  <sheetFormatPr defaultColWidth="9.125" defaultRowHeight="12.75"/>
  <cols>
    <col min="1" max="1" width="4.25390625" style="696" customWidth="1"/>
    <col min="2" max="2" width="5.75390625" style="685" customWidth="1"/>
    <col min="3" max="3" width="5.75390625" style="686" customWidth="1"/>
    <col min="4" max="4" width="59.75390625" style="687" customWidth="1"/>
    <col min="5" max="5" width="6.75390625" style="688" customWidth="1"/>
    <col min="6" max="7" width="13.75390625" style="729" customWidth="1"/>
    <col min="8" max="8" width="13.75390625" style="689" customWidth="1"/>
    <col min="9" max="10" width="15.75390625" style="689" customWidth="1"/>
    <col min="11" max="11" width="15.75390625" style="1175" customWidth="1"/>
    <col min="12" max="12" width="15.75390625" style="691" customWidth="1"/>
    <col min="13" max="13" width="9.125" style="691" customWidth="1"/>
    <col min="14" max="14" width="53.75390625" style="691" customWidth="1"/>
    <col min="15" max="15" width="35.00390625" style="691" customWidth="1"/>
    <col min="16" max="16384" width="9.125" style="691" customWidth="1"/>
  </cols>
  <sheetData>
    <row r="1" spans="2:14" ht="17.25">
      <c r="B1" s="2039" t="s">
        <v>1101</v>
      </c>
      <c r="C1" s="2039"/>
      <c r="D1" s="2039"/>
      <c r="E1" s="2039"/>
      <c r="F1" s="2039"/>
      <c r="G1" s="2039"/>
      <c r="H1" s="2039"/>
      <c r="I1" s="2039"/>
      <c r="J1" s="2039"/>
      <c r="K1" s="2039"/>
      <c r="L1" s="2039"/>
      <c r="M1" s="2039"/>
      <c r="N1" s="2039"/>
    </row>
    <row r="2" spans="1:248" s="683" customFormat="1" ht="18" customHeight="1">
      <c r="A2" s="800"/>
      <c r="B2" s="2175" t="s">
        <v>731</v>
      </c>
      <c r="C2" s="2175"/>
      <c r="D2" s="2175"/>
      <c r="E2" s="801"/>
      <c r="F2" s="802"/>
      <c r="G2" s="802"/>
      <c r="H2" s="803"/>
      <c r="I2" s="682"/>
      <c r="J2" s="682"/>
      <c r="K2" s="117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804"/>
      <c r="AK2" s="804"/>
      <c r="AL2" s="804"/>
      <c r="AM2" s="804"/>
      <c r="AN2" s="804"/>
      <c r="AO2" s="804"/>
      <c r="AP2" s="804"/>
      <c r="AQ2" s="804"/>
      <c r="AR2" s="804"/>
      <c r="AS2" s="804"/>
      <c r="AT2" s="804"/>
      <c r="AU2" s="804"/>
      <c r="AV2" s="804"/>
      <c r="AW2" s="804"/>
      <c r="AX2" s="804"/>
      <c r="AY2" s="804"/>
      <c r="AZ2" s="804"/>
      <c r="BA2" s="804"/>
      <c r="BB2" s="804"/>
      <c r="BC2" s="804"/>
      <c r="BD2" s="804"/>
      <c r="BE2" s="804"/>
      <c r="BF2" s="804"/>
      <c r="BG2" s="804"/>
      <c r="BH2" s="804"/>
      <c r="BI2" s="804"/>
      <c r="BJ2" s="804"/>
      <c r="BK2" s="804"/>
      <c r="BL2" s="804"/>
      <c r="BM2" s="804"/>
      <c r="BN2" s="804"/>
      <c r="BO2" s="804"/>
      <c r="BP2" s="804"/>
      <c r="BQ2" s="804"/>
      <c r="BR2" s="804"/>
      <c r="BS2" s="804"/>
      <c r="BT2" s="804"/>
      <c r="BU2" s="804"/>
      <c r="BV2" s="804"/>
      <c r="BW2" s="804"/>
      <c r="BX2" s="804"/>
      <c r="BY2" s="804"/>
      <c r="BZ2" s="804"/>
      <c r="CA2" s="804"/>
      <c r="CB2" s="804"/>
      <c r="CC2" s="804"/>
      <c r="CD2" s="804"/>
      <c r="CE2" s="804"/>
      <c r="CF2" s="804"/>
      <c r="CG2" s="804"/>
      <c r="CH2" s="804"/>
      <c r="CI2" s="804"/>
      <c r="CJ2" s="804"/>
      <c r="CK2" s="804"/>
      <c r="CL2" s="804"/>
      <c r="CM2" s="804"/>
      <c r="CN2" s="804"/>
      <c r="CO2" s="804"/>
      <c r="CP2" s="804"/>
      <c r="CQ2" s="804"/>
      <c r="CR2" s="804"/>
      <c r="CS2" s="804"/>
      <c r="CT2" s="804"/>
      <c r="CU2" s="804"/>
      <c r="CV2" s="804"/>
      <c r="CW2" s="804"/>
      <c r="CX2" s="804"/>
      <c r="CY2" s="804"/>
      <c r="CZ2" s="804"/>
      <c r="DA2" s="804"/>
      <c r="DB2" s="804"/>
      <c r="DC2" s="804"/>
      <c r="DD2" s="804"/>
      <c r="DE2" s="804"/>
      <c r="DF2" s="804"/>
      <c r="DG2" s="804"/>
      <c r="DH2" s="804"/>
      <c r="DI2" s="804"/>
      <c r="DJ2" s="804"/>
      <c r="DK2" s="804"/>
      <c r="DL2" s="804"/>
      <c r="DM2" s="804"/>
      <c r="DN2" s="804"/>
      <c r="DO2" s="804"/>
      <c r="DP2" s="804"/>
      <c r="DQ2" s="804"/>
      <c r="DR2" s="804"/>
      <c r="DS2" s="804"/>
      <c r="DT2" s="804"/>
      <c r="DU2" s="804"/>
      <c r="DV2" s="804"/>
      <c r="DW2" s="804"/>
      <c r="DX2" s="804"/>
      <c r="DY2" s="804"/>
      <c r="DZ2" s="804"/>
      <c r="EA2" s="804"/>
      <c r="EB2" s="804"/>
      <c r="EC2" s="804"/>
      <c r="ED2" s="804"/>
      <c r="EE2" s="804"/>
      <c r="EF2" s="804"/>
      <c r="EG2" s="804"/>
      <c r="EH2" s="804"/>
      <c r="EI2" s="804"/>
      <c r="EJ2" s="804"/>
      <c r="EK2" s="804"/>
      <c r="EL2" s="804"/>
      <c r="EM2" s="804"/>
      <c r="EN2" s="804"/>
      <c r="EO2" s="804"/>
      <c r="EP2" s="804"/>
      <c r="EQ2" s="804"/>
      <c r="ER2" s="804"/>
      <c r="ES2" s="804"/>
      <c r="ET2" s="804"/>
      <c r="EU2" s="804"/>
      <c r="EV2" s="804"/>
      <c r="EW2" s="804"/>
      <c r="EX2" s="804"/>
      <c r="EY2" s="804"/>
      <c r="EZ2" s="804"/>
      <c r="FA2" s="804"/>
      <c r="FB2" s="804"/>
      <c r="FC2" s="804"/>
      <c r="FD2" s="804"/>
      <c r="FE2" s="804"/>
      <c r="FF2" s="804"/>
      <c r="FG2" s="804"/>
      <c r="FH2" s="804"/>
      <c r="FI2" s="804"/>
      <c r="FJ2" s="804"/>
      <c r="FK2" s="804"/>
      <c r="FL2" s="804"/>
      <c r="FM2" s="804"/>
      <c r="FN2" s="804"/>
      <c r="FO2" s="804"/>
      <c r="FP2" s="804"/>
      <c r="FQ2" s="804"/>
      <c r="FR2" s="804"/>
      <c r="FS2" s="804"/>
      <c r="FT2" s="804"/>
      <c r="FU2" s="804"/>
      <c r="FV2" s="804"/>
      <c r="FW2" s="804"/>
      <c r="FX2" s="804"/>
      <c r="FY2" s="804"/>
      <c r="FZ2" s="804"/>
      <c r="GA2" s="804"/>
      <c r="GB2" s="804"/>
      <c r="GC2" s="804"/>
      <c r="GD2" s="804"/>
      <c r="GE2" s="804"/>
      <c r="GF2" s="804"/>
      <c r="GG2" s="804"/>
      <c r="GH2" s="804"/>
      <c r="GI2" s="804"/>
      <c r="GJ2" s="804"/>
      <c r="GK2" s="804"/>
      <c r="GL2" s="804"/>
      <c r="GM2" s="804"/>
      <c r="GN2" s="804"/>
      <c r="GO2" s="804"/>
      <c r="GP2" s="804"/>
      <c r="GQ2" s="804"/>
      <c r="GR2" s="804"/>
      <c r="GS2" s="804"/>
      <c r="GT2" s="804"/>
      <c r="GU2" s="804"/>
      <c r="GV2" s="804"/>
      <c r="GW2" s="804"/>
      <c r="GX2" s="804"/>
      <c r="GY2" s="804"/>
      <c r="GZ2" s="804"/>
      <c r="HA2" s="804"/>
      <c r="HB2" s="804"/>
      <c r="HC2" s="804"/>
      <c r="HD2" s="804"/>
      <c r="HE2" s="804"/>
      <c r="HF2" s="804"/>
      <c r="HG2" s="804"/>
      <c r="HH2" s="804"/>
      <c r="HI2" s="804"/>
      <c r="HJ2" s="804"/>
      <c r="HK2" s="804"/>
      <c r="HL2" s="804"/>
      <c r="HM2" s="804"/>
      <c r="HN2" s="804"/>
      <c r="HO2" s="804"/>
      <c r="HP2" s="804"/>
      <c r="HQ2" s="804"/>
      <c r="HR2" s="804"/>
      <c r="HS2" s="804"/>
      <c r="HT2" s="804"/>
      <c r="HU2" s="804"/>
      <c r="HV2" s="804"/>
      <c r="HW2" s="804"/>
      <c r="HX2" s="804"/>
      <c r="HY2" s="804"/>
      <c r="HZ2" s="804"/>
      <c r="IA2" s="804"/>
      <c r="IB2" s="804"/>
      <c r="IC2" s="804"/>
      <c r="ID2" s="804"/>
      <c r="IE2" s="804"/>
      <c r="IF2" s="804"/>
      <c r="IG2" s="804"/>
      <c r="IH2" s="804"/>
      <c r="II2" s="804"/>
      <c r="IJ2" s="804"/>
      <c r="IK2" s="804"/>
      <c r="IL2" s="804"/>
      <c r="IM2" s="804"/>
      <c r="IN2" s="804"/>
    </row>
    <row r="3" spans="1:12" s="683" customFormat="1" ht="24.75" customHeight="1">
      <c r="A3" s="684"/>
      <c r="B3" s="2164" t="s">
        <v>127</v>
      </c>
      <c r="C3" s="2164"/>
      <c r="D3" s="2164"/>
      <c r="E3" s="2164"/>
      <c r="F3" s="2164"/>
      <c r="G3" s="2164"/>
      <c r="H3" s="2164"/>
      <c r="I3" s="2164"/>
      <c r="J3" s="2164"/>
      <c r="K3" s="2164"/>
      <c r="L3" s="2164"/>
    </row>
    <row r="4" spans="1:12" s="683" customFormat="1" ht="24.75" customHeight="1">
      <c r="A4" s="684"/>
      <c r="B4" s="2163" t="s">
        <v>543</v>
      </c>
      <c r="C4" s="2163"/>
      <c r="D4" s="2163"/>
      <c r="E4" s="2163"/>
      <c r="F4" s="2163"/>
      <c r="G4" s="2163"/>
      <c r="H4" s="2163"/>
      <c r="I4" s="2163"/>
      <c r="J4" s="2163"/>
      <c r="K4" s="2163"/>
      <c r="L4" s="2163"/>
    </row>
    <row r="5" spans="1:12" ht="18" customHeight="1">
      <c r="A5" s="685"/>
      <c r="L5" s="690" t="s">
        <v>0</v>
      </c>
    </row>
    <row r="6" spans="1:248" s="695" customFormat="1" ht="18" customHeight="1" thickBot="1">
      <c r="A6" s="692"/>
      <c r="B6" s="693" t="s">
        <v>1</v>
      </c>
      <c r="C6" s="694" t="s">
        <v>3</v>
      </c>
      <c r="D6" s="694" t="s">
        <v>2</v>
      </c>
      <c r="E6" s="694" t="s">
        <v>4</v>
      </c>
      <c r="F6" s="694" t="s">
        <v>5</v>
      </c>
      <c r="G6" s="694" t="s">
        <v>15</v>
      </c>
      <c r="H6" s="694" t="s">
        <v>16</v>
      </c>
      <c r="I6" s="694" t="s">
        <v>17</v>
      </c>
      <c r="J6" s="694" t="s">
        <v>33</v>
      </c>
      <c r="K6" s="692" t="s">
        <v>29</v>
      </c>
      <c r="L6" s="692" t="s">
        <v>22</v>
      </c>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c r="BW6" s="692"/>
      <c r="BX6" s="692"/>
      <c r="BY6" s="692"/>
      <c r="BZ6" s="692"/>
      <c r="CA6" s="692"/>
      <c r="CB6" s="692"/>
      <c r="CC6" s="692"/>
      <c r="CD6" s="692"/>
      <c r="CE6" s="692"/>
      <c r="CF6" s="692"/>
      <c r="CG6" s="692"/>
      <c r="CH6" s="692"/>
      <c r="CI6" s="692"/>
      <c r="CJ6" s="692"/>
      <c r="CK6" s="692"/>
      <c r="CL6" s="692"/>
      <c r="CM6" s="692"/>
      <c r="CN6" s="692"/>
      <c r="CO6" s="692"/>
      <c r="CP6" s="692"/>
      <c r="CQ6" s="692"/>
      <c r="CR6" s="692"/>
      <c r="CS6" s="692"/>
      <c r="CT6" s="692"/>
      <c r="CU6" s="692"/>
      <c r="CV6" s="692"/>
      <c r="CW6" s="692"/>
      <c r="CX6" s="692"/>
      <c r="CY6" s="692"/>
      <c r="CZ6" s="692"/>
      <c r="DA6" s="692"/>
      <c r="DB6" s="692"/>
      <c r="DC6" s="692"/>
      <c r="DD6" s="692"/>
      <c r="DE6" s="692"/>
      <c r="DF6" s="692"/>
      <c r="DG6" s="692"/>
      <c r="DH6" s="692"/>
      <c r="DI6" s="692"/>
      <c r="DJ6" s="692"/>
      <c r="DK6" s="692"/>
      <c r="DL6" s="692"/>
      <c r="DM6" s="692"/>
      <c r="DN6" s="692"/>
      <c r="DO6" s="692"/>
      <c r="DP6" s="692"/>
      <c r="DQ6" s="692"/>
      <c r="DR6" s="692"/>
      <c r="DS6" s="692"/>
      <c r="DT6" s="692"/>
      <c r="DU6" s="692"/>
      <c r="DV6" s="692"/>
      <c r="DW6" s="692"/>
      <c r="DX6" s="692"/>
      <c r="DY6" s="692"/>
      <c r="DZ6" s="692"/>
      <c r="EA6" s="692"/>
      <c r="EB6" s="692"/>
      <c r="EC6" s="692"/>
      <c r="ED6" s="692"/>
      <c r="EE6" s="692"/>
      <c r="EF6" s="692"/>
      <c r="EG6" s="692"/>
      <c r="EH6" s="692"/>
      <c r="EI6" s="692"/>
      <c r="EJ6" s="692"/>
      <c r="EK6" s="692"/>
      <c r="EL6" s="692"/>
      <c r="EM6" s="692"/>
      <c r="EN6" s="692"/>
      <c r="EO6" s="692"/>
      <c r="EP6" s="692"/>
      <c r="EQ6" s="692"/>
      <c r="ER6" s="692"/>
      <c r="ES6" s="692"/>
      <c r="ET6" s="692"/>
      <c r="EU6" s="692"/>
      <c r="EV6" s="692"/>
      <c r="EW6" s="692"/>
      <c r="EX6" s="692"/>
      <c r="EY6" s="692"/>
      <c r="EZ6" s="692"/>
      <c r="FA6" s="692"/>
      <c r="FB6" s="692"/>
      <c r="FC6" s="692"/>
      <c r="FD6" s="692"/>
      <c r="FE6" s="692"/>
      <c r="FF6" s="692"/>
      <c r="FG6" s="692"/>
      <c r="FH6" s="692"/>
      <c r="FI6" s="692"/>
      <c r="FJ6" s="692"/>
      <c r="FK6" s="692"/>
      <c r="FL6" s="692"/>
      <c r="FM6" s="692"/>
      <c r="FN6" s="692"/>
      <c r="FO6" s="692"/>
      <c r="FP6" s="692"/>
      <c r="FQ6" s="692"/>
      <c r="FR6" s="692"/>
      <c r="FS6" s="692"/>
      <c r="FT6" s="692"/>
      <c r="FU6" s="692"/>
      <c r="FV6" s="692"/>
      <c r="FW6" s="692"/>
      <c r="FX6" s="692"/>
      <c r="FY6" s="692"/>
      <c r="FZ6" s="692"/>
      <c r="GA6" s="692"/>
      <c r="GB6" s="692"/>
      <c r="GC6" s="692"/>
      <c r="GD6" s="692"/>
      <c r="GE6" s="692"/>
      <c r="GF6" s="692"/>
      <c r="GG6" s="692"/>
      <c r="GH6" s="692"/>
      <c r="GI6" s="692"/>
      <c r="GJ6" s="692"/>
      <c r="GK6" s="692"/>
      <c r="GL6" s="692"/>
      <c r="GM6" s="692"/>
      <c r="GN6" s="692"/>
      <c r="GO6" s="692"/>
      <c r="GP6" s="692"/>
      <c r="GQ6" s="692"/>
      <c r="GR6" s="692"/>
      <c r="GS6" s="692"/>
      <c r="GT6" s="692"/>
      <c r="GU6" s="692"/>
      <c r="GV6" s="692"/>
      <c r="GW6" s="692"/>
      <c r="GX6" s="692"/>
      <c r="GY6" s="692"/>
      <c r="GZ6" s="692"/>
      <c r="HA6" s="692"/>
      <c r="HB6" s="692"/>
      <c r="HC6" s="692"/>
      <c r="HD6" s="692"/>
      <c r="HE6" s="692"/>
      <c r="HF6" s="692"/>
      <c r="HG6" s="692"/>
      <c r="HH6" s="692"/>
      <c r="HI6" s="692"/>
      <c r="HJ6" s="692"/>
      <c r="HK6" s="692"/>
      <c r="HL6" s="692"/>
      <c r="HM6" s="692"/>
      <c r="HN6" s="692"/>
      <c r="HO6" s="692"/>
      <c r="HP6" s="692"/>
      <c r="HQ6" s="692"/>
      <c r="HR6" s="692"/>
      <c r="HS6" s="692"/>
      <c r="HT6" s="692"/>
      <c r="HU6" s="692"/>
      <c r="HV6" s="692"/>
      <c r="HW6" s="692"/>
      <c r="HX6" s="692"/>
      <c r="HY6" s="692"/>
      <c r="HZ6" s="692"/>
      <c r="IA6" s="692"/>
      <c r="IB6" s="692"/>
      <c r="IC6" s="692"/>
      <c r="ID6" s="692"/>
      <c r="IE6" s="692"/>
      <c r="IF6" s="692"/>
      <c r="IG6" s="692"/>
      <c r="IH6" s="692"/>
      <c r="II6" s="692"/>
      <c r="IJ6" s="692"/>
      <c r="IK6" s="692"/>
      <c r="IL6" s="692"/>
      <c r="IM6" s="692"/>
      <c r="IN6" s="692"/>
    </row>
    <row r="7" spans="2:12" ht="30" customHeight="1">
      <c r="B7" s="2176" t="s">
        <v>18</v>
      </c>
      <c r="C7" s="2178" t="s">
        <v>19</v>
      </c>
      <c r="D7" s="2180" t="s">
        <v>6</v>
      </c>
      <c r="E7" s="2182" t="s">
        <v>276</v>
      </c>
      <c r="F7" s="2155" t="s">
        <v>541</v>
      </c>
      <c r="G7" s="2155" t="s">
        <v>536</v>
      </c>
      <c r="H7" s="2157" t="s">
        <v>614</v>
      </c>
      <c r="I7" s="2165" t="s">
        <v>673</v>
      </c>
      <c r="J7" s="2167" t="s">
        <v>937</v>
      </c>
      <c r="K7" s="2159" t="s">
        <v>112</v>
      </c>
      <c r="L7" s="2161" t="s">
        <v>1090</v>
      </c>
    </row>
    <row r="8" spans="2:12" ht="60.75" customHeight="1" thickBot="1">
      <c r="B8" s="2177"/>
      <c r="C8" s="2179"/>
      <c r="D8" s="2181"/>
      <c r="E8" s="2183"/>
      <c r="F8" s="2156"/>
      <c r="G8" s="2156"/>
      <c r="H8" s="2158"/>
      <c r="I8" s="2166"/>
      <c r="J8" s="2168"/>
      <c r="K8" s="2160"/>
      <c r="L8" s="2162"/>
    </row>
    <row r="9" spans="1:12" ht="24.75" customHeight="1">
      <c r="A9" s="696">
        <v>1</v>
      </c>
      <c r="B9" s="1978" t="s">
        <v>379</v>
      </c>
      <c r="C9" s="2184" t="s">
        <v>999</v>
      </c>
      <c r="D9" s="2184"/>
      <c r="E9" s="1980"/>
      <c r="F9" s="1981"/>
      <c r="G9" s="1981"/>
      <c r="H9" s="1985"/>
      <c r="I9" s="1984"/>
      <c r="J9" s="1982"/>
      <c r="K9" s="1983"/>
      <c r="L9" s="1979"/>
    </row>
    <row r="10" spans="1:12" s="941" customFormat="1" ht="22.5" customHeight="1">
      <c r="A10" s="933">
        <v>2</v>
      </c>
      <c r="B10" s="934">
        <v>1</v>
      </c>
      <c r="C10" s="935" t="s">
        <v>286</v>
      </c>
      <c r="D10" s="936"/>
      <c r="E10" s="937" t="s">
        <v>22</v>
      </c>
      <c r="F10" s="938">
        <v>3100</v>
      </c>
      <c r="G10" s="939">
        <v>510</v>
      </c>
      <c r="H10" s="940">
        <v>531</v>
      </c>
      <c r="I10" s="1167"/>
      <c r="J10" s="1658"/>
      <c r="K10" s="1564"/>
      <c r="L10" s="1166"/>
    </row>
    <row r="11" spans="1:12" s="948" customFormat="1" ht="44.25" customHeight="1">
      <c r="A11" s="942">
        <v>3</v>
      </c>
      <c r="B11" s="934"/>
      <c r="C11" s="943">
        <v>1</v>
      </c>
      <c r="D11" s="944" t="s">
        <v>1047</v>
      </c>
      <c r="E11" s="937"/>
      <c r="F11" s="945"/>
      <c r="G11" s="946"/>
      <c r="H11" s="947"/>
      <c r="I11" s="1168">
        <f>30+65+77+90+903</f>
        <v>1165</v>
      </c>
      <c r="J11" s="1664">
        <v>1185</v>
      </c>
      <c r="K11" s="1439">
        <v>171</v>
      </c>
      <c r="L11" s="1172">
        <f>SUM(J11:K11)</f>
        <v>1356</v>
      </c>
    </row>
    <row r="12" spans="1:12" s="948" customFormat="1" ht="18" customHeight="1">
      <c r="A12" s="696">
        <v>4</v>
      </c>
      <c r="B12" s="934"/>
      <c r="C12" s="949">
        <v>2</v>
      </c>
      <c r="D12" s="950" t="s">
        <v>850</v>
      </c>
      <c r="E12" s="937"/>
      <c r="F12" s="945"/>
      <c r="G12" s="946"/>
      <c r="H12" s="947"/>
      <c r="I12" s="1168">
        <v>400</v>
      </c>
      <c r="J12" s="1659">
        <v>991</v>
      </c>
      <c r="K12" s="1439">
        <v>400</v>
      </c>
      <c r="L12" s="1172">
        <f aca="true" t="shared" si="0" ref="L12:L82">SUM(J12:K12)</f>
        <v>1391</v>
      </c>
    </row>
    <row r="13" spans="1:12" s="948" customFormat="1" ht="18" customHeight="1">
      <c r="A13" s="933">
        <v>5</v>
      </c>
      <c r="B13" s="934"/>
      <c r="C13" s="949">
        <v>3</v>
      </c>
      <c r="D13" s="950" t="s">
        <v>549</v>
      </c>
      <c r="E13" s="937"/>
      <c r="F13" s="945"/>
      <c r="G13" s="946"/>
      <c r="H13" s="947"/>
      <c r="I13" s="1168">
        <v>500</v>
      </c>
      <c r="J13" s="1659">
        <v>500</v>
      </c>
      <c r="K13" s="1439"/>
      <c r="L13" s="1172">
        <f t="shared" si="0"/>
        <v>500</v>
      </c>
    </row>
    <row r="14" spans="1:12" s="948" customFormat="1" ht="18" customHeight="1">
      <c r="A14" s="942">
        <v>6</v>
      </c>
      <c r="B14" s="934"/>
      <c r="C14" s="949">
        <v>4</v>
      </c>
      <c r="D14" s="950" t="s">
        <v>550</v>
      </c>
      <c r="E14" s="937"/>
      <c r="F14" s="945"/>
      <c r="G14" s="946"/>
      <c r="H14" s="947"/>
      <c r="I14" s="1168">
        <v>250</v>
      </c>
      <c r="J14" s="1659">
        <v>250</v>
      </c>
      <c r="K14" s="1439"/>
      <c r="L14" s="1172">
        <f t="shared" si="0"/>
        <v>250</v>
      </c>
    </row>
    <row r="15" spans="1:12" s="948" customFormat="1" ht="18" customHeight="1">
      <c r="A15" s="696">
        <v>7</v>
      </c>
      <c r="B15" s="934"/>
      <c r="C15" s="949">
        <v>5</v>
      </c>
      <c r="D15" s="950" t="s">
        <v>551</v>
      </c>
      <c r="E15" s="937"/>
      <c r="F15" s="945"/>
      <c r="G15" s="946"/>
      <c r="H15" s="947"/>
      <c r="I15" s="1168">
        <v>500</v>
      </c>
      <c r="J15" s="1659">
        <v>500</v>
      </c>
      <c r="K15" s="1439"/>
      <c r="L15" s="1172">
        <f t="shared" si="0"/>
        <v>500</v>
      </c>
    </row>
    <row r="16" spans="1:12" s="948" customFormat="1" ht="18" customHeight="1">
      <c r="A16" s="933">
        <v>8</v>
      </c>
      <c r="B16" s="934"/>
      <c r="C16" s="949">
        <v>6</v>
      </c>
      <c r="D16" s="950" t="s">
        <v>552</v>
      </c>
      <c r="E16" s="937"/>
      <c r="F16" s="945"/>
      <c r="G16" s="946"/>
      <c r="H16" s="947"/>
      <c r="I16" s="1168">
        <v>600</v>
      </c>
      <c r="J16" s="1659">
        <v>600</v>
      </c>
      <c r="K16" s="1439"/>
      <c r="L16" s="1172">
        <f t="shared" si="0"/>
        <v>600</v>
      </c>
    </row>
    <row r="17" spans="1:12" s="948" customFormat="1" ht="18" customHeight="1">
      <c r="A17" s="942">
        <v>9</v>
      </c>
      <c r="B17" s="934"/>
      <c r="C17" s="949">
        <v>7</v>
      </c>
      <c r="D17" s="950" t="s">
        <v>805</v>
      </c>
      <c r="E17" s="937"/>
      <c r="F17" s="945"/>
      <c r="G17" s="946"/>
      <c r="H17" s="947"/>
      <c r="I17" s="1168">
        <v>200</v>
      </c>
      <c r="J17" s="1659">
        <v>200</v>
      </c>
      <c r="K17" s="1439"/>
      <c r="L17" s="1172">
        <f t="shared" si="0"/>
        <v>200</v>
      </c>
    </row>
    <row r="18" spans="1:12" s="948" customFormat="1" ht="18" customHeight="1">
      <c r="A18" s="696">
        <v>10</v>
      </c>
      <c r="B18" s="934"/>
      <c r="C18" s="951" t="s">
        <v>345</v>
      </c>
      <c r="D18" s="952"/>
      <c r="E18" s="937"/>
      <c r="F18" s="945">
        <v>1294</v>
      </c>
      <c r="G18" s="946">
        <v>200</v>
      </c>
      <c r="H18" s="947">
        <v>15</v>
      </c>
      <c r="I18" s="1168"/>
      <c r="J18" s="1659"/>
      <c r="K18" s="1439"/>
      <c r="L18" s="1172"/>
    </row>
    <row r="19" spans="1:12" s="948" customFormat="1" ht="43.5" customHeight="1">
      <c r="A19" s="933">
        <v>11</v>
      </c>
      <c r="B19" s="934"/>
      <c r="C19" s="943">
        <v>8</v>
      </c>
      <c r="D19" s="944" t="s">
        <v>950</v>
      </c>
      <c r="E19" s="937"/>
      <c r="F19" s="945"/>
      <c r="G19" s="946"/>
      <c r="H19" s="947"/>
      <c r="I19" s="1168">
        <f>300+77</f>
        <v>377</v>
      </c>
      <c r="J19" s="1659">
        <v>804</v>
      </c>
      <c r="K19" s="1439">
        <v>79</v>
      </c>
      <c r="L19" s="1172">
        <f t="shared" si="0"/>
        <v>883</v>
      </c>
    </row>
    <row r="20" spans="1:12" s="948" customFormat="1" ht="18" customHeight="1">
      <c r="A20" s="942">
        <v>12</v>
      </c>
      <c r="B20" s="934"/>
      <c r="C20" s="949">
        <v>9</v>
      </c>
      <c r="D20" s="950" t="s">
        <v>690</v>
      </c>
      <c r="E20" s="937"/>
      <c r="F20" s="945"/>
      <c r="G20" s="946"/>
      <c r="H20" s="947"/>
      <c r="I20" s="1168">
        <v>200</v>
      </c>
      <c r="J20" s="1659">
        <v>400</v>
      </c>
      <c r="K20" s="1439"/>
      <c r="L20" s="1172">
        <f t="shared" si="0"/>
        <v>400</v>
      </c>
    </row>
    <row r="21" spans="1:12" s="948" customFormat="1" ht="18" customHeight="1">
      <c r="A21" s="696">
        <v>13</v>
      </c>
      <c r="B21" s="934"/>
      <c r="C21" s="949">
        <v>10</v>
      </c>
      <c r="D21" s="950" t="s">
        <v>553</v>
      </c>
      <c r="E21" s="937"/>
      <c r="F21" s="945"/>
      <c r="G21" s="946"/>
      <c r="H21" s="947"/>
      <c r="I21" s="1168">
        <v>600</v>
      </c>
      <c r="J21" s="1659">
        <v>600</v>
      </c>
      <c r="K21" s="1439"/>
      <c r="L21" s="1172">
        <f t="shared" si="0"/>
        <v>600</v>
      </c>
    </row>
    <row r="22" spans="1:12" s="948" customFormat="1" ht="18" customHeight="1">
      <c r="A22" s="933">
        <v>14</v>
      </c>
      <c r="B22" s="934"/>
      <c r="C22" s="949">
        <v>11</v>
      </c>
      <c r="D22" s="950" t="s">
        <v>676</v>
      </c>
      <c r="E22" s="937"/>
      <c r="F22" s="945"/>
      <c r="G22" s="946"/>
      <c r="H22" s="947"/>
      <c r="I22" s="1168">
        <f>200+120</f>
        <v>320</v>
      </c>
      <c r="J22" s="1659">
        <v>320</v>
      </c>
      <c r="K22" s="1439"/>
      <c r="L22" s="1172">
        <f t="shared" si="0"/>
        <v>320</v>
      </c>
    </row>
    <row r="23" spans="1:12" s="941" customFormat="1" ht="22.5" customHeight="1">
      <c r="A23" s="942">
        <v>15</v>
      </c>
      <c r="B23" s="934">
        <v>2</v>
      </c>
      <c r="C23" s="953" t="s">
        <v>285</v>
      </c>
      <c r="D23" s="936"/>
      <c r="E23" s="937" t="s">
        <v>22</v>
      </c>
      <c r="F23" s="938">
        <v>3496</v>
      </c>
      <c r="G23" s="939">
        <v>700</v>
      </c>
      <c r="H23" s="940">
        <v>8341</v>
      </c>
      <c r="I23" s="1167"/>
      <c r="J23" s="1660"/>
      <c r="K23" s="1565"/>
      <c r="L23" s="1172"/>
    </row>
    <row r="24" spans="1:12" s="948" customFormat="1" ht="90.75" customHeight="1">
      <c r="A24" s="696">
        <v>16</v>
      </c>
      <c r="B24" s="934"/>
      <c r="C24" s="943">
        <v>1</v>
      </c>
      <c r="D24" s="944" t="s">
        <v>957</v>
      </c>
      <c r="E24" s="937"/>
      <c r="F24" s="945"/>
      <c r="G24" s="946"/>
      <c r="H24" s="947"/>
      <c r="I24" s="1168">
        <f>950+700+100+200+100+150</f>
        <v>2200</v>
      </c>
      <c r="J24" s="1659">
        <v>3420</v>
      </c>
      <c r="K24" s="1439"/>
      <c r="L24" s="1172">
        <f t="shared" si="0"/>
        <v>3420</v>
      </c>
    </row>
    <row r="25" spans="1:12" s="948" customFormat="1" ht="18" customHeight="1">
      <c r="A25" s="933">
        <v>17</v>
      </c>
      <c r="B25" s="934"/>
      <c r="C25" s="949">
        <v>2</v>
      </c>
      <c r="D25" s="950" t="s">
        <v>851</v>
      </c>
      <c r="E25" s="937"/>
      <c r="F25" s="945"/>
      <c r="G25" s="946"/>
      <c r="H25" s="947"/>
      <c r="I25" s="1168">
        <f>200+660</f>
        <v>860</v>
      </c>
      <c r="J25" s="1659">
        <v>1360</v>
      </c>
      <c r="K25" s="1439"/>
      <c r="L25" s="1172">
        <f t="shared" si="0"/>
        <v>1360</v>
      </c>
    </row>
    <row r="26" spans="1:12" s="948" customFormat="1" ht="18" customHeight="1">
      <c r="A26" s="942">
        <v>18</v>
      </c>
      <c r="B26" s="934"/>
      <c r="C26" s="949">
        <v>3</v>
      </c>
      <c r="D26" s="950" t="s">
        <v>554</v>
      </c>
      <c r="E26" s="937"/>
      <c r="F26" s="945"/>
      <c r="G26" s="946"/>
      <c r="H26" s="947"/>
      <c r="I26" s="1168">
        <f>150+300</f>
        <v>450</v>
      </c>
      <c r="J26" s="1659">
        <v>450</v>
      </c>
      <c r="K26" s="1439"/>
      <c r="L26" s="1172">
        <f t="shared" si="0"/>
        <v>450</v>
      </c>
    </row>
    <row r="27" spans="1:12" s="948" customFormat="1" ht="18" customHeight="1">
      <c r="A27" s="696">
        <v>19</v>
      </c>
      <c r="B27" s="934"/>
      <c r="C27" s="949">
        <v>4</v>
      </c>
      <c r="D27" s="950" t="s">
        <v>700</v>
      </c>
      <c r="E27" s="937"/>
      <c r="F27" s="945"/>
      <c r="G27" s="946"/>
      <c r="H27" s="947"/>
      <c r="I27" s="1168"/>
      <c r="J27" s="1659">
        <v>300</v>
      </c>
      <c r="K27" s="1439"/>
      <c r="L27" s="1172">
        <f t="shared" si="0"/>
        <v>300</v>
      </c>
    </row>
    <row r="28" spans="1:12" s="948" customFormat="1" ht="18" customHeight="1">
      <c r="A28" s="933">
        <v>20</v>
      </c>
      <c r="B28" s="934"/>
      <c r="C28" s="949">
        <v>5</v>
      </c>
      <c r="D28" s="950" t="s">
        <v>704</v>
      </c>
      <c r="E28" s="937"/>
      <c r="F28" s="945"/>
      <c r="G28" s="946"/>
      <c r="H28" s="947"/>
      <c r="I28" s="1168"/>
      <c r="J28" s="1659">
        <v>500</v>
      </c>
      <c r="K28" s="1439"/>
      <c r="L28" s="1172">
        <f t="shared" si="0"/>
        <v>500</v>
      </c>
    </row>
    <row r="29" spans="1:12" s="948" customFormat="1" ht="18" customHeight="1">
      <c r="A29" s="942">
        <v>21</v>
      </c>
      <c r="B29" s="934"/>
      <c r="C29" s="949">
        <v>6</v>
      </c>
      <c r="D29" s="950" t="s">
        <v>705</v>
      </c>
      <c r="E29" s="937"/>
      <c r="F29" s="945"/>
      <c r="G29" s="946"/>
      <c r="H29" s="947"/>
      <c r="I29" s="1168"/>
      <c r="J29" s="1659">
        <v>1100</v>
      </c>
      <c r="K29" s="1439"/>
      <c r="L29" s="1172">
        <f t="shared" si="0"/>
        <v>1100</v>
      </c>
    </row>
    <row r="30" spans="1:12" s="948" customFormat="1" ht="18" customHeight="1">
      <c r="A30" s="696">
        <v>22</v>
      </c>
      <c r="B30" s="934"/>
      <c r="C30" s="949">
        <v>7</v>
      </c>
      <c r="D30" s="950" t="s">
        <v>852</v>
      </c>
      <c r="E30" s="937"/>
      <c r="F30" s="945"/>
      <c r="G30" s="946"/>
      <c r="H30" s="947"/>
      <c r="I30" s="1168"/>
      <c r="J30" s="1659">
        <v>300</v>
      </c>
      <c r="K30" s="1439"/>
      <c r="L30" s="1172">
        <f t="shared" si="0"/>
        <v>300</v>
      </c>
    </row>
    <row r="31" spans="1:12" s="948" customFormat="1" ht="18" customHeight="1">
      <c r="A31" s="933">
        <v>23</v>
      </c>
      <c r="B31" s="934"/>
      <c r="C31" s="951" t="s">
        <v>346</v>
      </c>
      <c r="D31" s="952"/>
      <c r="E31" s="937"/>
      <c r="F31" s="945">
        <v>1094</v>
      </c>
      <c r="G31" s="946"/>
      <c r="H31" s="947">
        <v>3840</v>
      </c>
      <c r="I31" s="1168"/>
      <c r="J31" s="1659"/>
      <c r="K31" s="1439"/>
      <c r="L31" s="1172"/>
    </row>
    <row r="32" spans="1:12" s="948" customFormat="1" ht="63.75" customHeight="1">
      <c r="A32" s="942">
        <v>24</v>
      </c>
      <c r="B32" s="934"/>
      <c r="C32" s="943">
        <v>8</v>
      </c>
      <c r="D32" s="944" t="s">
        <v>958</v>
      </c>
      <c r="E32" s="937"/>
      <c r="F32" s="945"/>
      <c r="G32" s="946"/>
      <c r="H32" s="947"/>
      <c r="I32" s="1168">
        <v>950</v>
      </c>
      <c r="J32" s="1659">
        <v>1250</v>
      </c>
      <c r="K32" s="1439"/>
      <c r="L32" s="1172">
        <f t="shared" si="0"/>
        <v>1250</v>
      </c>
    </row>
    <row r="33" spans="1:12" s="948" customFormat="1" ht="18" customHeight="1">
      <c r="A33" s="696">
        <v>25</v>
      </c>
      <c r="B33" s="934"/>
      <c r="C33" s="949">
        <v>9</v>
      </c>
      <c r="D33" s="950" t="s">
        <v>956</v>
      </c>
      <c r="E33" s="937"/>
      <c r="F33" s="945"/>
      <c r="G33" s="946"/>
      <c r="H33" s="947"/>
      <c r="I33" s="1168">
        <v>200</v>
      </c>
      <c r="J33" s="1659">
        <v>200</v>
      </c>
      <c r="K33" s="1439"/>
      <c r="L33" s="1172">
        <f t="shared" si="0"/>
        <v>200</v>
      </c>
    </row>
    <row r="34" spans="1:12" s="948" customFormat="1" ht="18" customHeight="1">
      <c r="A34" s="933">
        <v>26</v>
      </c>
      <c r="B34" s="934"/>
      <c r="C34" s="949">
        <v>10</v>
      </c>
      <c r="D34" s="950" t="s">
        <v>554</v>
      </c>
      <c r="E34" s="937"/>
      <c r="F34" s="945"/>
      <c r="G34" s="946"/>
      <c r="H34" s="947"/>
      <c r="I34" s="1168">
        <v>150</v>
      </c>
      <c r="J34" s="1659">
        <v>150</v>
      </c>
      <c r="K34" s="1439"/>
      <c r="L34" s="1172">
        <f t="shared" si="0"/>
        <v>150</v>
      </c>
    </row>
    <row r="35" spans="1:12" s="941" customFormat="1" ht="22.5" customHeight="1">
      <c r="A35" s="942">
        <v>27</v>
      </c>
      <c r="B35" s="934">
        <v>3</v>
      </c>
      <c r="C35" s="953" t="s">
        <v>247</v>
      </c>
      <c r="D35" s="936"/>
      <c r="E35" s="937" t="s">
        <v>22</v>
      </c>
      <c r="F35" s="938">
        <v>6208</v>
      </c>
      <c r="G35" s="939"/>
      <c r="H35" s="940">
        <v>951</v>
      </c>
      <c r="I35" s="1167"/>
      <c r="J35" s="1660"/>
      <c r="K35" s="1565"/>
      <c r="L35" s="1172"/>
    </row>
    <row r="36" spans="1:12" s="948" customFormat="1" ht="31.5" customHeight="1">
      <c r="A36" s="696">
        <v>28</v>
      </c>
      <c r="B36" s="934"/>
      <c r="C36" s="949">
        <v>1</v>
      </c>
      <c r="D36" s="944" t="s">
        <v>1048</v>
      </c>
      <c r="E36" s="937"/>
      <c r="F36" s="945"/>
      <c r="G36" s="946"/>
      <c r="H36" s="947"/>
      <c r="I36" s="1168">
        <v>493</v>
      </c>
      <c r="J36" s="1659">
        <v>993</v>
      </c>
      <c r="K36" s="1439">
        <v>740</v>
      </c>
      <c r="L36" s="1172">
        <f t="shared" si="0"/>
        <v>1733</v>
      </c>
    </row>
    <row r="37" spans="1:12" s="948" customFormat="1" ht="31.5" customHeight="1">
      <c r="A37" s="933">
        <v>29</v>
      </c>
      <c r="B37" s="934"/>
      <c r="C37" s="949">
        <v>2</v>
      </c>
      <c r="D37" s="944" t="s">
        <v>1049</v>
      </c>
      <c r="E37" s="937"/>
      <c r="F37" s="945"/>
      <c r="G37" s="946"/>
      <c r="H37" s="947"/>
      <c r="I37" s="1168">
        <v>1500</v>
      </c>
      <c r="J37" s="1659">
        <v>1040</v>
      </c>
      <c r="K37" s="1439">
        <v>-40</v>
      </c>
      <c r="L37" s="1172">
        <f t="shared" si="0"/>
        <v>1000</v>
      </c>
    </row>
    <row r="38" spans="1:12" s="948" customFormat="1" ht="18" customHeight="1">
      <c r="A38" s="942">
        <v>30</v>
      </c>
      <c r="B38" s="934"/>
      <c r="C38" s="949">
        <v>3</v>
      </c>
      <c r="D38" s="950" t="s">
        <v>556</v>
      </c>
      <c r="E38" s="937"/>
      <c r="F38" s="945"/>
      <c r="G38" s="946"/>
      <c r="H38" s="947"/>
      <c r="I38" s="1168">
        <v>800</v>
      </c>
      <c r="J38" s="1659">
        <v>800</v>
      </c>
      <c r="K38" s="1439">
        <v>-800</v>
      </c>
      <c r="L38" s="1172">
        <f t="shared" si="0"/>
        <v>0</v>
      </c>
    </row>
    <row r="39" spans="1:12" s="948" customFormat="1" ht="18" customHeight="1">
      <c r="A39" s="696">
        <v>31</v>
      </c>
      <c r="B39" s="934"/>
      <c r="C39" s="949">
        <v>4</v>
      </c>
      <c r="D39" s="950" t="s">
        <v>557</v>
      </c>
      <c r="E39" s="937"/>
      <c r="F39" s="945"/>
      <c r="G39" s="946"/>
      <c r="H39" s="947"/>
      <c r="I39" s="1168">
        <v>700</v>
      </c>
      <c r="J39" s="1659">
        <v>500</v>
      </c>
      <c r="K39" s="1439">
        <f>-200-150</f>
        <v>-350</v>
      </c>
      <c r="L39" s="1172">
        <f t="shared" si="0"/>
        <v>150</v>
      </c>
    </row>
    <row r="40" spans="1:12" s="948" customFormat="1" ht="18" customHeight="1">
      <c r="A40" s="933">
        <v>32</v>
      </c>
      <c r="B40" s="934"/>
      <c r="C40" s="951" t="s">
        <v>431</v>
      </c>
      <c r="D40" s="952"/>
      <c r="E40" s="937"/>
      <c r="F40" s="945">
        <v>3386</v>
      </c>
      <c r="G40" s="946"/>
      <c r="H40" s="947">
        <v>317</v>
      </c>
      <c r="I40" s="1168"/>
      <c r="J40" s="1659"/>
      <c r="K40" s="1439"/>
      <c r="L40" s="1172"/>
    </row>
    <row r="41" spans="1:12" s="948" customFormat="1" ht="18" customHeight="1">
      <c r="A41" s="942">
        <v>33</v>
      </c>
      <c r="B41" s="934"/>
      <c r="C41" s="949">
        <v>5</v>
      </c>
      <c r="D41" s="944" t="s">
        <v>948</v>
      </c>
      <c r="E41" s="937"/>
      <c r="F41" s="945"/>
      <c r="G41" s="946"/>
      <c r="H41" s="947"/>
      <c r="I41" s="1168"/>
      <c r="J41" s="1659">
        <v>160</v>
      </c>
      <c r="K41" s="1439"/>
      <c r="L41" s="1172">
        <f t="shared" si="0"/>
        <v>160</v>
      </c>
    </row>
    <row r="42" spans="1:12" s="948" customFormat="1" ht="18" customHeight="1">
      <c r="A42" s="696">
        <v>34</v>
      </c>
      <c r="B42" s="934"/>
      <c r="C42" s="949">
        <v>6</v>
      </c>
      <c r="D42" s="950" t="s">
        <v>557</v>
      </c>
      <c r="E42" s="937"/>
      <c r="F42" s="945"/>
      <c r="G42" s="946"/>
      <c r="H42" s="947"/>
      <c r="I42" s="1168"/>
      <c r="J42" s="1659"/>
      <c r="K42" s="1439">
        <v>200</v>
      </c>
      <c r="L42" s="1172">
        <f t="shared" si="0"/>
        <v>200</v>
      </c>
    </row>
    <row r="43" spans="1:12" s="948" customFormat="1" ht="18" customHeight="1">
      <c r="A43" s="933">
        <v>35</v>
      </c>
      <c r="B43" s="934"/>
      <c r="C43" s="949">
        <v>7</v>
      </c>
      <c r="D43" s="950" t="s">
        <v>949</v>
      </c>
      <c r="E43" s="937"/>
      <c r="F43" s="945"/>
      <c r="G43" s="946"/>
      <c r="H43" s="947"/>
      <c r="I43" s="1168"/>
      <c r="J43" s="1659"/>
      <c r="K43" s="1439">
        <v>250</v>
      </c>
      <c r="L43" s="1172">
        <f t="shared" si="0"/>
        <v>250</v>
      </c>
    </row>
    <row r="44" spans="1:15" s="941" customFormat="1" ht="22.5" customHeight="1">
      <c r="A44" s="942">
        <v>36</v>
      </c>
      <c r="B44" s="934">
        <v>4</v>
      </c>
      <c r="C44" s="953" t="s">
        <v>248</v>
      </c>
      <c r="D44" s="936"/>
      <c r="E44" s="937" t="s">
        <v>22</v>
      </c>
      <c r="F44" s="938">
        <v>1347</v>
      </c>
      <c r="G44" s="939"/>
      <c r="H44" s="940">
        <v>1115</v>
      </c>
      <c r="I44" s="1167"/>
      <c r="J44" s="1660"/>
      <c r="K44" s="1565"/>
      <c r="L44" s="1172"/>
      <c r="N44" s="1078"/>
      <c r="O44" s="1079"/>
    </row>
    <row r="45" spans="1:15" s="948" customFormat="1" ht="47.25" customHeight="1">
      <c r="A45" s="696">
        <v>37</v>
      </c>
      <c r="B45" s="934"/>
      <c r="C45" s="943">
        <v>1</v>
      </c>
      <c r="D45" s="944" t="s">
        <v>970</v>
      </c>
      <c r="E45" s="937"/>
      <c r="F45" s="945"/>
      <c r="G45" s="946"/>
      <c r="H45" s="947"/>
      <c r="I45" s="1168">
        <f>66+800+55+50+1070</f>
        <v>2041</v>
      </c>
      <c r="J45" s="1659">
        <v>2041</v>
      </c>
      <c r="K45" s="1846"/>
      <c r="L45" s="1703">
        <f t="shared" si="0"/>
        <v>2041</v>
      </c>
      <c r="N45" s="1078"/>
      <c r="O45" s="1079"/>
    </row>
    <row r="46" spans="1:15" s="948" customFormat="1" ht="18" customHeight="1">
      <c r="A46" s="933">
        <v>38</v>
      </c>
      <c r="B46" s="934"/>
      <c r="C46" s="949">
        <v>2</v>
      </c>
      <c r="D46" s="950" t="s">
        <v>558</v>
      </c>
      <c r="E46" s="937"/>
      <c r="F46" s="945"/>
      <c r="G46" s="946"/>
      <c r="H46" s="947"/>
      <c r="I46" s="1168">
        <v>800</v>
      </c>
      <c r="J46" s="1659">
        <v>800</v>
      </c>
      <c r="K46" s="1439"/>
      <c r="L46" s="1172">
        <f t="shared" si="0"/>
        <v>800</v>
      </c>
      <c r="N46" s="1080"/>
      <c r="O46" s="1079"/>
    </row>
    <row r="47" spans="1:15" s="948" customFormat="1" ht="18" customHeight="1">
      <c r="A47" s="942">
        <v>39</v>
      </c>
      <c r="B47" s="934"/>
      <c r="C47" s="949">
        <v>3</v>
      </c>
      <c r="D47" s="950" t="s">
        <v>935</v>
      </c>
      <c r="E47" s="937"/>
      <c r="F47" s="945"/>
      <c r="G47" s="946"/>
      <c r="H47" s="947"/>
      <c r="I47" s="1168"/>
      <c r="J47" s="1659">
        <v>330</v>
      </c>
      <c r="K47" s="1439"/>
      <c r="L47" s="1172">
        <f t="shared" si="0"/>
        <v>330</v>
      </c>
      <c r="N47" s="1080"/>
      <c r="O47" s="1079"/>
    </row>
    <row r="48" spans="1:15" s="948" customFormat="1" ht="18" customHeight="1">
      <c r="A48" s="696">
        <v>40</v>
      </c>
      <c r="B48" s="934"/>
      <c r="C48" s="954" t="s">
        <v>347</v>
      </c>
      <c r="D48" s="944"/>
      <c r="E48" s="937"/>
      <c r="F48" s="945">
        <v>2216</v>
      </c>
      <c r="G48" s="946"/>
      <c r="H48" s="947"/>
      <c r="I48" s="1168"/>
      <c r="J48" s="1659"/>
      <c r="K48" s="1439"/>
      <c r="L48" s="1172"/>
      <c r="N48" s="1078"/>
      <c r="O48" s="1079"/>
    </row>
    <row r="49" spans="1:15" s="948" customFormat="1" ht="30">
      <c r="A49" s="933">
        <v>41</v>
      </c>
      <c r="B49" s="934"/>
      <c r="C49" s="943">
        <v>4</v>
      </c>
      <c r="D49" s="944" t="s">
        <v>559</v>
      </c>
      <c r="E49" s="937"/>
      <c r="F49" s="945"/>
      <c r="G49" s="946"/>
      <c r="H49" s="947"/>
      <c r="I49" s="1168">
        <f>50+20+40+20+60+15+25</f>
        <v>230</v>
      </c>
      <c r="J49" s="1659">
        <v>230</v>
      </c>
      <c r="K49" s="1439"/>
      <c r="L49" s="1172">
        <f t="shared" si="0"/>
        <v>230</v>
      </c>
      <c r="N49" s="1078"/>
      <c r="O49" s="1079"/>
    </row>
    <row r="50" spans="1:15" s="948" customFormat="1" ht="18" customHeight="1">
      <c r="A50" s="942">
        <v>42</v>
      </c>
      <c r="B50" s="934"/>
      <c r="C50" s="949">
        <v>5</v>
      </c>
      <c r="D50" s="950" t="s">
        <v>560</v>
      </c>
      <c r="E50" s="937"/>
      <c r="F50" s="945"/>
      <c r="G50" s="946"/>
      <c r="H50" s="947"/>
      <c r="I50" s="1168">
        <v>190</v>
      </c>
      <c r="J50" s="1659">
        <v>190</v>
      </c>
      <c r="K50" s="1439"/>
      <c r="L50" s="1172">
        <f t="shared" si="0"/>
        <v>190</v>
      </c>
      <c r="N50" s="1078"/>
      <c r="O50" s="1079"/>
    </row>
    <row r="51" spans="1:12" s="941" customFormat="1" ht="22.5" customHeight="1">
      <c r="A51" s="696">
        <v>43</v>
      </c>
      <c r="B51" s="934">
        <v>5</v>
      </c>
      <c r="C51" s="953" t="s">
        <v>249</v>
      </c>
      <c r="D51" s="936"/>
      <c r="E51" s="937" t="s">
        <v>22</v>
      </c>
      <c r="F51" s="938">
        <v>6273</v>
      </c>
      <c r="G51" s="939"/>
      <c r="H51" s="940">
        <v>707</v>
      </c>
      <c r="I51" s="1167"/>
      <c r="J51" s="1660"/>
      <c r="K51" s="1565"/>
      <c r="L51" s="1172"/>
    </row>
    <row r="52" spans="1:12" s="948" customFormat="1" ht="44.25" customHeight="1">
      <c r="A52" s="933">
        <v>44</v>
      </c>
      <c r="B52" s="934"/>
      <c r="C52" s="949">
        <v>1</v>
      </c>
      <c r="D52" s="944" t="s">
        <v>806</v>
      </c>
      <c r="E52" s="937"/>
      <c r="F52" s="945"/>
      <c r="G52" s="946"/>
      <c r="H52" s="947"/>
      <c r="I52" s="1168">
        <v>494</v>
      </c>
      <c r="J52" s="1659">
        <v>950</v>
      </c>
      <c r="K52" s="1439"/>
      <c r="L52" s="1172">
        <f t="shared" si="0"/>
        <v>950</v>
      </c>
    </row>
    <row r="53" spans="1:12" s="948" customFormat="1" ht="18" customHeight="1">
      <c r="A53" s="942">
        <v>45</v>
      </c>
      <c r="B53" s="934"/>
      <c r="C53" s="949">
        <v>2</v>
      </c>
      <c r="D53" s="944" t="s">
        <v>562</v>
      </c>
      <c r="E53" s="937"/>
      <c r="F53" s="945"/>
      <c r="G53" s="946"/>
      <c r="H53" s="947"/>
      <c r="I53" s="1168">
        <v>3500</v>
      </c>
      <c r="J53" s="1659">
        <v>3500</v>
      </c>
      <c r="K53" s="1439"/>
      <c r="L53" s="1172">
        <f t="shared" si="0"/>
        <v>3500</v>
      </c>
    </row>
    <row r="54" spans="1:12" s="948" customFormat="1" ht="18" customHeight="1">
      <c r="A54" s="696">
        <v>46</v>
      </c>
      <c r="B54" s="934"/>
      <c r="C54" s="943">
        <v>3</v>
      </c>
      <c r="D54" s="1551" t="s">
        <v>699</v>
      </c>
      <c r="E54" s="937"/>
      <c r="F54" s="945"/>
      <c r="G54" s="946"/>
      <c r="H54" s="947"/>
      <c r="I54" s="1168"/>
      <c r="J54" s="1659">
        <v>350</v>
      </c>
      <c r="K54" s="1439"/>
      <c r="L54" s="1172">
        <f t="shared" si="0"/>
        <v>350</v>
      </c>
    </row>
    <row r="55" spans="1:12" s="948" customFormat="1" ht="18" customHeight="1">
      <c r="A55" s="933">
        <v>47</v>
      </c>
      <c r="B55" s="934"/>
      <c r="C55" s="954" t="s">
        <v>348</v>
      </c>
      <c r="D55" s="944"/>
      <c r="E55" s="937"/>
      <c r="F55" s="945">
        <v>6233</v>
      </c>
      <c r="G55" s="946"/>
      <c r="H55" s="947">
        <v>399</v>
      </c>
      <c r="I55" s="1168"/>
      <c r="J55" s="1659"/>
      <c r="K55" s="1439"/>
      <c r="L55" s="1172"/>
    </row>
    <row r="56" spans="1:12" s="948" customFormat="1" ht="18" customHeight="1">
      <c r="A56" s="942">
        <v>48</v>
      </c>
      <c r="B56" s="934"/>
      <c r="C56" s="949">
        <v>4</v>
      </c>
      <c r="D56" s="944" t="s">
        <v>563</v>
      </c>
      <c r="E56" s="937"/>
      <c r="F56" s="945"/>
      <c r="G56" s="946"/>
      <c r="H56" s="947"/>
      <c r="I56" s="1168">
        <v>3500</v>
      </c>
      <c r="J56" s="1659">
        <v>3500</v>
      </c>
      <c r="K56" s="1439"/>
      <c r="L56" s="1172">
        <f t="shared" si="0"/>
        <v>3500</v>
      </c>
    </row>
    <row r="57" spans="1:12" s="948" customFormat="1" ht="18" customHeight="1">
      <c r="A57" s="696">
        <v>49</v>
      </c>
      <c r="B57" s="934"/>
      <c r="C57" s="949">
        <v>5</v>
      </c>
      <c r="D57" s="944" t="s">
        <v>702</v>
      </c>
      <c r="E57" s="937"/>
      <c r="F57" s="945"/>
      <c r="G57" s="946"/>
      <c r="H57" s="947"/>
      <c r="I57" s="1168"/>
      <c r="J57" s="1659">
        <v>300</v>
      </c>
      <c r="K57" s="1439"/>
      <c r="L57" s="1172">
        <f t="shared" si="0"/>
        <v>300</v>
      </c>
    </row>
    <row r="58" spans="1:12" s="948" customFormat="1" ht="18" customHeight="1">
      <c r="A58" s="933">
        <v>50</v>
      </c>
      <c r="B58" s="934"/>
      <c r="C58" s="949">
        <v>6</v>
      </c>
      <c r="D58" s="1457" t="s">
        <v>700</v>
      </c>
      <c r="E58" s="937"/>
      <c r="F58" s="945"/>
      <c r="G58" s="946"/>
      <c r="H58" s="947"/>
      <c r="I58" s="1168"/>
      <c r="J58" s="1659">
        <v>300</v>
      </c>
      <c r="K58" s="1439"/>
      <c r="L58" s="1172">
        <f t="shared" si="0"/>
        <v>300</v>
      </c>
    </row>
    <row r="59" spans="1:12" s="948" customFormat="1" ht="30.75" customHeight="1">
      <c r="A59" s="942">
        <v>51</v>
      </c>
      <c r="B59" s="934"/>
      <c r="C59" s="943">
        <v>7</v>
      </c>
      <c r="D59" s="944" t="s">
        <v>701</v>
      </c>
      <c r="E59" s="937"/>
      <c r="F59" s="945"/>
      <c r="G59" s="946"/>
      <c r="H59" s="947"/>
      <c r="I59" s="1168"/>
      <c r="J59" s="1659">
        <v>594</v>
      </c>
      <c r="K59" s="1439"/>
      <c r="L59" s="1172">
        <f t="shared" si="0"/>
        <v>594</v>
      </c>
    </row>
    <row r="60" spans="1:12" s="941" customFormat="1" ht="22.5" customHeight="1">
      <c r="A60" s="696">
        <v>52</v>
      </c>
      <c r="B60" s="934">
        <v>6</v>
      </c>
      <c r="C60" s="953" t="s">
        <v>250</v>
      </c>
      <c r="D60" s="936"/>
      <c r="E60" s="937" t="s">
        <v>22</v>
      </c>
      <c r="F60" s="938">
        <v>6174</v>
      </c>
      <c r="G60" s="939"/>
      <c r="H60" s="940">
        <v>2078</v>
      </c>
      <c r="I60" s="1167"/>
      <c r="J60" s="1660"/>
      <c r="K60" s="1565"/>
      <c r="L60" s="1172"/>
    </row>
    <row r="61" spans="1:12" s="948" customFormat="1" ht="62.25" customHeight="1">
      <c r="A61" s="933">
        <v>53</v>
      </c>
      <c r="B61" s="934"/>
      <c r="C61" s="943">
        <v>1</v>
      </c>
      <c r="D61" s="944" t="s">
        <v>952</v>
      </c>
      <c r="E61" s="937"/>
      <c r="F61" s="945"/>
      <c r="G61" s="946"/>
      <c r="H61" s="947"/>
      <c r="I61" s="1168">
        <f>100+100+165+125+80+200+209</f>
        <v>979</v>
      </c>
      <c r="J61" s="1659">
        <v>979</v>
      </c>
      <c r="K61" s="1439">
        <v>357</v>
      </c>
      <c r="L61" s="1172">
        <f t="shared" si="0"/>
        <v>1336</v>
      </c>
    </row>
    <row r="62" spans="1:12" s="948" customFormat="1" ht="18" customHeight="1">
      <c r="A62" s="942">
        <v>54</v>
      </c>
      <c r="B62" s="934"/>
      <c r="C62" s="949">
        <v>2</v>
      </c>
      <c r="D62" s="950" t="s">
        <v>564</v>
      </c>
      <c r="E62" s="937"/>
      <c r="F62" s="945"/>
      <c r="G62" s="946"/>
      <c r="H62" s="947"/>
      <c r="I62" s="1168">
        <v>700</v>
      </c>
      <c r="J62" s="1659">
        <v>700</v>
      </c>
      <c r="K62" s="1439"/>
      <c r="L62" s="1172">
        <f t="shared" si="0"/>
        <v>700</v>
      </c>
    </row>
    <row r="63" spans="1:12" s="948" customFormat="1" ht="18" customHeight="1">
      <c r="A63" s="696">
        <v>55</v>
      </c>
      <c r="B63" s="934"/>
      <c r="C63" s="949">
        <v>3</v>
      </c>
      <c r="D63" s="950" t="s">
        <v>565</v>
      </c>
      <c r="E63" s="937"/>
      <c r="F63" s="945"/>
      <c r="G63" s="946"/>
      <c r="H63" s="947"/>
      <c r="I63" s="1168">
        <v>890</v>
      </c>
      <c r="J63" s="1659">
        <v>890</v>
      </c>
      <c r="K63" s="1439"/>
      <c r="L63" s="1172">
        <f t="shared" si="0"/>
        <v>890</v>
      </c>
    </row>
    <row r="64" spans="1:12" s="948" customFormat="1" ht="18" customHeight="1">
      <c r="A64" s="933">
        <v>56</v>
      </c>
      <c r="B64" s="934"/>
      <c r="C64" s="949">
        <v>4</v>
      </c>
      <c r="D64" s="950" t="s">
        <v>566</v>
      </c>
      <c r="E64" s="937"/>
      <c r="F64" s="945"/>
      <c r="G64" s="946"/>
      <c r="H64" s="947"/>
      <c r="I64" s="1168">
        <f>1000+270</f>
        <v>1270</v>
      </c>
      <c r="J64" s="1659">
        <v>1270</v>
      </c>
      <c r="K64" s="1439"/>
      <c r="L64" s="1172">
        <f t="shared" si="0"/>
        <v>1270</v>
      </c>
    </row>
    <row r="65" spans="1:12" s="948" customFormat="1" ht="18" customHeight="1">
      <c r="A65" s="942">
        <v>57</v>
      </c>
      <c r="B65" s="934"/>
      <c r="C65" s="949">
        <v>5</v>
      </c>
      <c r="D65" s="950" t="s">
        <v>567</v>
      </c>
      <c r="E65" s="937"/>
      <c r="F65" s="945"/>
      <c r="G65" s="946"/>
      <c r="H65" s="947"/>
      <c r="I65" s="1168">
        <v>1140</v>
      </c>
      <c r="J65" s="1659">
        <v>1140</v>
      </c>
      <c r="K65" s="1439"/>
      <c r="L65" s="1172">
        <f t="shared" si="0"/>
        <v>1140</v>
      </c>
    </row>
    <row r="66" spans="1:12" s="948" customFormat="1" ht="18" customHeight="1">
      <c r="A66" s="696">
        <v>58</v>
      </c>
      <c r="B66" s="934"/>
      <c r="C66" s="949">
        <v>6</v>
      </c>
      <c r="D66" s="950" t="s">
        <v>568</v>
      </c>
      <c r="E66" s="937"/>
      <c r="F66" s="945"/>
      <c r="G66" s="946"/>
      <c r="H66" s="947"/>
      <c r="I66" s="1168">
        <f>1500+500+540</f>
        <v>2540</v>
      </c>
      <c r="J66" s="1659">
        <v>2540</v>
      </c>
      <c r="K66" s="1439">
        <v>-2540</v>
      </c>
      <c r="L66" s="1172">
        <f t="shared" si="0"/>
        <v>0</v>
      </c>
    </row>
    <row r="67" spans="1:12" s="948" customFormat="1" ht="18" customHeight="1">
      <c r="A67" s="933">
        <v>59</v>
      </c>
      <c r="B67" s="934"/>
      <c r="C67" s="949">
        <v>7</v>
      </c>
      <c r="D67" s="950" t="s">
        <v>951</v>
      </c>
      <c r="E67" s="937"/>
      <c r="F67" s="945"/>
      <c r="G67" s="946"/>
      <c r="H67" s="947"/>
      <c r="I67" s="1168"/>
      <c r="J67" s="1659"/>
      <c r="K67" s="1439">
        <v>1698</v>
      </c>
      <c r="L67" s="1172">
        <f t="shared" si="0"/>
        <v>1698</v>
      </c>
    </row>
    <row r="68" spans="1:12" s="948" customFormat="1" ht="18" customHeight="1">
      <c r="A68" s="942">
        <v>60</v>
      </c>
      <c r="B68" s="934"/>
      <c r="C68" s="954" t="s">
        <v>349</v>
      </c>
      <c r="D68" s="944"/>
      <c r="E68" s="937"/>
      <c r="F68" s="945">
        <v>324</v>
      </c>
      <c r="G68" s="946"/>
      <c r="H68" s="947">
        <v>347</v>
      </c>
      <c r="I68" s="1168"/>
      <c r="J68" s="1659"/>
      <c r="K68" s="1439"/>
      <c r="L68" s="1172"/>
    </row>
    <row r="69" spans="1:12" s="948" customFormat="1" ht="47.25" customHeight="1">
      <c r="A69" s="696">
        <v>61</v>
      </c>
      <c r="B69" s="934"/>
      <c r="C69" s="943">
        <v>7</v>
      </c>
      <c r="D69" s="944" t="s">
        <v>1050</v>
      </c>
      <c r="E69" s="937"/>
      <c r="F69" s="945"/>
      <c r="G69" s="946"/>
      <c r="H69" s="947"/>
      <c r="I69" s="1168">
        <f>60+40+35+150+250+210+80+80+66+261</f>
        <v>1232</v>
      </c>
      <c r="J69" s="1659">
        <v>1232</v>
      </c>
      <c r="K69" s="1846">
        <v>275</v>
      </c>
      <c r="L69" s="1703">
        <f t="shared" si="0"/>
        <v>1507</v>
      </c>
    </row>
    <row r="70" spans="1:12" s="948" customFormat="1" ht="18" customHeight="1">
      <c r="A70" s="933">
        <v>62</v>
      </c>
      <c r="B70" s="934"/>
      <c r="C70" s="949">
        <v>8</v>
      </c>
      <c r="D70" s="950" t="s">
        <v>554</v>
      </c>
      <c r="E70" s="937"/>
      <c r="F70" s="945"/>
      <c r="G70" s="946"/>
      <c r="H70" s="947"/>
      <c r="I70" s="1168">
        <v>700</v>
      </c>
      <c r="J70" s="1659">
        <v>0</v>
      </c>
      <c r="K70" s="1439"/>
      <c r="L70" s="1172">
        <f t="shared" si="0"/>
        <v>0</v>
      </c>
    </row>
    <row r="71" spans="1:12" s="948" customFormat="1" ht="18" customHeight="1">
      <c r="A71" s="942">
        <v>63</v>
      </c>
      <c r="B71" s="934"/>
      <c r="C71" s="949">
        <v>9</v>
      </c>
      <c r="D71" s="950" t="s">
        <v>853</v>
      </c>
      <c r="E71" s="937"/>
      <c r="F71" s="945"/>
      <c r="G71" s="946"/>
      <c r="H71" s="947"/>
      <c r="I71" s="1168"/>
      <c r="J71" s="1659">
        <v>700</v>
      </c>
      <c r="K71" s="1439">
        <v>210</v>
      </c>
      <c r="L71" s="1172">
        <f t="shared" si="0"/>
        <v>910</v>
      </c>
    </row>
    <row r="72" spans="1:12" s="948" customFormat="1" ht="18" customHeight="1">
      <c r="A72" s="696">
        <v>64</v>
      </c>
      <c r="B72" s="934"/>
      <c r="C72" s="949">
        <v>10</v>
      </c>
      <c r="D72" s="950" t="s">
        <v>569</v>
      </c>
      <c r="E72" s="937"/>
      <c r="F72" s="945"/>
      <c r="G72" s="946"/>
      <c r="H72" s="947"/>
      <c r="I72" s="1168">
        <v>2032</v>
      </c>
      <c r="J72" s="1659">
        <v>2032</v>
      </c>
      <c r="K72" s="1439"/>
      <c r="L72" s="1172">
        <f t="shared" si="0"/>
        <v>2032</v>
      </c>
    </row>
    <row r="73" spans="1:12" s="948" customFormat="1" ht="18" customHeight="1">
      <c r="A73" s="933">
        <v>65</v>
      </c>
      <c r="B73" s="934"/>
      <c r="C73" s="949">
        <v>11</v>
      </c>
      <c r="D73" s="950" t="s">
        <v>567</v>
      </c>
      <c r="E73" s="937"/>
      <c r="F73" s="945"/>
      <c r="G73" s="946"/>
      <c r="H73" s="947"/>
      <c r="I73" s="1168">
        <v>380</v>
      </c>
      <c r="J73" s="1659">
        <v>380</v>
      </c>
      <c r="K73" s="1439"/>
      <c r="L73" s="1172">
        <f t="shared" si="0"/>
        <v>380</v>
      </c>
    </row>
    <row r="74" spans="1:12" s="948" customFormat="1" ht="18" customHeight="1">
      <c r="A74" s="942">
        <v>66</v>
      </c>
      <c r="B74" s="934"/>
      <c r="C74" s="949">
        <v>12</v>
      </c>
      <c r="D74" s="950" t="s">
        <v>570</v>
      </c>
      <c r="E74" s="937"/>
      <c r="F74" s="945"/>
      <c r="G74" s="946"/>
      <c r="H74" s="947"/>
      <c r="I74" s="1168">
        <v>1270</v>
      </c>
      <c r="J74" s="1659">
        <v>1270</v>
      </c>
      <c r="K74" s="1439"/>
      <c r="L74" s="1172">
        <f t="shared" si="0"/>
        <v>1270</v>
      </c>
    </row>
    <row r="75" spans="1:12" s="941" customFormat="1" ht="22.5" customHeight="1">
      <c r="A75" s="696">
        <v>67</v>
      </c>
      <c r="B75" s="934">
        <v>7</v>
      </c>
      <c r="C75" s="935" t="s">
        <v>296</v>
      </c>
      <c r="D75" s="936"/>
      <c r="E75" s="937" t="s">
        <v>22</v>
      </c>
      <c r="F75" s="955"/>
      <c r="G75" s="939"/>
      <c r="H75" s="956"/>
      <c r="I75" s="1167"/>
      <c r="J75" s="1660"/>
      <c r="K75" s="1565"/>
      <c r="L75" s="1172"/>
    </row>
    <row r="76" spans="1:12" s="948" customFormat="1" ht="18" customHeight="1">
      <c r="A76" s="933">
        <v>68</v>
      </c>
      <c r="B76" s="934"/>
      <c r="C76" s="954" t="s">
        <v>381</v>
      </c>
      <c r="D76" s="957"/>
      <c r="E76" s="937"/>
      <c r="F76" s="945">
        <v>1129</v>
      </c>
      <c r="G76" s="946">
        <f>120+300</f>
        <v>420</v>
      </c>
      <c r="H76" s="1487">
        <v>438</v>
      </c>
      <c r="I76" s="1168"/>
      <c r="J76" s="1659"/>
      <c r="K76" s="1439"/>
      <c r="L76" s="1172"/>
    </row>
    <row r="77" spans="1:12" s="948" customFormat="1" ht="18" customHeight="1">
      <c r="A77" s="942">
        <v>69</v>
      </c>
      <c r="B77" s="934"/>
      <c r="C77" s="949">
        <v>1</v>
      </c>
      <c r="D77" s="944" t="s">
        <v>800</v>
      </c>
      <c r="E77" s="937"/>
      <c r="F77" s="945"/>
      <c r="G77" s="946"/>
      <c r="H77" s="947"/>
      <c r="I77" s="1168">
        <v>300</v>
      </c>
      <c r="J77" s="1659">
        <v>400</v>
      </c>
      <c r="K77" s="1439"/>
      <c r="L77" s="1172">
        <f t="shared" si="0"/>
        <v>400</v>
      </c>
    </row>
    <row r="78" spans="1:12" s="948" customFormat="1" ht="18" customHeight="1">
      <c r="A78" s="696">
        <v>70</v>
      </c>
      <c r="B78" s="934"/>
      <c r="C78" s="949">
        <v>2</v>
      </c>
      <c r="D78" s="944" t="s">
        <v>799</v>
      </c>
      <c r="E78" s="937"/>
      <c r="F78" s="945"/>
      <c r="G78" s="946"/>
      <c r="H78" s="947"/>
      <c r="I78" s="1168"/>
      <c r="J78" s="1659">
        <v>300</v>
      </c>
      <c r="K78" s="1439">
        <v>100</v>
      </c>
      <c r="L78" s="1172">
        <f t="shared" si="0"/>
        <v>400</v>
      </c>
    </row>
    <row r="79" spans="1:12" s="948" customFormat="1" ht="18" customHeight="1">
      <c r="A79" s="933">
        <v>71</v>
      </c>
      <c r="B79" s="934"/>
      <c r="C79" s="954" t="s">
        <v>350</v>
      </c>
      <c r="D79" s="957"/>
      <c r="E79" s="937"/>
      <c r="F79" s="945">
        <v>1450</v>
      </c>
      <c r="G79" s="946">
        <v>190</v>
      </c>
      <c r="H79" s="947">
        <v>257</v>
      </c>
      <c r="I79" s="1168"/>
      <c r="J79" s="1659"/>
      <c r="K79" s="1439"/>
      <c r="L79" s="1172"/>
    </row>
    <row r="80" spans="1:12" s="948" customFormat="1" ht="30.75" customHeight="1">
      <c r="A80" s="942">
        <v>72</v>
      </c>
      <c r="B80" s="934"/>
      <c r="C80" s="943">
        <v>3</v>
      </c>
      <c r="D80" s="944" t="s">
        <v>708</v>
      </c>
      <c r="E80" s="937"/>
      <c r="F80" s="945"/>
      <c r="G80" s="946"/>
      <c r="H80" s="947"/>
      <c r="I80" s="1552">
        <v>300</v>
      </c>
      <c r="J80" s="1661">
        <v>1200</v>
      </c>
      <c r="K80" s="1566"/>
      <c r="L80" s="1553">
        <f t="shared" si="0"/>
        <v>1200</v>
      </c>
    </row>
    <row r="81" spans="1:12" s="948" customFormat="1" ht="18" customHeight="1">
      <c r="A81" s="696">
        <v>73</v>
      </c>
      <c r="B81" s="934"/>
      <c r="C81" s="954" t="s">
        <v>351</v>
      </c>
      <c r="D81" s="957"/>
      <c r="E81" s="937"/>
      <c r="F81" s="945">
        <v>2493</v>
      </c>
      <c r="G81" s="946">
        <v>260</v>
      </c>
      <c r="H81" s="947">
        <v>172</v>
      </c>
      <c r="I81" s="1168"/>
      <c r="J81" s="1659"/>
      <c r="K81" s="1439"/>
      <c r="L81" s="1172"/>
    </row>
    <row r="82" spans="1:12" s="948" customFormat="1" ht="32.25" customHeight="1">
      <c r="A82" s="933">
        <v>74</v>
      </c>
      <c r="B82" s="934"/>
      <c r="C82" s="943">
        <v>4</v>
      </c>
      <c r="D82" s="944" t="s">
        <v>709</v>
      </c>
      <c r="E82" s="937"/>
      <c r="F82" s="945"/>
      <c r="G82" s="946"/>
      <c r="H82" s="947"/>
      <c r="I82" s="1552">
        <v>330</v>
      </c>
      <c r="J82" s="1661">
        <v>1600</v>
      </c>
      <c r="K82" s="1566"/>
      <c r="L82" s="1553">
        <f t="shared" si="0"/>
        <v>1600</v>
      </c>
    </row>
    <row r="83" spans="1:12" s="948" customFormat="1" ht="18" customHeight="1">
      <c r="A83" s="942">
        <v>75</v>
      </c>
      <c r="B83" s="934"/>
      <c r="C83" s="954" t="s">
        <v>353</v>
      </c>
      <c r="D83" s="944"/>
      <c r="E83" s="937"/>
      <c r="F83" s="945">
        <v>3057</v>
      </c>
      <c r="G83" s="946">
        <v>340</v>
      </c>
      <c r="H83" s="947">
        <v>384</v>
      </c>
      <c r="I83" s="1168"/>
      <c r="J83" s="1659"/>
      <c r="K83" s="1439"/>
      <c r="L83" s="1172"/>
    </row>
    <row r="84" spans="1:12" s="948" customFormat="1" ht="18" customHeight="1">
      <c r="A84" s="696">
        <v>76</v>
      </c>
      <c r="B84" s="934"/>
      <c r="C84" s="943">
        <v>5</v>
      </c>
      <c r="D84" s="944" t="s">
        <v>856</v>
      </c>
      <c r="E84" s="937"/>
      <c r="F84" s="945"/>
      <c r="G84" s="946"/>
      <c r="H84" s="947"/>
      <c r="I84" s="1168"/>
      <c r="J84" s="1659">
        <v>280</v>
      </c>
      <c r="K84" s="1439"/>
      <c r="L84" s="1703">
        <f aca="true" t="shared" si="1" ref="L84:L179">SUM(J84:K84)</f>
        <v>280</v>
      </c>
    </row>
    <row r="85" spans="1:12" s="948" customFormat="1" ht="30">
      <c r="A85" s="933">
        <v>77</v>
      </c>
      <c r="B85" s="934"/>
      <c r="C85" s="943">
        <v>6</v>
      </c>
      <c r="D85" s="944" t="s">
        <v>855</v>
      </c>
      <c r="E85" s="937"/>
      <c r="F85" s="945"/>
      <c r="G85" s="946"/>
      <c r="H85" s="947"/>
      <c r="I85" s="1552">
        <f>150+300+500+80+498</f>
        <v>1528</v>
      </c>
      <c r="J85" s="1661">
        <v>2668</v>
      </c>
      <c r="K85" s="1566">
        <v>-100</v>
      </c>
      <c r="L85" s="1553">
        <f t="shared" si="1"/>
        <v>2568</v>
      </c>
    </row>
    <row r="86" spans="1:12" s="948" customFormat="1" ht="18" customHeight="1">
      <c r="A86" s="942">
        <v>78</v>
      </c>
      <c r="B86" s="934"/>
      <c r="C86" s="954" t="s">
        <v>352</v>
      </c>
      <c r="D86" s="957"/>
      <c r="E86" s="937"/>
      <c r="F86" s="945">
        <v>1244</v>
      </c>
      <c r="G86" s="946">
        <v>220</v>
      </c>
      <c r="H86" s="947">
        <v>290</v>
      </c>
      <c r="I86" s="1168"/>
      <c r="J86" s="1659"/>
      <c r="K86" s="1439"/>
      <c r="L86" s="1172"/>
    </row>
    <row r="87" spans="1:12" s="948" customFormat="1" ht="28.5" customHeight="1">
      <c r="A87" s="696">
        <v>79</v>
      </c>
      <c r="B87" s="934"/>
      <c r="C87" s="943">
        <v>7</v>
      </c>
      <c r="D87" s="944" t="s">
        <v>710</v>
      </c>
      <c r="E87" s="937"/>
      <c r="F87" s="945"/>
      <c r="G87" s="946"/>
      <c r="H87" s="947"/>
      <c r="I87" s="1552">
        <v>300</v>
      </c>
      <c r="J87" s="1661">
        <v>1400</v>
      </c>
      <c r="K87" s="1566"/>
      <c r="L87" s="1553">
        <f t="shared" si="1"/>
        <v>1400</v>
      </c>
    </row>
    <row r="88" spans="1:12" s="948" customFormat="1" ht="18" customHeight="1">
      <c r="A88" s="933">
        <v>80</v>
      </c>
      <c r="B88" s="934"/>
      <c r="C88" s="954" t="s">
        <v>487</v>
      </c>
      <c r="D88" s="957"/>
      <c r="E88" s="937"/>
      <c r="F88" s="945">
        <v>193</v>
      </c>
      <c r="G88" s="946"/>
      <c r="H88" s="947"/>
      <c r="I88" s="1168"/>
      <c r="J88" s="1659"/>
      <c r="K88" s="1439"/>
      <c r="L88" s="1172"/>
    </row>
    <row r="89" spans="1:12" s="948" customFormat="1" ht="18" customHeight="1">
      <c r="A89" s="942">
        <v>81</v>
      </c>
      <c r="B89" s="934"/>
      <c r="C89" s="949">
        <v>8</v>
      </c>
      <c r="D89" s="944" t="s">
        <v>711</v>
      </c>
      <c r="E89" s="937"/>
      <c r="F89" s="945"/>
      <c r="G89" s="946"/>
      <c r="H89" s="947"/>
      <c r="I89" s="1168"/>
      <c r="J89" s="1659">
        <v>100</v>
      </c>
      <c r="K89" s="1439"/>
      <c r="L89" s="1172">
        <f t="shared" si="1"/>
        <v>100</v>
      </c>
    </row>
    <row r="90" spans="1:12" s="948" customFormat="1" ht="18" customHeight="1">
      <c r="A90" s="696">
        <v>82</v>
      </c>
      <c r="B90" s="934"/>
      <c r="C90" s="954" t="s">
        <v>320</v>
      </c>
      <c r="D90" s="944"/>
      <c r="E90" s="937"/>
      <c r="F90" s="945">
        <v>15436</v>
      </c>
      <c r="G90" s="939">
        <v>200</v>
      </c>
      <c r="H90" s="940">
        <v>941</v>
      </c>
      <c r="I90" s="1167"/>
      <c r="J90" s="1660"/>
      <c r="K90" s="1439"/>
      <c r="L90" s="1172"/>
    </row>
    <row r="91" spans="1:12" s="948" customFormat="1" ht="18" customHeight="1">
      <c r="A91" s="933">
        <v>83</v>
      </c>
      <c r="B91" s="934"/>
      <c r="C91" s="1976">
        <v>9</v>
      </c>
      <c r="D91" s="944" t="s">
        <v>743</v>
      </c>
      <c r="E91" s="937"/>
      <c r="F91" s="945"/>
      <c r="G91" s="946"/>
      <c r="H91" s="947"/>
      <c r="I91" s="1168"/>
      <c r="J91" s="1659">
        <v>1299</v>
      </c>
      <c r="K91" s="1439"/>
      <c r="L91" s="1172">
        <f t="shared" si="1"/>
        <v>1299</v>
      </c>
    </row>
    <row r="92" spans="1:12" s="948" customFormat="1" ht="18" customHeight="1">
      <c r="A92" s="942">
        <v>84</v>
      </c>
      <c r="B92" s="934"/>
      <c r="C92" s="958" t="s">
        <v>488</v>
      </c>
      <c r="D92" s="944"/>
      <c r="E92" s="937"/>
      <c r="F92" s="945"/>
      <c r="G92" s="939"/>
      <c r="H92" s="940"/>
      <c r="I92" s="1167"/>
      <c r="J92" s="1660"/>
      <c r="K92" s="1439"/>
      <c r="L92" s="1172"/>
    </row>
    <row r="93" spans="1:12" s="948" customFormat="1" ht="29.25" customHeight="1">
      <c r="A93" s="696">
        <v>85</v>
      </c>
      <c r="B93" s="934"/>
      <c r="C93" s="943">
        <v>10</v>
      </c>
      <c r="D93" s="944" t="s">
        <v>1051</v>
      </c>
      <c r="E93" s="937"/>
      <c r="F93" s="945"/>
      <c r="G93" s="946"/>
      <c r="H93" s="947"/>
      <c r="I93" s="1168">
        <f>290+80+40</f>
        <v>410</v>
      </c>
      <c r="J93" s="1659">
        <v>1000</v>
      </c>
      <c r="K93" s="1439"/>
      <c r="L93" s="1172">
        <f t="shared" si="1"/>
        <v>1000</v>
      </c>
    </row>
    <row r="94" spans="1:12" s="948" customFormat="1" ht="30" customHeight="1">
      <c r="A94" s="933">
        <v>86</v>
      </c>
      <c r="B94" s="934"/>
      <c r="C94" s="943">
        <v>11</v>
      </c>
      <c r="D94" s="944" t="s">
        <v>801</v>
      </c>
      <c r="E94" s="937"/>
      <c r="F94" s="945"/>
      <c r="G94" s="946"/>
      <c r="H94" s="947"/>
      <c r="I94" s="1168">
        <f>200+80</f>
        <v>280</v>
      </c>
      <c r="J94" s="1659">
        <v>1000</v>
      </c>
      <c r="K94" s="1439"/>
      <c r="L94" s="1172">
        <f t="shared" si="1"/>
        <v>1000</v>
      </c>
    </row>
    <row r="95" spans="1:12" s="941" customFormat="1" ht="22.5" customHeight="1">
      <c r="A95" s="942">
        <v>87</v>
      </c>
      <c r="B95" s="934">
        <v>8</v>
      </c>
      <c r="C95" s="953" t="s">
        <v>113</v>
      </c>
      <c r="D95" s="936"/>
      <c r="E95" s="937" t="s">
        <v>22</v>
      </c>
      <c r="F95" s="938">
        <v>2004</v>
      </c>
      <c r="G95" s="939"/>
      <c r="H95" s="940">
        <v>291</v>
      </c>
      <c r="I95" s="1167"/>
      <c r="J95" s="1660"/>
      <c r="K95" s="1565"/>
      <c r="L95" s="1172"/>
    </row>
    <row r="96" spans="1:12" s="948" customFormat="1" ht="32.25" customHeight="1">
      <c r="A96" s="696">
        <v>88</v>
      </c>
      <c r="B96" s="934"/>
      <c r="C96" s="943">
        <v>1</v>
      </c>
      <c r="D96" s="944" t="s">
        <v>687</v>
      </c>
      <c r="E96" s="937"/>
      <c r="F96" s="945"/>
      <c r="G96" s="946"/>
      <c r="H96" s="947"/>
      <c r="I96" s="1168">
        <v>341</v>
      </c>
      <c r="J96" s="1659">
        <v>641</v>
      </c>
      <c r="K96" s="1439"/>
      <c r="L96" s="1172">
        <f t="shared" si="1"/>
        <v>641</v>
      </c>
    </row>
    <row r="97" spans="1:12" s="948" customFormat="1" ht="18" customHeight="1">
      <c r="A97" s="933">
        <v>89</v>
      </c>
      <c r="B97" s="934"/>
      <c r="C97" s="949">
        <v>2</v>
      </c>
      <c r="D97" s="950" t="s">
        <v>688</v>
      </c>
      <c r="E97" s="937"/>
      <c r="F97" s="945"/>
      <c r="G97" s="946"/>
      <c r="H97" s="947"/>
      <c r="I97" s="1168"/>
      <c r="J97" s="1659">
        <v>200</v>
      </c>
      <c r="K97" s="1439"/>
      <c r="L97" s="1172">
        <f t="shared" si="1"/>
        <v>200</v>
      </c>
    </row>
    <row r="98" spans="1:12" s="941" customFormat="1" ht="22.5" customHeight="1">
      <c r="A98" s="942">
        <v>90</v>
      </c>
      <c r="B98" s="934">
        <v>9</v>
      </c>
      <c r="C98" s="953" t="s">
        <v>376</v>
      </c>
      <c r="D98" s="936"/>
      <c r="E98" s="937" t="s">
        <v>22</v>
      </c>
      <c r="F98" s="938">
        <v>5998</v>
      </c>
      <c r="G98" s="939">
        <f>500+300+200+150</f>
        <v>1150</v>
      </c>
      <c r="H98" s="940">
        <v>3230</v>
      </c>
      <c r="I98" s="1167"/>
      <c r="J98" s="1660"/>
      <c r="K98" s="1565"/>
      <c r="L98" s="1172"/>
    </row>
    <row r="99" spans="1:12" s="948" customFormat="1" ht="60">
      <c r="A99" s="696">
        <v>91</v>
      </c>
      <c r="B99" s="934"/>
      <c r="C99" s="943">
        <v>1</v>
      </c>
      <c r="D99" s="944" t="s">
        <v>684</v>
      </c>
      <c r="E99" s="937"/>
      <c r="F99" s="945"/>
      <c r="G99" s="946"/>
      <c r="H99" s="947"/>
      <c r="I99" s="1168">
        <v>1500</v>
      </c>
      <c r="J99" s="1659">
        <v>1500</v>
      </c>
      <c r="K99" s="1439"/>
      <c r="L99" s="1172">
        <f t="shared" si="1"/>
        <v>1500</v>
      </c>
    </row>
    <row r="100" spans="1:12" s="948" customFormat="1" ht="75">
      <c r="A100" s="933">
        <v>92</v>
      </c>
      <c r="B100" s="934"/>
      <c r="C100" s="943">
        <v>2</v>
      </c>
      <c r="D100" s="944" t="s">
        <v>685</v>
      </c>
      <c r="E100" s="937"/>
      <c r="F100" s="945"/>
      <c r="G100" s="946"/>
      <c r="H100" s="947"/>
      <c r="I100" s="1168">
        <v>1000</v>
      </c>
      <c r="J100" s="1659">
        <v>1000</v>
      </c>
      <c r="K100" s="1439"/>
      <c r="L100" s="1172">
        <f t="shared" si="1"/>
        <v>1000</v>
      </c>
    </row>
    <row r="101" spans="1:12" s="948" customFormat="1" ht="60">
      <c r="A101" s="942">
        <v>93</v>
      </c>
      <c r="B101" s="934"/>
      <c r="C101" s="943">
        <v>3</v>
      </c>
      <c r="D101" s="944" t="s">
        <v>686</v>
      </c>
      <c r="E101" s="937"/>
      <c r="F101" s="945"/>
      <c r="G101" s="946"/>
      <c r="H101" s="947"/>
      <c r="I101" s="1168">
        <v>1000</v>
      </c>
      <c r="J101" s="1659">
        <v>1000</v>
      </c>
      <c r="K101" s="1439"/>
      <c r="L101" s="1172">
        <f t="shared" si="1"/>
        <v>1000</v>
      </c>
    </row>
    <row r="102" spans="1:12" s="948" customFormat="1" ht="18" customHeight="1">
      <c r="A102" s="696">
        <v>94</v>
      </c>
      <c r="B102" s="934"/>
      <c r="C102" s="949">
        <v>4</v>
      </c>
      <c r="D102" s="944" t="s">
        <v>572</v>
      </c>
      <c r="E102" s="937"/>
      <c r="F102" s="945"/>
      <c r="G102" s="946"/>
      <c r="H102" s="947"/>
      <c r="I102" s="1168">
        <f>1400+350+50+30+3800</f>
        <v>5630</v>
      </c>
      <c r="J102" s="1659">
        <v>5630</v>
      </c>
      <c r="K102" s="1439"/>
      <c r="L102" s="1172">
        <f t="shared" si="1"/>
        <v>5630</v>
      </c>
    </row>
    <row r="103" spans="1:12" s="948" customFormat="1" ht="31.5" customHeight="1">
      <c r="A103" s="933">
        <v>95</v>
      </c>
      <c r="B103" s="934"/>
      <c r="C103" s="974">
        <v>5</v>
      </c>
      <c r="D103" s="1969" t="s">
        <v>854</v>
      </c>
      <c r="E103" s="1700"/>
      <c r="F103" s="1055"/>
      <c r="G103" s="1055"/>
      <c r="H103" s="1699"/>
      <c r="I103" s="1168"/>
      <c r="J103" s="1659">
        <v>671</v>
      </c>
      <c r="K103" s="1439"/>
      <c r="L103" s="1172">
        <f t="shared" si="1"/>
        <v>671</v>
      </c>
    </row>
    <row r="104" spans="1:12" s="941" customFormat="1" ht="22.5" customHeight="1">
      <c r="A104" s="942">
        <v>96</v>
      </c>
      <c r="B104" s="934">
        <v>10</v>
      </c>
      <c r="C104" s="935" t="s">
        <v>378</v>
      </c>
      <c r="D104" s="936"/>
      <c r="E104" s="937" t="s">
        <v>22</v>
      </c>
      <c r="F104" s="938">
        <v>4955</v>
      </c>
      <c r="G104" s="939"/>
      <c r="H104" s="940">
        <v>5225</v>
      </c>
      <c r="I104" s="1167"/>
      <c r="J104" s="1660"/>
      <c r="K104" s="1565"/>
      <c r="L104" s="1172"/>
    </row>
    <row r="105" spans="1:12" s="948" customFormat="1" ht="18" customHeight="1">
      <c r="A105" s="696">
        <v>97</v>
      </c>
      <c r="B105" s="934"/>
      <c r="C105" s="949">
        <v>1</v>
      </c>
      <c r="D105" s="944" t="s">
        <v>555</v>
      </c>
      <c r="E105" s="937"/>
      <c r="F105" s="945"/>
      <c r="G105" s="946"/>
      <c r="H105" s="947"/>
      <c r="I105" s="1168">
        <v>3000</v>
      </c>
      <c r="J105" s="1659">
        <v>0</v>
      </c>
      <c r="K105" s="1439"/>
      <c r="L105" s="1172">
        <f t="shared" si="1"/>
        <v>0</v>
      </c>
    </row>
    <row r="106" spans="1:12" s="964" customFormat="1" ht="30" customHeight="1">
      <c r="A106" s="933">
        <v>98</v>
      </c>
      <c r="B106" s="959"/>
      <c r="C106" s="943">
        <v>2</v>
      </c>
      <c r="D106" s="960" t="s">
        <v>489</v>
      </c>
      <c r="E106" s="961"/>
      <c r="F106" s="962"/>
      <c r="G106" s="963">
        <v>4050</v>
      </c>
      <c r="H106" s="940">
        <v>0</v>
      </c>
      <c r="I106" s="1168">
        <v>4050</v>
      </c>
      <c r="J106" s="1659">
        <v>4050</v>
      </c>
      <c r="K106" s="1566"/>
      <c r="L106" s="1172">
        <f t="shared" si="1"/>
        <v>4050</v>
      </c>
    </row>
    <row r="107" spans="1:12" s="964" customFormat="1" ht="18" customHeight="1">
      <c r="A107" s="942">
        <v>99</v>
      </c>
      <c r="B107" s="959"/>
      <c r="C107" s="943">
        <v>3</v>
      </c>
      <c r="D107" s="944" t="s">
        <v>872</v>
      </c>
      <c r="E107" s="961"/>
      <c r="F107" s="962"/>
      <c r="G107" s="963"/>
      <c r="H107" s="940"/>
      <c r="I107" s="1168"/>
      <c r="J107" s="1659">
        <v>2850</v>
      </c>
      <c r="K107" s="1439"/>
      <c r="L107" s="1172">
        <f t="shared" si="1"/>
        <v>2850</v>
      </c>
    </row>
    <row r="108" spans="1:12" s="964" customFormat="1" ht="18" customHeight="1">
      <c r="A108" s="696">
        <v>100</v>
      </c>
      <c r="B108" s="959"/>
      <c r="C108" s="943">
        <v>4</v>
      </c>
      <c r="D108" s="944" t="s">
        <v>681</v>
      </c>
      <c r="E108" s="961"/>
      <c r="F108" s="962"/>
      <c r="G108" s="963"/>
      <c r="H108" s="940"/>
      <c r="I108" s="1168"/>
      <c r="J108" s="1659">
        <v>300</v>
      </c>
      <c r="K108" s="1439"/>
      <c r="L108" s="1172">
        <f t="shared" si="1"/>
        <v>300</v>
      </c>
    </row>
    <row r="109" spans="1:12" s="964" customFormat="1" ht="18" customHeight="1">
      <c r="A109" s="933">
        <v>101</v>
      </c>
      <c r="B109" s="959"/>
      <c r="C109" s="943">
        <v>5</v>
      </c>
      <c r="D109" s="944" t="s">
        <v>682</v>
      </c>
      <c r="E109" s="961"/>
      <c r="F109" s="962"/>
      <c r="G109" s="963"/>
      <c r="H109" s="940"/>
      <c r="I109" s="1168"/>
      <c r="J109" s="1659">
        <v>400</v>
      </c>
      <c r="K109" s="1439"/>
      <c r="L109" s="1172">
        <f t="shared" si="1"/>
        <v>400</v>
      </c>
    </row>
    <row r="110" spans="1:12" s="964" customFormat="1" ht="18" customHeight="1">
      <c r="A110" s="942">
        <v>102</v>
      </c>
      <c r="B110" s="959"/>
      <c r="C110" s="943">
        <v>6</v>
      </c>
      <c r="D110" s="944" t="s">
        <v>683</v>
      </c>
      <c r="E110" s="961"/>
      <c r="F110" s="962"/>
      <c r="G110" s="963"/>
      <c r="H110" s="940"/>
      <c r="I110" s="1168"/>
      <c r="J110" s="1664">
        <v>690</v>
      </c>
      <c r="K110" s="1439"/>
      <c r="L110" s="1172">
        <f t="shared" si="1"/>
        <v>690</v>
      </c>
    </row>
    <row r="111" spans="1:12" s="964" customFormat="1" ht="32.25" customHeight="1">
      <c r="A111" s="696">
        <v>103</v>
      </c>
      <c r="B111" s="959"/>
      <c r="C111" s="943">
        <v>7</v>
      </c>
      <c r="D111" s="1708" t="s">
        <v>875</v>
      </c>
      <c r="E111" s="244"/>
      <c r="F111" s="962"/>
      <c r="G111" s="963"/>
      <c r="H111" s="940"/>
      <c r="I111" s="1168"/>
      <c r="J111" s="1659">
        <v>568</v>
      </c>
      <c r="K111" s="1439"/>
      <c r="L111" s="1172">
        <f t="shared" si="1"/>
        <v>568</v>
      </c>
    </row>
    <row r="112" spans="1:12" s="964" customFormat="1" ht="18" customHeight="1">
      <c r="A112" s="933">
        <v>104</v>
      </c>
      <c r="B112" s="959"/>
      <c r="C112" s="943">
        <v>8</v>
      </c>
      <c r="D112" s="944" t="s">
        <v>876</v>
      </c>
      <c r="E112" s="1707"/>
      <c r="F112" s="962"/>
      <c r="G112" s="963"/>
      <c r="H112" s="940"/>
      <c r="I112" s="1168"/>
      <c r="J112" s="1659">
        <v>1300</v>
      </c>
      <c r="K112" s="1439"/>
      <c r="L112" s="1172">
        <f t="shared" si="1"/>
        <v>1300</v>
      </c>
    </row>
    <row r="113" spans="1:12" s="964" customFormat="1" ht="18" customHeight="1">
      <c r="A113" s="942">
        <v>105</v>
      </c>
      <c r="B113" s="959"/>
      <c r="C113" s="943">
        <v>9</v>
      </c>
      <c r="D113" s="944" t="s">
        <v>873</v>
      </c>
      <c r="E113" s="1707"/>
      <c r="F113" s="962"/>
      <c r="G113" s="963"/>
      <c r="H113" s="940"/>
      <c r="I113" s="1168"/>
      <c r="J113" s="1659">
        <v>400</v>
      </c>
      <c r="K113" s="1439"/>
      <c r="L113" s="1172">
        <f t="shared" si="1"/>
        <v>400</v>
      </c>
    </row>
    <row r="114" spans="1:12" s="964" customFormat="1" ht="18" customHeight="1">
      <c r="A114" s="696">
        <v>106</v>
      </c>
      <c r="B114" s="959"/>
      <c r="C114" s="943">
        <v>10</v>
      </c>
      <c r="D114" s="944" t="s">
        <v>874</v>
      </c>
      <c r="E114" s="1707"/>
      <c r="F114" s="962"/>
      <c r="G114" s="963"/>
      <c r="H114" s="940"/>
      <c r="I114" s="1168"/>
      <c r="J114" s="1659">
        <v>300</v>
      </c>
      <c r="K114" s="1439"/>
      <c r="L114" s="1172">
        <f t="shared" si="1"/>
        <v>300</v>
      </c>
    </row>
    <row r="115" spans="1:12" s="964" customFormat="1" ht="19.5" customHeight="1">
      <c r="A115" s="933">
        <v>107</v>
      </c>
      <c r="B115" s="959"/>
      <c r="C115" s="943">
        <v>11</v>
      </c>
      <c r="D115" s="950" t="s">
        <v>955</v>
      </c>
      <c r="E115" s="1707"/>
      <c r="F115" s="962"/>
      <c r="G115" s="963"/>
      <c r="H115" s="940"/>
      <c r="I115" s="1168"/>
      <c r="J115" s="1659"/>
      <c r="K115" s="1439">
        <v>2079</v>
      </c>
      <c r="L115" s="1172">
        <f t="shared" si="1"/>
        <v>2079</v>
      </c>
    </row>
    <row r="116" spans="1:12" s="941" customFormat="1" ht="22.5" customHeight="1">
      <c r="A116" s="942">
        <v>108</v>
      </c>
      <c r="B116" s="934">
        <v>11</v>
      </c>
      <c r="C116" s="953" t="s">
        <v>370</v>
      </c>
      <c r="D116" s="936"/>
      <c r="E116" s="937" t="s">
        <v>22</v>
      </c>
      <c r="F116" s="938">
        <v>8894</v>
      </c>
      <c r="G116" s="939"/>
      <c r="H116" s="940">
        <v>1580</v>
      </c>
      <c r="I116" s="1167"/>
      <c r="J116" s="1660"/>
      <c r="K116" s="1565"/>
      <c r="L116" s="1172"/>
    </row>
    <row r="117" spans="1:12" s="948" customFormat="1" ht="18" customHeight="1">
      <c r="A117" s="696">
        <v>109</v>
      </c>
      <c r="B117" s="934"/>
      <c r="C117" s="949">
        <v>1</v>
      </c>
      <c r="D117" s="944" t="s">
        <v>571</v>
      </c>
      <c r="E117" s="937"/>
      <c r="F117" s="945"/>
      <c r="G117" s="946"/>
      <c r="H117" s="947"/>
      <c r="I117" s="1168">
        <v>600</v>
      </c>
      <c r="J117" s="1659">
        <v>800</v>
      </c>
      <c r="K117" s="1439"/>
      <c r="L117" s="1172">
        <f t="shared" si="1"/>
        <v>800</v>
      </c>
    </row>
    <row r="118" spans="1:12" s="948" customFormat="1" ht="30" customHeight="1">
      <c r="A118" s="933">
        <v>110</v>
      </c>
      <c r="B118" s="934"/>
      <c r="C118" s="943">
        <v>2</v>
      </c>
      <c r="D118" s="944" t="s">
        <v>858</v>
      </c>
      <c r="E118" s="937"/>
      <c r="F118" s="945"/>
      <c r="G118" s="946"/>
      <c r="H118" s="947"/>
      <c r="I118" s="1168">
        <v>600</v>
      </c>
      <c r="J118" s="1659">
        <v>1000</v>
      </c>
      <c r="K118" s="1439"/>
      <c r="L118" s="1172">
        <f t="shared" si="1"/>
        <v>1000</v>
      </c>
    </row>
    <row r="119" spans="1:12" s="948" customFormat="1" ht="18" customHeight="1">
      <c r="A119" s="942">
        <v>111</v>
      </c>
      <c r="B119" s="934"/>
      <c r="C119" s="949">
        <v>3</v>
      </c>
      <c r="D119" s="944" t="s">
        <v>573</v>
      </c>
      <c r="E119" s="937"/>
      <c r="F119" s="945"/>
      <c r="G119" s="946"/>
      <c r="H119" s="947"/>
      <c r="I119" s="1168">
        <v>2000</v>
      </c>
      <c r="J119" s="1659">
        <v>2000</v>
      </c>
      <c r="K119" s="1439"/>
      <c r="L119" s="1172">
        <f t="shared" si="1"/>
        <v>2000</v>
      </c>
    </row>
    <row r="120" spans="1:12" s="948" customFormat="1" ht="18" customHeight="1">
      <c r="A120" s="696">
        <v>112</v>
      </c>
      <c r="B120" s="934"/>
      <c r="C120" s="949">
        <v>4</v>
      </c>
      <c r="D120" s="950" t="s">
        <v>655</v>
      </c>
      <c r="E120" s="937"/>
      <c r="F120" s="945"/>
      <c r="G120" s="946"/>
      <c r="H120" s="947"/>
      <c r="I120" s="1168">
        <v>5000</v>
      </c>
      <c r="J120" s="1659">
        <v>5000</v>
      </c>
      <c r="K120" s="1439"/>
      <c r="L120" s="1172">
        <f t="shared" si="1"/>
        <v>5000</v>
      </c>
    </row>
    <row r="121" spans="1:12" s="948" customFormat="1" ht="18" customHeight="1">
      <c r="A121" s="933">
        <v>113</v>
      </c>
      <c r="B121" s="934"/>
      <c r="C121" s="949">
        <v>5</v>
      </c>
      <c r="D121" s="950" t="s">
        <v>585</v>
      </c>
      <c r="E121" s="937"/>
      <c r="F121" s="945"/>
      <c r="G121" s="946"/>
      <c r="H121" s="947"/>
      <c r="I121" s="1168"/>
      <c r="J121" s="1659">
        <v>800</v>
      </c>
      <c r="K121" s="1439"/>
      <c r="L121" s="1172">
        <f t="shared" si="1"/>
        <v>800</v>
      </c>
    </row>
    <row r="122" spans="1:12" s="948" customFormat="1" ht="18" customHeight="1">
      <c r="A122" s="942">
        <v>114</v>
      </c>
      <c r="B122" s="934"/>
      <c r="C122" s="949">
        <v>6</v>
      </c>
      <c r="D122" s="950" t="s">
        <v>694</v>
      </c>
      <c r="E122" s="937"/>
      <c r="F122" s="945"/>
      <c r="G122" s="946"/>
      <c r="H122" s="947"/>
      <c r="I122" s="1168"/>
      <c r="J122" s="1659">
        <v>100</v>
      </c>
      <c r="K122" s="1439"/>
      <c r="L122" s="1172">
        <f t="shared" si="1"/>
        <v>100</v>
      </c>
    </row>
    <row r="123" spans="1:12" s="948" customFormat="1" ht="18" customHeight="1">
      <c r="A123" s="696">
        <v>115</v>
      </c>
      <c r="B123" s="934"/>
      <c r="C123" s="949">
        <v>7</v>
      </c>
      <c r="D123" s="950" t="s">
        <v>857</v>
      </c>
      <c r="E123" s="937"/>
      <c r="F123" s="945"/>
      <c r="G123" s="946"/>
      <c r="H123" s="947"/>
      <c r="I123" s="1168"/>
      <c r="J123" s="1659">
        <v>750</v>
      </c>
      <c r="K123" s="1439"/>
      <c r="L123" s="1172">
        <f t="shared" si="1"/>
        <v>750</v>
      </c>
    </row>
    <row r="124" spans="1:12" s="948" customFormat="1" ht="18" customHeight="1">
      <c r="A124" s="933">
        <v>116</v>
      </c>
      <c r="B124" s="934"/>
      <c r="C124" s="949">
        <v>8</v>
      </c>
      <c r="D124" s="950" t="s">
        <v>964</v>
      </c>
      <c r="E124" s="937"/>
      <c r="F124" s="945"/>
      <c r="G124" s="946"/>
      <c r="H124" s="947"/>
      <c r="I124" s="1168"/>
      <c r="J124" s="1659"/>
      <c r="K124" s="1439">
        <v>1850</v>
      </c>
      <c r="L124" s="1172">
        <f t="shared" si="1"/>
        <v>1850</v>
      </c>
    </row>
    <row r="125" spans="1:12" s="948" customFormat="1" ht="18" customHeight="1">
      <c r="A125" s="942">
        <v>117</v>
      </c>
      <c r="B125" s="934"/>
      <c r="C125" s="949">
        <v>9</v>
      </c>
      <c r="D125" s="950" t="s">
        <v>960</v>
      </c>
      <c r="E125" s="950"/>
      <c r="F125" s="945"/>
      <c r="G125" s="946"/>
      <c r="H125" s="947"/>
      <c r="I125" s="1168"/>
      <c r="J125" s="1659"/>
      <c r="K125" s="1439">
        <v>2740</v>
      </c>
      <c r="L125" s="1172">
        <f t="shared" si="1"/>
        <v>2740</v>
      </c>
    </row>
    <row r="126" spans="1:12" s="941" customFormat="1" ht="22.5" customHeight="1">
      <c r="A126" s="696">
        <v>118</v>
      </c>
      <c r="B126" s="934">
        <v>12</v>
      </c>
      <c r="C126" s="953" t="s">
        <v>24</v>
      </c>
      <c r="D126" s="936"/>
      <c r="E126" s="937" t="s">
        <v>22</v>
      </c>
      <c r="F126" s="938">
        <v>4783</v>
      </c>
      <c r="G126" s="939"/>
      <c r="H126" s="940">
        <v>16587</v>
      </c>
      <c r="I126" s="1167"/>
      <c r="J126" s="1660"/>
      <c r="K126" s="1565"/>
      <c r="L126" s="1172"/>
    </row>
    <row r="127" spans="1:12" s="948" customFormat="1" ht="30">
      <c r="A127" s="933">
        <v>119</v>
      </c>
      <c r="B127" s="934"/>
      <c r="C127" s="943">
        <v>1</v>
      </c>
      <c r="D127" s="944" t="s">
        <v>574</v>
      </c>
      <c r="E127" s="937"/>
      <c r="F127" s="938"/>
      <c r="G127" s="963"/>
      <c r="H127" s="947"/>
      <c r="I127" s="1168">
        <v>11550</v>
      </c>
      <c r="J127" s="1659">
        <v>12000</v>
      </c>
      <c r="K127" s="1439">
        <v>1500</v>
      </c>
      <c r="L127" s="1172">
        <f t="shared" si="1"/>
        <v>13500</v>
      </c>
    </row>
    <row r="128" spans="1:12" s="948" customFormat="1" ht="30">
      <c r="A128" s="942">
        <v>120</v>
      </c>
      <c r="B128" s="934"/>
      <c r="C128" s="943">
        <v>2</v>
      </c>
      <c r="D128" s="944" t="s">
        <v>321</v>
      </c>
      <c r="E128" s="937"/>
      <c r="F128" s="938">
        <v>20716</v>
      </c>
      <c r="G128" s="963">
        <v>16000</v>
      </c>
      <c r="H128" s="940">
        <v>66716</v>
      </c>
      <c r="I128" s="1168">
        <v>16000</v>
      </c>
      <c r="J128" s="1659">
        <v>67000</v>
      </c>
      <c r="K128" s="1439"/>
      <c r="L128" s="1172">
        <f t="shared" si="1"/>
        <v>67000</v>
      </c>
    </row>
    <row r="129" spans="1:12" s="948" customFormat="1" ht="47.25" customHeight="1">
      <c r="A129" s="696">
        <v>121</v>
      </c>
      <c r="B129" s="934"/>
      <c r="C129" s="943">
        <v>3</v>
      </c>
      <c r="D129" s="944" t="s">
        <v>859</v>
      </c>
      <c r="E129" s="937"/>
      <c r="F129" s="938"/>
      <c r="G129" s="963"/>
      <c r="H129" s="947"/>
      <c r="I129" s="1168">
        <v>987</v>
      </c>
      <c r="J129" s="1659">
        <v>700</v>
      </c>
      <c r="K129" s="1439"/>
      <c r="L129" s="1172">
        <f t="shared" si="1"/>
        <v>700</v>
      </c>
    </row>
    <row r="130" spans="1:12" s="948" customFormat="1" ht="18" customHeight="1">
      <c r="A130" s="933">
        <v>122</v>
      </c>
      <c r="B130" s="934"/>
      <c r="C130" s="949">
        <v>4</v>
      </c>
      <c r="D130" s="944" t="s">
        <v>575</v>
      </c>
      <c r="E130" s="937"/>
      <c r="F130" s="938"/>
      <c r="G130" s="963"/>
      <c r="H130" s="947"/>
      <c r="I130" s="1168">
        <v>717</v>
      </c>
      <c r="J130" s="1659">
        <v>717</v>
      </c>
      <c r="K130" s="1439">
        <v>-717</v>
      </c>
      <c r="L130" s="1172">
        <f t="shared" si="1"/>
        <v>0</v>
      </c>
    </row>
    <row r="131" spans="1:12" s="948" customFormat="1" ht="18" customHeight="1">
      <c r="A131" s="942">
        <v>123</v>
      </c>
      <c r="B131" s="934"/>
      <c r="C131" s="949">
        <v>5</v>
      </c>
      <c r="D131" s="944" t="s">
        <v>576</v>
      </c>
      <c r="E131" s="937"/>
      <c r="F131" s="938"/>
      <c r="G131" s="963"/>
      <c r="H131" s="947"/>
      <c r="I131" s="1168">
        <v>200</v>
      </c>
      <c r="J131" s="1659">
        <v>200</v>
      </c>
      <c r="K131" s="1439">
        <v>-200</v>
      </c>
      <c r="L131" s="1172">
        <f t="shared" si="1"/>
        <v>0</v>
      </c>
    </row>
    <row r="132" spans="1:12" s="948" customFormat="1" ht="30">
      <c r="A132" s="696">
        <v>124</v>
      </c>
      <c r="B132" s="934"/>
      <c r="C132" s="943">
        <v>6</v>
      </c>
      <c r="D132" s="944" t="s">
        <v>489</v>
      </c>
      <c r="E132" s="937"/>
      <c r="F132" s="945"/>
      <c r="G132" s="939">
        <v>2400</v>
      </c>
      <c r="H132" s="940">
        <v>0</v>
      </c>
      <c r="I132" s="1168">
        <v>2400</v>
      </c>
      <c r="J132" s="1659">
        <v>2400</v>
      </c>
      <c r="K132" s="1439"/>
      <c r="L132" s="1172">
        <f t="shared" si="1"/>
        <v>2400</v>
      </c>
    </row>
    <row r="133" spans="1:12" s="948" customFormat="1" ht="18" customHeight="1">
      <c r="A133" s="933">
        <v>125</v>
      </c>
      <c r="B133" s="934"/>
      <c r="C133" s="943">
        <v>7</v>
      </c>
      <c r="D133" s="944" t="s">
        <v>691</v>
      </c>
      <c r="E133" s="937"/>
      <c r="F133" s="945"/>
      <c r="G133" s="939"/>
      <c r="H133" s="940"/>
      <c r="I133" s="1168"/>
      <c r="J133" s="1659">
        <v>762</v>
      </c>
      <c r="K133" s="1439"/>
      <c r="L133" s="1172">
        <f t="shared" si="1"/>
        <v>762</v>
      </c>
    </row>
    <row r="134" spans="1:12" s="948" customFormat="1" ht="18" customHeight="1">
      <c r="A134" s="942">
        <v>126</v>
      </c>
      <c r="B134" s="934"/>
      <c r="C134" s="943">
        <v>8</v>
      </c>
      <c r="D134" s="950" t="s">
        <v>692</v>
      </c>
      <c r="E134" s="937"/>
      <c r="F134" s="945"/>
      <c r="G134" s="939"/>
      <c r="H134" s="940"/>
      <c r="I134" s="1168"/>
      <c r="J134" s="1659">
        <v>225</v>
      </c>
      <c r="K134" s="1439"/>
      <c r="L134" s="1172">
        <f t="shared" si="1"/>
        <v>225</v>
      </c>
    </row>
    <row r="135" spans="1:12" s="948" customFormat="1" ht="30.75" customHeight="1">
      <c r="A135" s="696">
        <v>127</v>
      </c>
      <c r="B135" s="934"/>
      <c r="C135" s="943">
        <v>9</v>
      </c>
      <c r="D135" s="950" t="s">
        <v>860</v>
      </c>
      <c r="E135" s="937"/>
      <c r="F135" s="945"/>
      <c r="G135" s="939"/>
      <c r="H135" s="940"/>
      <c r="I135" s="1168"/>
      <c r="J135" s="1659">
        <v>760</v>
      </c>
      <c r="K135" s="1439">
        <v>-45</v>
      </c>
      <c r="L135" s="1172">
        <f t="shared" si="1"/>
        <v>715</v>
      </c>
    </row>
    <row r="136" spans="1:12" s="948" customFormat="1" ht="47.25" customHeight="1">
      <c r="A136" s="933">
        <v>128</v>
      </c>
      <c r="B136" s="934"/>
      <c r="C136" s="943">
        <v>10</v>
      </c>
      <c r="D136" s="950" t="s">
        <v>969</v>
      </c>
      <c r="E136" s="937"/>
      <c r="F136" s="945"/>
      <c r="G136" s="939"/>
      <c r="H136" s="940"/>
      <c r="I136" s="1168"/>
      <c r="J136" s="1659"/>
      <c r="K136" s="1566">
        <v>275</v>
      </c>
      <c r="L136" s="1553">
        <f t="shared" si="1"/>
        <v>275</v>
      </c>
    </row>
    <row r="137" spans="1:12" s="941" customFormat="1" ht="22.5" customHeight="1">
      <c r="A137" s="942">
        <v>129</v>
      </c>
      <c r="B137" s="934">
        <v>13</v>
      </c>
      <c r="C137" s="953" t="s">
        <v>31</v>
      </c>
      <c r="D137" s="936"/>
      <c r="E137" s="937" t="s">
        <v>22</v>
      </c>
      <c r="F137" s="938">
        <v>50840</v>
      </c>
      <c r="G137" s="939">
        <f>700+500</f>
        <v>1200</v>
      </c>
      <c r="H137" s="940">
        <v>5908</v>
      </c>
      <c r="I137" s="1167"/>
      <c r="J137" s="1660"/>
      <c r="K137" s="1565"/>
      <c r="L137" s="1172"/>
    </row>
    <row r="138" spans="1:12" s="948" customFormat="1" ht="18" customHeight="1">
      <c r="A138" s="696">
        <v>130</v>
      </c>
      <c r="B138" s="934"/>
      <c r="C138" s="949">
        <v>1</v>
      </c>
      <c r="D138" s="944" t="s">
        <v>555</v>
      </c>
      <c r="E138" s="937"/>
      <c r="F138" s="945"/>
      <c r="G138" s="946"/>
      <c r="H138" s="947"/>
      <c r="I138" s="1168">
        <v>2500</v>
      </c>
      <c r="J138" s="1659">
        <v>3000</v>
      </c>
      <c r="K138" s="1439"/>
      <c r="L138" s="1172">
        <f t="shared" si="1"/>
        <v>3000</v>
      </c>
    </row>
    <row r="139" spans="1:12" s="948" customFormat="1" ht="18" customHeight="1">
      <c r="A139" s="933">
        <v>131</v>
      </c>
      <c r="B139" s="934"/>
      <c r="C139" s="949">
        <v>2</v>
      </c>
      <c r="D139" s="944" t="s">
        <v>577</v>
      </c>
      <c r="E139" s="937"/>
      <c r="F139" s="945"/>
      <c r="G139" s="946"/>
      <c r="H139" s="947"/>
      <c r="I139" s="1168">
        <v>1557</v>
      </c>
      <c r="J139" s="1659">
        <v>1557</v>
      </c>
      <c r="K139" s="1439">
        <v>-191</v>
      </c>
      <c r="L139" s="1172">
        <f t="shared" si="1"/>
        <v>1366</v>
      </c>
    </row>
    <row r="140" spans="1:12" s="948" customFormat="1" ht="18" customHeight="1">
      <c r="A140" s="942">
        <v>132</v>
      </c>
      <c r="B140" s="934"/>
      <c r="C140" s="949">
        <v>3</v>
      </c>
      <c r="D140" s="950" t="s">
        <v>578</v>
      </c>
      <c r="E140" s="937"/>
      <c r="F140" s="945"/>
      <c r="G140" s="946"/>
      <c r="H140" s="947"/>
      <c r="I140" s="1168">
        <v>3000</v>
      </c>
      <c r="J140" s="1659">
        <v>3500</v>
      </c>
      <c r="K140" s="1439">
        <v>1270</v>
      </c>
      <c r="L140" s="1172">
        <f t="shared" si="1"/>
        <v>4770</v>
      </c>
    </row>
    <row r="141" spans="1:12" s="948" customFormat="1" ht="18" customHeight="1">
      <c r="A141" s="696">
        <v>133</v>
      </c>
      <c r="B141" s="934"/>
      <c r="C141" s="949">
        <v>4</v>
      </c>
      <c r="D141" s="950" t="s">
        <v>579</v>
      </c>
      <c r="E141" s="937"/>
      <c r="F141" s="945"/>
      <c r="G141" s="946"/>
      <c r="H141" s="947"/>
      <c r="I141" s="1168">
        <v>200</v>
      </c>
      <c r="J141" s="1659">
        <v>200</v>
      </c>
      <c r="K141" s="1439"/>
      <c r="L141" s="1172">
        <f t="shared" si="1"/>
        <v>200</v>
      </c>
    </row>
    <row r="142" spans="1:12" s="948" customFormat="1" ht="18" customHeight="1">
      <c r="A142" s="933">
        <v>134</v>
      </c>
      <c r="B142" s="934"/>
      <c r="C142" s="949">
        <v>5</v>
      </c>
      <c r="D142" s="950" t="s">
        <v>580</v>
      </c>
      <c r="E142" s="937"/>
      <c r="F142" s="945"/>
      <c r="G142" s="946"/>
      <c r="H142" s="947"/>
      <c r="I142" s="1168">
        <v>600</v>
      </c>
      <c r="J142" s="1659">
        <v>600</v>
      </c>
      <c r="K142" s="1439"/>
      <c r="L142" s="1172">
        <f t="shared" si="1"/>
        <v>600</v>
      </c>
    </row>
    <row r="143" spans="1:12" s="948" customFormat="1" ht="18" customHeight="1">
      <c r="A143" s="942">
        <v>135</v>
      </c>
      <c r="B143" s="934"/>
      <c r="C143" s="949">
        <v>6</v>
      </c>
      <c r="D143" s="950" t="s">
        <v>581</v>
      </c>
      <c r="E143" s="937"/>
      <c r="F143" s="945"/>
      <c r="G143" s="946"/>
      <c r="H143" s="947"/>
      <c r="I143" s="1168">
        <v>200</v>
      </c>
      <c r="J143" s="1659">
        <v>200</v>
      </c>
      <c r="K143" s="1439"/>
      <c r="L143" s="1172">
        <f t="shared" si="1"/>
        <v>200</v>
      </c>
    </row>
    <row r="144" spans="1:12" s="948" customFormat="1" ht="18" customHeight="1">
      <c r="A144" s="696">
        <v>136</v>
      </c>
      <c r="B144" s="934"/>
      <c r="C144" s="949">
        <v>7</v>
      </c>
      <c r="D144" s="950" t="s">
        <v>703</v>
      </c>
      <c r="E144" s="937"/>
      <c r="F144" s="945"/>
      <c r="G144" s="946"/>
      <c r="H144" s="947"/>
      <c r="I144" s="1168"/>
      <c r="J144" s="1659">
        <v>298</v>
      </c>
      <c r="K144" s="1439"/>
      <c r="L144" s="1172">
        <f t="shared" si="1"/>
        <v>298</v>
      </c>
    </row>
    <row r="145" spans="1:12" s="948" customFormat="1" ht="18" customHeight="1">
      <c r="A145" s="933">
        <v>137</v>
      </c>
      <c r="B145" s="934"/>
      <c r="C145" s="949">
        <v>8</v>
      </c>
      <c r="D145" s="950" t="s">
        <v>707</v>
      </c>
      <c r="E145" s="937"/>
      <c r="F145" s="945"/>
      <c r="G145" s="946"/>
      <c r="H145" s="947"/>
      <c r="I145" s="1168"/>
      <c r="J145" s="1659">
        <v>7008</v>
      </c>
      <c r="K145" s="1439"/>
      <c r="L145" s="1172">
        <f t="shared" si="1"/>
        <v>7008</v>
      </c>
    </row>
    <row r="146" spans="1:12" s="948" customFormat="1" ht="18" customHeight="1">
      <c r="A146" s="942">
        <v>138</v>
      </c>
      <c r="B146" s="934"/>
      <c r="C146" s="949">
        <v>9</v>
      </c>
      <c r="D146" s="950" t="s">
        <v>706</v>
      </c>
      <c r="E146" s="937"/>
      <c r="F146" s="945"/>
      <c r="G146" s="946"/>
      <c r="H146" s="947"/>
      <c r="I146" s="1168"/>
      <c r="J146" s="1659">
        <v>13000</v>
      </c>
      <c r="K146" s="1439"/>
      <c r="L146" s="1172">
        <f t="shared" si="1"/>
        <v>13000</v>
      </c>
    </row>
    <row r="147" spans="1:12" s="948" customFormat="1" ht="18" customHeight="1">
      <c r="A147" s="696">
        <v>139</v>
      </c>
      <c r="B147" s="934"/>
      <c r="C147" s="949">
        <v>10</v>
      </c>
      <c r="D147" s="950" t="s">
        <v>861</v>
      </c>
      <c r="E147" s="937"/>
      <c r="F147" s="945"/>
      <c r="G147" s="946"/>
      <c r="H147" s="947"/>
      <c r="I147" s="1168"/>
      <c r="J147" s="1836">
        <v>203</v>
      </c>
      <c r="K147" s="1439"/>
      <c r="L147" s="1172">
        <f t="shared" si="1"/>
        <v>203</v>
      </c>
    </row>
    <row r="148" spans="1:12" s="948" customFormat="1" ht="18" customHeight="1">
      <c r="A148" s="933">
        <v>140</v>
      </c>
      <c r="B148" s="934"/>
      <c r="C148" s="949">
        <v>11</v>
      </c>
      <c r="D148" s="950" t="s">
        <v>862</v>
      </c>
      <c r="E148" s="937"/>
      <c r="F148" s="945"/>
      <c r="G148" s="946"/>
      <c r="H148" s="947"/>
      <c r="I148" s="1168"/>
      <c r="J148" s="1836">
        <v>470</v>
      </c>
      <c r="K148" s="1439"/>
      <c r="L148" s="1172">
        <f t="shared" si="1"/>
        <v>470</v>
      </c>
    </row>
    <row r="149" spans="1:12" s="948" customFormat="1" ht="18" customHeight="1">
      <c r="A149" s="942">
        <v>141</v>
      </c>
      <c r="B149" s="934"/>
      <c r="C149" s="949">
        <v>12</v>
      </c>
      <c r="D149" s="950" t="s">
        <v>863</v>
      </c>
      <c r="E149" s="937"/>
      <c r="F149" s="945"/>
      <c r="G149" s="946"/>
      <c r="H149" s="947"/>
      <c r="I149" s="1168"/>
      <c r="J149" s="1836">
        <v>1150</v>
      </c>
      <c r="K149" s="1439"/>
      <c r="L149" s="1172">
        <f t="shared" si="1"/>
        <v>1150</v>
      </c>
    </row>
    <row r="150" spans="1:12" s="948" customFormat="1" ht="18" customHeight="1">
      <c r="A150" s="696">
        <v>142</v>
      </c>
      <c r="B150" s="934"/>
      <c r="C150" s="949">
        <v>13</v>
      </c>
      <c r="D150" s="950" t="s">
        <v>864</v>
      </c>
      <c r="E150" s="937"/>
      <c r="F150" s="945"/>
      <c r="G150" s="946"/>
      <c r="H150" s="947"/>
      <c r="I150" s="1168"/>
      <c r="J150" s="1836">
        <v>500</v>
      </c>
      <c r="K150" s="1439"/>
      <c r="L150" s="1172">
        <f t="shared" si="1"/>
        <v>500</v>
      </c>
    </row>
    <row r="151" spans="1:12" s="948" customFormat="1" ht="18" customHeight="1">
      <c r="A151" s="933">
        <v>143</v>
      </c>
      <c r="B151" s="934"/>
      <c r="C151" s="949">
        <v>14</v>
      </c>
      <c r="D151" s="950" t="s">
        <v>886</v>
      </c>
      <c r="E151" s="937"/>
      <c r="F151" s="945"/>
      <c r="G151" s="946"/>
      <c r="H151" s="947"/>
      <c r="I151" s="1168"/>
      <c r="J151" s="1836">
        <v>3000</v>
      </c>
      <c r="K151" s="1439"/>
      <c r="L151" s="1172">
        <f t="shared" si="1"/>
        <v>3000</v>
      </c>
    </row>
    <row r="152" spans="1:12" s="948" customFormat="1" ht="18" customHeight="1">
      <c r="A152" s="942">
        <v>144</v>
      </c>
      <c r="B152" s="934"/>
      <c r="C152" s="949">
        <v>15</v>
      </c>
      <c r="D152" s="950" t="s">
        <v>887</v>
      </c>
      <c r="E152" s="937"/>
      <c r="F152" s="945"/>
      <c r="G152" s="946"/>
      <c r="H152" s="947"/>
      <c r="I152" s="1168"/>
      <c r="J152" s="1836">
        <v>700</v>
      </c>
      <c r="K152" s="1439"/>
      <c r="L152" s="1172">
        <f t="shared" si="1"/>
        <v>700</v>
      </c>
    </row>
    <row r="153" spans="1:12" s="948" customFormat="1" ht="45" customHeight="1">
      <c r="A153" s="696">
        <v>145</v>
      </c>
      <c r="B153" s="934"/>
      <c r="C153" s="943">
        <v>16</v>
      </c>
      <c r="D153" s="965" t="s">
        <v>490</v>
      </c>
      <c r="E153" s="937"/>
      <c r="F153" s="966">
        <v>54424</v>
      </c>
      <c r="G153" s="946"/>
      <c r="H153" s="947"/>
      <c r="I153" s="1168"/>
      <c r="J153" s="1659"/>
      <c r="K153" s="1439"/>
      <c r="L153" s="1172">
        <f t="shared" si="1"/>
        <v>0</v>
      </c>
    </row>
    <row r="154" spans="1:12" s="948" customFormat="1" ht="19.5" customHeight="1">
      <c r="A154" s="933">
        <v>146</v>
      </c>
      <c r="B154" s="934"/>
      <c r="C154" s="943">
        <v>17</v>
      </c>
      <c r="D154" s="950" t="s">
        <v>997</v>
      </c>
      <c r="E154" s="937"/>
      <c r="F154" s="966"/>
      <c r="G154" s="946"/>
      <c r="H154" s="947"/>
      <c r="I154" s="1168"/>
      <c r="J154" s="1659"/>
      <c r="K154" s="1439">
        <v>1000</v>
      </c>
      <c r="L154" s="1172">
        <f t="shared" si="1"/>
        <v>1000</v>
      </c>
    </row>
    <row r="155" spans="1:12" s="948" customFormat="1" ht="19.5" customHeight="1">
      <c r="A155" s="942">
        <v>147</v>
      </c>
      <c r="B155" s="934"/>
      <c r="C155" s="943">
        <v>18</v>
      </c>
      <c r="D155" s="950" t="s">
        <v>998</v>
      </c>
      <c r="E155" s="937"/>
      <c r="F155" s="966"/>
      <c r="G155" s="946"/>
      <c r="H155" s="947"/>
      <c r="I155" s="1168"/>
      <c r="J155" s="1659"/>
      <c r="K155" s="1439">
        <v>1308</v>
      </c>
      <c r="L155" s="1172">
        <f t="shared" si="1"/>
        <v>1308</v>
      </c>
    </row>
    <row r="156" spans="1:12" s="948" customFormat="1" ht="32.25" customHeight="1">
      <c r="A156" s="696">
        <v>148</v>
      </c>
      <c r="B156" s="934"/>
      <c r="C156" s="943">
        <v>19</v>
      </c>
      <c r="D156" s="2068" t="s">
        <v>994</v>
      </c>
      <c r="E156" s="2069"/>
      <c r="F156" s="966"/>
      <c r="G156" s="946"/>
      <c r="H156" s="947"/>
      <c r="I156" s="1168"/>
      <c r="J156" s="1659"/>
      <c r="K156" s="1439">
        <v>25400</v>
      </c>
      <c r="L156" s="1172">
        <f t="shared" si="1"/>
        <v>25400</v>
      </c>
    </row>
    <row r="157" spans="1:12" s="941" customFormat="1" ht="22.5" customHeight="1">
      <c r="A157" s="933">
        <v>149</v>
      </c>
      <c r="B157" s="934">
        <v>14</v>
      </c>
      <c r="C157" s="953" t="s">
        <v>371</v>
      </c>
      <c r="D157" s="936"/>
      <c r="E157" s="937" t="s">
        <v>23</v>
      </c>
      <c r="F157" s="938">
        <v>2197</v>
      </c>
      <c r="G157" s="939"/>
      <c r="H157" s="940">
        <v>3173</v>
      </c>
      <c r="I157" s="1167"/>
      <c r="J157" s="1660"/>
      <c r="K157" s="1565"/>
      <c r="L157" s="1172"/>
    </row>
    <row r="158" spans="1:12" s="948" customFormat="1" ht="31.5" customHeight="1">
      <c r="A158" s="942">
        <v>150</v>
      </c>
      <c r="B158" s="934"/>
      <c r="C158" s="943">
        <v>1</v>
      </c>
      <c r="D158" s="944" t="s">
        <v>884</v>
      </c>
      <c r="E158" s="937"/>
      <c r="F158" s="945"/>
      <c r="G158" s="946"/>
      <c r="H158" s="947"/>
      <c r="I158" s="1168">
        <v>1000</v>
      </c>
      <c r="J158" s="1659">
        <v>1080</v>
      </c>
      <c r="K158" s="1439"/>
      <c r="L158" s="1172">
        <f t="shared" si="1"/>
        <v>1080</v>
      </c>
    </row>
    <row r="159" spans="1:12" s="948" customFormat="1" ht="48" customHeight="1">
      <c r="A159" s="696">
        <v>151</v>
      </c>
      <c r="B159" s="934"/>
      <c r="C159" s="943">
        <v>2</v>
      </c>
      <c r="D159" s="2068" t="s">
        <v>988</v>
      </c>
      <c r="E159" s="2069"/>
      <c r="F159" s="945"/>
      <c r="G159" s="946"/>
      <c r="H159" s="947"/>
      <c r="I159" s="1168"/>
      <c r="J159" s="1836">
        <v>3000</v>
      </c>
      <c r="K159" s="1439">
        <v>3172</v>
      </c>
      <c r="L159" s="1172">
        <f t="shared" si="1"/>
        <v>6172</v>
      </c>
    </row>
    <row r="160" spans="1:12" s="948" customFormat="1" ht="18" customHeight="1">
      <c r="A160" s="933">
        <v>152</v>
      </c>
      <c r="B160" s="934"/>
      <c r="C160" s="949">
        <v>3</v>
      </c>
      <c r="D160" s="950" t="s">
        <v>870</v>
      </c>
      <c r="E160" s="937"/>
      <c r="F160" s="945"/>
      <c r="G160" s="946"/>
      <c r="H160" s="947"/>
      <c r="I160" s="1168"/>
      <c r="J160" s="1836">
        <v>240</v>
      </c>
      <c r="K160" s="1439"/>
      <c r="L160" s="1172">
        <f t="shared" si="1"/>
        <v>240</v>
      </c>
    </row>
    <row r="161" spans="1:12" s="948" customFormat="1" ht="18" customHeight="1">
      <c r="A161" s="942">
        <v>153</v>
      </c>
      <c r="B161" s="934"/>
      <c r="C161" s="949">
        <v>4</v>
      </c>
      <c r="D161" s="950" t="s">
        <v>871</v>
      </c>
      <c r="E161" s="937"/>
      <c r="F161" s="945"/>
      <c r="G161" s="946"/>
      <c r="H161" s="947"/>
      <c r="I161" s="1168"/>
      <c r="J161" s="1836">
        <v>160</v>
      </c>
      <c r="K161" s="1439"/>
      <c r="L161" s="1172">
        <f t="shared" si="1"/>
        <v>160</v>
      </c>
    </row>
    <row r="162" spans="1:12" s="948" customFormat="1" ht="30">
      <c r="A162" s="696">
        <v>154</v>
      </c>
      <c r="B162" s="934"/>
      <c r="C162" s="943">
        <v>5</v>
      </c>
      <c r="D162" s="950" t="s">
        <v>491</v>
      </c>
      <c r="E162" s="937"/>
      <c r="F162" s="966">
        <v>835</v>
      </c>
      <c r="G162" s="963">
        <v>2831</v>
      </c>
      <c r="H162" s="940">
        <v>868</v>
      </c>
      <c r="I162" s="1168"/>
      <c r="J162" s="1659"/>
      <c r="K162" s="1439"/>
      <c r="L162" s="1172"/>
    </row>
    <row r="163" spans="1:12" s="948" customFormat="1" ht="18" customHeight="1">
      <c r="A163" s="933">
        <v>155</v>
      </c>
      <c r="B163" s="934"/>
      <c r="C163" s="943">
        <v>6</v>
      </c>
      <c r="D163" s="950" t="s">
        <v>989</v>
      </c>
      <c r="E163" s="937"/>
      <c r="F163" s="966"/>
      <c r="G163" s="963"/>
      <c r="H163" s="940"/>
      <c r="I163" s="1168"/>
      <c r="J163" s="1659"/>
      <c r="K163" s="1439">
        <v>3000</v>
      </c>
      <c r="L163" s="1172">
        <f t="shared" si="1"/>
        <v>3000</v>
      </c>
    </row>
    <row r="164" spans="1:12" s="948" customFormat="1" ht="18" customHeight="1">
      <c r="A164" s="942">
        <v>156</v>
      </c>
      <c r="B164" s="934"/>
      <c r="C164" s="943">
        <v>7</v>
      </c>
      <c r="D164" s="950" t="s">
        <v>990</v>
      </c>
      <c r="E164" s="937"/>
      <c r="F164" s="966"/>
      <c r="G164" s="963"/>
      <c r="H164" s="940"/>
      <c r="I164" s="1168"/>
      <c r="J164" s="1659"/>
      <c r="K164" s="1439">
        <v>3000</v>
      </c>
      <c r="L164" s="1172">
        <f t="shared" si="1"/>
        <v>3000</v>
      </c>
    </row>
    <row r="165" spans="1:12" s="948" customFormat="1" ht="18" customHeight="1">
      <c r="A165" s="696">
        <v>157</v>
      </c>
      <c r="B165" s="934"/>
      <c r="C165" s="943">
        <v>8</v>
      </c>
      <c r="D165" s="950" t="s">
        <v>991</v>
      </c>
      <c r="E165" s="937"/>
      <c r="F165" s="966"/>
      <c r="G165" s="963"/>
      <c r="H165" s="940"/>
      <c r="I165" s="1168"/>
      <c r="J165" s="1659"/>
      <c r="K165" s="1439">
        <v>1500</v>
      </c>
      <c r="L165" s="1172">
        <f t="shared" si="1"/>
        <v>1500</v>
      </c>
    </row>
    <row r="166" spans="1:12" s="941" customFormat="1" ht="22.5" customHeight="1">
      <c r="A166" s="933">
        <v>158</v>
      </c>
      <c r="B166" s="934">
        <v>15</v>
      </c>
      <c r="C166" s="953" t="s">
        <v>142</v>
      </c>
      <c r="D166" s="936"/>
      <c r="E166" s="937" t="s">
        <v>23</v>
      </c>
      <c r="F166" s="938">
        <v>22457</v>
      </c>
      <c r="G166" s="939">
        <v>2000</v>
      </c>
      <c r="H166" s="940">
        <v>25055</v>
      </c>
      <c r="I166" s="1167"/>
      <c r="J166" s="1660"/>
      <c r="K166" s="1565"/>
      <c r="L166" s="1172"/>
    </row>
    <row r="167" spans="1:12" s="948" customFormat="1" ht="18" customHeight="1">
      <c r="A167" s="942">
        <v>159</v>
      </c>
      <c r="B167" s="934"/>
      <c r="C167" s="949">
        <v>1</v>
      </c>
      <c r="D167" s="944" t="s">
        <v>561</v>
      </c>
      <c r="E167" s="937"/>
      <c r="F167" s="945"/>
      <c r="G167" s="946"/>
      <c r="H167" s="947"/>
      <c r="I167" s="1168">
        <v>3000</v>
      </c>
      <c r="J167" s="1659">
        <v>3000</v>
      </c>
      <c r="K167" s="1439"/>
      <c r="L167" s="1172">
        <f t="shared" si="1"/>
        <v>3000</v>
      </c>
    </row>
    <row r="168" spans="1:12" s="948" customFormat="1" ht="31.5" customHeight="1">
      <c r="A168" s="696">
        <v>160</v>
      </c>
      <c r="B168" s="934"/>
      <c r="C168" s="1567">
        <v>2</v>
      </c>
      <c r="D168" s="950" t="s">
        <v>693</v>
      </c>
      <c r="E168" s="937"/>
      <c r="F168" s="945"/>
      <c r="G168" s="946"/>
      <c r="H168" s="947"/>
      <c r="I168" s="1168"/>
      <c r="J168" s="1659">
        <v>3000</v>
      </c>
      <c r="K168" s="1439"/>
      <c r="L168" s="1172">
        <f t="shared" si="1"/>
        <v>3000</v>
      </c>
    </row>
    <row r="169" spans="1:12" s="948" customFormat="1" ht="18" customHeight="1">
      <c r="A169" s="933">
        <v>161</v>
      </c>
      <c r="B169" s="934"/>
      <c r="C169" s="974">
        <v>3</v>
      </c>
      <c r="D169" s="950" t="s">
        <v>865</v>
      </c>
      <c r="E169" s="937"/>
      <c r="F169" s="945"/>
      <c r="G169" s="946"/>
      <c r="H169" s="947"/>
      <c r="I169" s="1168"/>
      <c r="J169" s="1836">
        <v>10414</v>
      </c>
      <c r="K169" s="1439"/>
      <c r="L169" s="1172">
        <f t="shared" si="1"/>
        <v>10414</v>
      </c>
    </row>
    <row r="170" spans="1:12" s="948" customFormat="1" ht="18" customHeight="1">
      <c r="A170" s="942">
        <v>162</v>
      </c>
      <c r="B170" s="934"/>
      <c r="C170" s="974">
        <v>4</v>
      </c>
      <c r="D170" s="950" t="s">
        <v>866</v>
      </c>
      <c r="E170" s="937"/>
      <c r="F170" s="945"/>
      <c r="G170" s="946"/>
      <c r="H170" s="947"/>
      <c r="I170" s="1168"/>
      <c r="J170" s="1836">
        <v>31451</v>
      </c>
      <c r="K170" s="1439">
        <v>-22606</v>
      </c>
      <c r="L170" s="1172">
        <f t="shared" si="1"/>
        <v>8845</v>
      </c>
    </row>
    <row r="171" spans="1:12" s="948" customFormat="1" ht="18" customHeight="1">
      <c r="A171" s="696">
        <v>163</v>
      </c>
      <c r="B171" s="934"/>
      <c r="C171" s="974">
        <v>5</v>
      </c>
      <c r="D171" s="950" t="s">
        <v>867</v>
      </c>
      <c r="E171" s="937"/>
      <c r="F171" s="945"/>
      <c r="G171" s="946"/>
      <c r="H171" s="947"/>
      <c r="I171" s="1168"/>
      <c r="J171" s="1836">
        <v>23008</v>
      </c>
      <c r="K171" s="1439"/>
      <c r="L171" s="1172">
        <f t="shared" si="1"/>
        <v>23008</v>
      </c>
    </row>
    <row r="172" spans="1:12" s="948" customFormat="1" ht="18" customHeight="1">
      <c r="A172" s="933">
        <v>164</v>
      </c>
      <c r="B172" s="934"/>
      <c r="C172" s="974">
        <v>6</v>
      </c>
      <c r="D172" s="950" t="s">
        <v>868</v>
      </c>
      <c r="E172" s="937"/>
      <c r="F172" s="945"/>
      <c r="G172" s="946"/>
      <c r="H172" s="947"/>
      <c r="I172" s="1168"/>
      <c r="J172" s="1836">
        <v>10552</v>
      </c>
      <c r="K172" s="1439"/>
      <c r="L172" s="1172">
        <f t="shared" si="1"/>
        <v>10552</v>
      </c>
    </row>
    <row r="173" spans="1:12" s="948" customFormat="1" ht="18" customHeight="1">
      <c r="A173" s="942">
        <v>165</v>
      </c>
      <c r="B173" s="934"/>
      <c r="C173" s="974">
        <v>7</v>
      </c>
      <c r="D173" s="950" t="s">
        <v>869</v>
      </c>
      <c r="E173" s="937"/>
      <c r="F173" s="945"/>
      <c r="G173" s="946"/>
      <c r="H173" s="947"/>
      <c r="I173" s="1168"/>
      <c r="J173" s="1836">
        <v>4684</v>
      </c>
      <c r="K173" s="1439"/>
      <c r="L173" s="1172">
        <f t="shared" si="1"/>
        <v>4684</v>
      </c>
    </row>
    <row r="174" spans="1:12" s="948" customFormat="1" ht="18" customHeight="1">
      <c r="A174" s="696">
        <v>166</v>
      </c>
      <c r="B174" s="934"/>
      <c r="C174" s="974">
        <v>8</v>
      </c>
      <c r="D174" s="950" t="s">
        <v>1039</v>
      </c>
      <c r="E174" s="937"/>
      <c r="F174" s="945"/>
      <c r="G174" s="946"/>
      <c r="H174" s="947"/>
      <c r="I174" s="1168"/>
      <c r="J174" s="1965"/>
      <c r="K174" s="1439">
        <v>5000</v>
      </c>
      <c r="L174" s="1172">
        <f t="shared" si="1"/>
        <v>5000</v>
      </c>
    </row>
    <row r="175" spans="1:16" s="941" customFormat="1" ht="22.5" customHeight="1">
      <c r="A175" s="933">
        <v>167</v>
      </c>
      <c r="B175" s="934">
        <v>16</v>
      </c>
      <c r="C175" s="967" t="s">
        <v>251</v>
      </c>
      <c r="D175" s="936"/>
      <c r="E175" s="937" t="s">
        <v>22</v>
      </c>
      <c r="F175" s="938">
        <v>9248</v>
      </c>
      <c r="G175" s="939"/>
      <c r="H175" s="940">
        <v>4398</v>
      </c>
      <c r="I175" s="1167"/>
      <c r="J175" s="1660"/>
      <c r="K175" s="1565"/>
      <c r="L175" s="1172"/>
      <c r="O175" s="1078"/>
      <c r="P175" s="1081"/>
    </row>
    <row r="176" spans="1:16" s="948" customFormat="1" ht="29.25" customHeight="1">
      <c r="A176" s="942">
        <v>168</v>
      </c>
      <c r="B176" s="968"/>
      <c r="C176" s="943">
        <v>1</v>
      </c>
      <c r="D176" s="944" t="s">
        <v>698</v>
      </c>
      <c r="E176" s="969"/>
      <c r="F176" s="970"/>
      <c r="G176" s="971"/>
      <c r="H176" s="972"/>
      <c r="I176" s="1169">
        <f>70+50</f>
        <v>120</v>
      </c>
      <c r="J176" s="1662">
        <v>370</v>
      </c>
      <c r="K176" s="1439"/>
      <c r="L176" s="1172">
        <f t="shared" si="1"/>
        <v>370</v>
      </c>
      <c r="O176" s="1078"/>
      <c r="P176" s="1081"/>
    </row>
    <row r="177" spans="1:16" s="948" customFormat="1" ht="18" customHeight="1">
      <c r="A177" s="696">
        <v>169</v>
      </c>
      <c r="B177" s="968"/>
      <c r="C177" s="949">
        <v>2</v>
      </c>
      <c r="D177" s="944" t="s">
        <v>582</v>
      </c>
      <c r="E177" s="969"/>
      <c r="F177" s="970"/>
      <c r="G177" s="971"/>
      <c r="H177" s="972"/>
      <c r="I177" s="1169">
        <v>1500</v>
      </c>
      <c r="J177" s="1662">
        <v>1500</v>
      </c>
      <c r="K177" s="1439"/>
      <c r="L177" s="1172">
        <f t="shared" si="1"/>
        <v>1500</v>
      </c>
      <c r="O177" s="1078"/>
      <c r="P177" s="1081"/>
    </row>
    <row r="178" spans="1:16" s="948" customFormat="1" ht="18" customHeight="1">
      <c r="A178" s="933">
        <v>170</v>
      </c>
      <c r="B178" s="968"/>
      <c r="C178" s="949">
        <v>3</v>
      </c>
      <c r="D178" s="944" t="s">
        <v>583</v>
      </c>
      <c r="E178" s="969"/>
      <c r="F178" s="970"/>
      <c r="G178" s="971"/>
      <c r="H178" s="972"/>
      <c r="I178" s="1169">
        <v>1200</v>
      </c>
      <c r="J178" s="1662">
        <v>1200</v>
      </c>
      <c r="K178" s="1439"/>
      <c r="L178" s="1172">
        <f t="shared" si="1"/>
        <v>1200</v>
      </c>
      <c r="O178" s="1078"/>
      <c r="P178" s="1081"/>
    </row>
    <row r="179" spans="1:16" s="948" customFormat="1" ht="32.25" customHeight="1">
      <c r="A179" s="942">
        <v>171</v>
      </c>
      <c r="B179" s="1449"/>
      <c r="C179" s="1456">
        <v>4</v>
      </c>
      <c r="D179" s="1450" t="s">
        <v>697</v>
      </c>
      <c r="E179" s="1451"/>
      <c r="F179" s="1452"/>
      <c r="G179" s="1453"/>
      <c r="H179" s="1454"/>
      <c r="I179" s="1455"/>
      <c r="J179" s="1663">
        <v>1430</v>
      </c>
      <c r="K179" s="1439"/>
      <c r="L179" s="1172">
        <f t="shared" si="1"/>
        <v>1430</v>
      </c>
      <c r="O179" s="1078"/>
      <c r="P179" s="1081"/>
    </row>
    <row r="180" spans="1:16" s="948" customFormat="1" ht="18" customHeight="1">
      <c r="A180" s="696">
        <v>172</v>
      </c>
      <c r="B180" s="1441"/>
      <c r="C180" s="1442">
        <v>5</v>
      </c>
      <c r="D180" s="1443" t="s">
        <v>696</v>
      </c>
      <c r="E180" s="1444"/>
      <c r="F180" s="1445"/>
      <c r="G180" s="1446"/>
      <c r="H180" s="1447"/>
      <c r="I180" s="1448"/>
      <c r="J180" s="1664">
        <v>220</v>
      </c>
      <c r="K180" s="1439"/>
      <c r="L180" s="1172">
        <f>SUM(J180:K180)</f>
        <v>220</v>
      </c>
      <c r="O180" s="1078"/>
      <c r="P180" s="1081"/>
    </row>
    <row r="181" spans="1:16" s="948" customFormat="1" ht="18" customHeight="1" thickBot="1">
      <c r="A181" s="933">
        <v>173</v>
      </c>
      <c r="B181" s="1441"/>
      <c r="C181" s="1442">
        <v>6</v>
      </c>
      <c r="D181" s="1443" t="s">
        <v>695</v>
      </c>
      <c r="E181" s="1444"/>
      <c r="F181" s="1445"/>
      <c r="G181" s="1446"/>
      <c r="H181" s="1447"/>
      <c r="I181" s="1448"/>
      <c r="J181" s="1663">
        <v>120</v>
      </c>
      <c r="K181" s="1440"/>
      <c r="L181" s="1172">
        <f>SUM(J181:K181)</f>
        <v>120</v>
      </c>
      <c r="O181" s="1078"/>
      <c r="P181" s="1081"/>
    </row>
    <row r="182" spans="1:16" s="697" customFormat="1" ht="36" customHeight="1" thickBot="1" thickTop="1">
      <c r="A182" s="942">
        <v>174</v>
      </c>
      <c r="B182" s="2169" t="s">
        <v>433</v>
      </c>
      <c r="C182" s="2170"/>
      <c r="D182" s="2171"/>
      <c r="E182" s="732"/>
      <c r="F182" s="733">
        <f aca="true" t="shared" si="2" ref="F182:L182">SUM(F10:F181)</f>
        <v>253498</v>
      </c>
      <c r="G182" s="734">
        <f t="shared" si="2"/>
        <v>32671</v>
      </c>
      <c r="H182" s="735">
        <f t="shared" si="2"/>
        <v>154154</v>
      </c>
      <c r="I182" s="1170">
        <f t="shared" si="2"/>
        <v>112203</v>
      </c>
      <c r="J182" s="1666">
        <f t="shared" si="2"/>
        <v>303867</v>
      </c>
      <c r="K182" s="1176">
        <f t="shared" si="2"/>
        <v>29985</v>
      </c>
      <c r="L182" s="1164">
        <f t="shared" si="2"/>
        <v>333852</v>
      </c>
      <c r="O182" s="1078"/>
      <c r="P182" s="1081"/>
    </row>
    <row r="183" spans="1:16" s="941" customFormat="1" ht="22.5" customHeight="1">
      <c r="A183" s="696">
        <v>175</v>
      </c>
      <c r="B183" s="934">
        <v>17</v>
      </c>
      <c r="C183" s="973" t="s">
        <v>25</v>
      </c>
      <c r="D183" s="936"/>
      <c r="E183" s="937" t="s">
        <v>22</v>
      </c>
      <c r="F183" s="938">
        <f>23823-F194</f>
        <v>23823</v>
      </c>
      <c r="G183" s="939">
        <f>34365-G194</f>
        <v>34365</v>
      </c>
      <c r="H183" s="940"/>
      <c r="I183" s="1167"/>
      <c r="J183" s="1658"/>
      <c r="K183" s="1564"/>
      <c r="L183" s="1166"/>
      <c r="O183" s="1078"/>
      <c r="P183" s="1081"/>
    </row>
    <row r="184" spans="1:12" s="941" customFormat="1" ht="22.5" customHeight="1">
      <c r="A184" s="933">
        <v>176</v>
      </c>
      <c r="B184" s="934"/>
      <c r="C184" s="954"/>
      <c r="D184" s="936" t="s">
        <v>151</v>
      </c>
      <c r="E184" s="937"/>
      <c r="F184" s="938"/>
      <c r="G184" s="939"/>
      <c r="H184" s="940">
        <v>2257</v>
      </c>
      <c r="I184" s="1167"/>
      <c r="J184" s="1665"/>
      <c r="K184" s="1565"/>
      <c r="L184" s="1173"/>
    </row>
    <row r="185" spans="1:12" s="948" customFormat="1" ht="18" customHeight="1">
      <c r="A185" s="942">
        <v>177</v>
      </c>
      <c r="B185" s="934"/>
      <c r="C185" s="974">
        <v>1</v>
      </c>
      <c r="D185" s="944" t="s">
        <v>584</v>
      </c>
      <c r="E185" s="937"/>
      <c r="F185" s="945"/>
      <c r="G185" s="946"/>
      <c r="H185" s="947"/>
      <c r="I185" s="1168">
        <v>1524</v>
      </c>
      <c r="J185" s="1659">
        <v>1524</v>
      </c>
      <c r="K185" s="1439"/>
      <c r="L185" s="1172">
        <f>SUM(J185:K185)</f>
        <v>1524</v>
      </c>
    </row>
    <row r="186" spans="1:12" s="948" customFormat="1" ht="18" customHeight="1">
      <c r="A186" s="696">
        <v>178</v>
      </c>
      <c r="B186" s="934"/>
      <c r="C186" s="974">
        <v>2</v>
      </c>
      <c r="D186" s="944" t="s">
        <v>675</v>
      </c>
      <c r="E186" s="937"/>
      <c r="F186" s="945"/>
      <c r="G186" s="946"/>
      <c r="H186" s="947"/>
      <c r="I186" s="1168">
        <v>8001</v>
      </c>
      <c r="J186" s="1659">
        <v>8001</v>
      </c>
      <c r="K186" s="1439"/>
      <c r="L186" s="1172">
        <f aca="true" t="shared" si="3" ref="L186:L194">SUM(J186:K186)</f>
        <v>8001</v>
      </c>
    </row>
    <row r="187" spans="1:12" s="948" customFormat="1" ht="18" customHeight="1">
      <c r="A187" s="933">
        <v>179</v>
      </c>
      <c r="B187" s="934"/>
      <c r="C187" s="974">
        <v>3</v>
      </c>
      <c r="D187" s="944" t="s">
        <v>322</v>
      </c>
      <c r="E187" s="937"/>
      <c r="F187" s="945"/>
      <c r="G187" s="946"/>
      <c r="H187" s="947"/>
      <c r="I187" s="1168">
        <v>381</v>
      </c>
      <c r="J187" s="1659">
        <v>381</v>
      </c>
      <c r="K187" s="1439"/>
      <c r="L187" s="1172">
        <f t="shared" si="3"/>
        <v>381</v>
      </c>
    </row>
    <row r="188" spans="1:12" s="948" customFormat="1" ht="18" customHeight="1">
      <c r="A188" s="942">
        <v>180</v>
      </c>
      <c r="B188" s="934"/>
      <c r="C188" s="974">
        <v>4</v>
      </c>
      <c r="D188" s="944" t="s">
        <v>585</v>
      </c>
      <c r="E188" s="937"/>
      <c r="F188" s="945"/>
      <c r="G188" s="946"/>
      <c r="H188" s="947"/>
      <c r="I188" s="1168">
        <v>2000</v>
      </c>
      <c r="J188" s="1659">
        <v>2000</v>
      </c>
      <c r="K188" s="1439"/>
      <c r="L188" s="1172">
        <f t="shared" si="3"/>
        <v>2000</v>
      </c>
    </row>
    <row r="189" spans="1:12" s="948" customFormat="1" ht="48" customHeight="1">
      <c r="A189" s="696">
        <v>181</v>
      </c>
      <c r="B189" s="934"/>
      <c r="C189" s="1567">
        <v>5</v>
      </c>
      <c r="D189" s="944" t="s">
        <v>912</v>
      </c>
      <c r="E189" s="937"/>
      <c r="F189" s="945"/>
      <c r="G189" s="946"/>
      <c r="H189" s="947"/>
      <c r="I189" s="1552">
        <v>1905</v>
      </c>
      <c r="J189" s="1661">
        <v>8166</v>
      </c>
      <c r="K189" s="1566"/>
      <c r="L189" s="1553">
        <f t="shared" si="3"/>
        <v>8166</v>
      </c>
    </row>
    <row r="190" spans="1:12" s="948" customFormat="1" ht="18" customHeight="1">
      <c r="A190" s="933">
        <v>182</v>
      </c>
      <c r="B190" s="934"/>
      <c r="C190" s="937">
        <v>6</v>
      </c>
      <c r="D190" s="944" t="s">
        <v>586</v>
      </c>
      <c r="E190" s="937"/>
      <c r="F190" s="945"/>
      <c r="G190" s="946"/>
      <c r="H190" s="947"/>
      <c r="I190" s="1168">
        <v>95</v>
      </c>
      <c r="J190" s="1659">
        <v>295</v>
      </c>
      <c r="K190" s="1439"/>
      <c r="L190" s="1172">
        <f t="shared" si="3"/>
        <v>295</v>
      </c>
    </row>
    <row r="191" spans="1:12" s="948" customFormat="1" ht="18" customHeight="1">
      <c r="A191" s="942">
        <v>183</v>
      </c>
      <c r="B191" s="934"/>
      <c r="C191" s="974"/>
      <c r="D191" s="936" t="s">
        <v>587</v>
      </c>
      <c r="E191" s="937"/>
      <c r="F191" s="945"/>
      <c r="G191" s="946"/>
      <c r="H191" s="947"/>
      <c r="I191" s="1168"/>
      <c r="J191" s="1659"/>
      <c r="K191" s="1439"/>
      <c r="L191" s="1172"/>
    </row>
    <row r="192" spans="1:12" s="948" customFormat="1" ht="18" customHeight="1">
      <c r="A192" s="696">
        <v>184</v>
      </c>
      <c r="B192" s="934"/>
      <c r="C192" s="937">
        <v>7</v>
      </c>
      <c r="D192" s="944" t="s">
        <v>32</v>
      </c>
      <c r="E192" s="937"/>
      <c r="F192" s="945">
        <v>22105</v>
      </c>
      <c r="G192" s="946">
        <v>18380</v>
      </c>
      <c r="H192" s="947">
        <v>14849</v>
      </c>
      <c r="I192" s="1168">
        <v>20100</v>
      </c>
      <c r="J192" s="1663">
        <v>29325</v>
      </c>
      <c r="K192" s="1439"/>
      <c r="L192" s="1172">
        <f t="shared" si="3"/>
        <v>29325</v>
      </c>
    </row>
    <row r="193" spans="1:12" s="948" customFormat="1" ht="22.5" customHeight="1">
      <c r="A193" s="933">
        <v>185</v>
      </c>
      <c r="B193" s="934"/>
      <c r="C193" s="974"/>
      <c r="D193" s="936" t="s">
        <v>896</v>
      </c>
      <c r="E193" s="937"/>
      <c r="F193" s="945"/>
      <c r="G193" s="946"/>
      <c r="H193" s="947"/>
      <c r="I193" s="1168"/>
      <c r="J193" s="1664"/>
      <c r="K193" s="1439"/>
      <c r="L193" s="1172"/>
    </row>
    <row r="194" spans="1:12" s="948" customFormat="1" ht="18" customHeight="1" thickBot="1">
      <c r="A194" s="942">
        <v>186</v>
      </c>
      <c r="B194" s="934"/>
      <c r="C194" s="937">
        <v>8</v>
      </c>
      <c r="D194" s="944" t="s">
        <v>897</v>
      </c>
      <c r="E194" s="937"/>
      <c r="F194" s="945"/>
      <c r="G194" s="946"/>
      <c r="H194" s="947"/>
      <c r="I194" s="1168"/>
      <c r="J194" s="1663">
        <v>500</v>
      </c>
      <c r="K194" s="1440"/>
      <c r="L194" s="1172">
        <f t="shared" si="3"/>
        <v>500</v>
      </c>
    </row>
    <row r="195" spans="1:12" s="697" customFormat="1" ht="36" customHeight="1" thickBot="1" thickTop="1">
      <c r="A195" s="696">
        <v>187</v>
      </c>
      <c r="B195" s="2169" t="s">
        <v>434</v>
      </c>
      <c r="C195" s="2170"/>
      <c r="D195" s="2171"/>
      <c r="E195" s="732"/>
      <c r="F195" s="733">
        <f aca="true" t="shared" si="4" ref="F195:L195">SUM(F183:F194)</f>
        <v>45928</v>
      </c>
      <c r="G195" s="734">
        <f t="shared" si="4"/>
        <v>52745</v>
      </c>
      <c r="H195" s="735">
        <f t="shared" si="4"/>
        <v>17106</v>
      </c>
      <c r="I195" s="1170">
        <f t="shared" si="4"/>
        <v>34006</v>
      </c>
      <c r="J195" s="1666">
        <f t="shared" si="4"/>
        <v>50192</v>
      </c>
      <c r="K195" s="1176">
        <f t="shared" si="4"/>
        <v>0</v>
      </c>
      <c r="L195" s="1164">
        <f t="shared" si="4"/>
        <v>50192</v>
      </c>
    </row>
    <row r="196" spans="1:12" s="697" customFormat="1" ht="36" customHeight="1" thickBot="1">
      <c r="A196" s="933">
        <v>188</v>
      </c>
      <c r="B196" s="2172" t="s">
        <v>435</v>
      </c>
      <c r="C196" s="2173"/>
      <c r="D196" s="2174"/>
      <c r="E196" s="736"/>
      <c r="F196" s="737">
        <f aca="true" t="shared" si="5" ref="F196:L196">SUM(F195,F182)</f>
        <v>299426</v>
      </c>
      <c r="G196" s="738">
        <f t="shared" si="5"/>
        <v>85416</v>
      </c>
      <c r="H196" s="739">
        <f t="shared" si="5"/>
        <v>171260</v>
      </c>
      <c r="I196" s="1171">
        <f t="shared" si="5"/>
        <v>146209</v>
      </c>
      <c r="J196" s="1667">
        <f t="shared" si="5"/>
        <v>354059</v>
      </c>
      <c r="K196" s="1177">
        <f t="shared" si="5"/>
        <v>29985</v>
      </c>
      <c r="L196" s="1165">
        <f t="shared" si="5"/>
        <v>384044</v>
      </c>
    </row>
    <row r="197" spans="1:12" s="697" customFormat="1" ht="24.75" customHeight="1">
      <c r="A197" s="942">
        <v>189</v>
      </c>
      <c r="B197" s="1903" t="s">
        <v>379</v>
      </c>
      <c r="C197" s="1904"/>
      <c r="D197" s="1905" t="s">
        <v>1000</v>
      </c>
      <c r="E197" s="1904"/>
      <c r="F197" s="1906"/>
      <c r="G197" s="1907"/>
      <c r="H197" s="1927"/>
      <c r="I197" s="1924"/>
      <c r="J197" s="1908"/>
      <c r="K197" s="1909"/>
      <c r="L197" s="1910"/>
    </row>
    <row r="198" spans="1:12" s="697" customFormat="1" ht="22.5" customHeight="1">
      <c r="A198" s="696">
        <v>190</v>
      </c>
      <c r="B198" s="1911"/>
      <c r="C198" s="1912">
        <v>13</v>
      </c>
      <c r="D198" s="1913" t="s">
        <v>31</v>
      </c>
      <c r="E198" s="1914"/>
      <c r="F198" s="1915"/>
      <c r="G198" s="1916"/>
      <c r="H198" s="1928"/>
      <c r="I198" s="1925"/>
      <c r="J198" s="1917"/>
      <c r="K198" s="1918"/>
      <c r="L198" s="1919"/>
    </row>
    <row r="199" spans="1:12" s="697" customFormat="1" ht="66" customHeight="1" thickBot="1">
      <c r="A199" s="933">
        <v>191</v>
      </c>
      <c r="B199" s="1936"/>
      <c r="C199" s="1920"/>
      <c r="D199" s="1937" t="s">
        <v>490</v>
      </c>
      <c r="E199" s="1920"/>
      <c r="F199" s="1921"/>
      <c r="G199" s="1922"/>
      <c r="H199" s="1929"/>
      <c r="I199" s="1926"/>
      <c r="J199" s="1923"/>
      <c r="K199" s="1938">
        <v>2290</v>
      </c>
      <c r="L199" s="1939">
        <f>SUM(J199:K199)</f>
        <v>2290</v>
      </c>
    </row>
    <row r="200" spans="1:12" s="697" customFormat="1" ht="36" customHeight="1" thickBot="1">
      <c r="A200" s="942">
        <v>192</v>
      </c>
      <c r="B200" s="2153" t="s">
        <v>1001</v>
      </c>
      <c r="C200" s="2154"/>
      <c r="D200" s="2154"/>
      <c r="E200" s="1930"/>
      <c r="F200" s="1931">
        <f>F199+F196</f>
        <v>299426</v>
      </c>
      <c r="G200" s="1932">
        <f>G199+G196</f>
        <v>85416</v>
      </c>
      <c r="H200" s="1933">
        <f>H199+H196</f>
        <v>171260</v>
      </c>
      <c r="I200" s="1934">
        <f>I199+I196</f>
        <v>146209</v>
      </c>
      <c r="J200" s="1935">
        <f>J199+J196</f>
        <v>354059</v>
      </c>
      <c r="K200" s="1997">
        <f>K199+K196</f>
        <v>32275</v>
      </c>
      <c r="L200" s="1977">
        <f>L199+L196</f>
        <v>386334</v>
      </c>
    </row>
    <row r="201" spans="2:10" ht="18" customHeight="1">
      <c r="B201" s="805"/>
      <c r="C201" s="806" t="s">
        <v>26</v>
      </c>
      <c r="D201" s="805"/>
      <c r="E201" s="807"/>
      <c r="F201" s="730"/>
      <c r="G201" s="731"/>
      <c r="H201" s="698"/>
      <c r="I201" s="698"/>
      <c r="J201" s="698"/>
    </row>
    <row r="202" spans="1:248" s="699" customFormat="1" ht="18" customHeight="1">
      <c r="A202" s="696"/>
      <c r="B202" s="805" t="s">
        <v>27</v>
      </c>
      <c r="C202" s="805"/>
      <c r="D202" s="805"/>
      <c r="E202" s="807"/>
      <c r="F202" s="808"/>
      <c r="G202" s="731"/>
      <c r="H202" s="698"/>
      <c r="I202" s="698"/>
      <c r="J202" s="698"/>
      <c r="K202" s="1175"/>
      <c r="L202" s="691"/>
      <c r="M202" s="691"/>
      <c r="N202" s="691"/>
      <c r="O202" s="691"/>
      <c r="P202" s="691"/>
      <c r="Q202" s="691"/>
      <c r="R202" s="691"/>
      <c r="S202" s="691"/>
      <c r="T202" s="691"/>
      <c r="U202" s="691"/>
      <c r="V202" s="691"/>
      <c r="W202" s="691"/>
      <c r="X202" s="691"/>
      <c r="Y202" s="691"/>
      <c r="Z202" s="691"/>
      <c r="AA202" s="691"/>
      <c r="AB202" s="691"/>
      <c r="AC202" s="691"/>
      <c r="AD202" s="691"/>
      <c r="AE202" s="691"/>
      <c r="AF202" s="691"/>
      <c r="AG202" s="691"/>
      <c r="AH202" s="691"/>
      <c r="AI202" s="691"/>
      <c r="AJ202" s="691"/>
      <c r="AK202" s="691"/>
      <c r="AL202" s="691"/>
      <c r="AM202" s="691"/>
      <c r="AN202" s="691"/>
      <c r="AO202" s="691"/>
      <c r="AP202" s="691"/>
      <c r="AQ202" s="691"/>
      <c r="AR202" s="691"/>
      <c r="AS202" s="691"/>
      <c r="AT202" s="691"/>
      <c r="AU202" s="691"/>
      <c r="AV202" s="691"/>
      <c r="AW202" s="691"/>
      <c r="AX202" s="691"/>
      <c r="AY202" s="691"/>
      <c r="AZ202" s="691"/>
      <c r="BA202" s="691"/>
      <c r="BB202" s="691"/>
      <c r="BC202" s="691"/>
      <c r="BD202" s="691"/>
      <c r="BE202" s="691"/>
      <c r="BF202" s="691"/>
      <c r="BG202" s="691"/>
      <c r="BH202" s="691"/>
      <c r="BI202" s="691"/>
      <c r="BJ202" s="691"/>
      <c r="BK202" s="691"/>
      <c r="BL202" s="691"/>
      <c r="BM202" s="691"/>
      <c r="BN202" s="691"/>
      <c r="BO202" s="691"/>
      <c r="BP202" s="691"/>
      <c r="BQ202" s="691"/>
      <c r="BR202" s="691"/>
      <c r="BS202" s="691"/>
      <c r="BT202" s="691"/>
      <c r="BU202" s="691"/>
      <c r="BV202" s="691"/>
      <c r="BW202" s="691"/>
      <c r="BX202" s="691"/>
      <c r="BY202" s="691"/>
      <c r="BZ202" s="691"/>
      <c r="CA202" s="691"/>
      <c r="CB202" s="691"/>
      <c r="CC202" s="691"/>
      <c r="CD202" s="691"/>
      <c r="CE202" s="691"/>
      <c r="CF202" s="691"/>
      <c r="CG202" s="691"/>
      <c r="CH202" s="691"/>
      <c r="CI202" s="691"/>
      <c r="CJ202" s="691"/>
      <c r="CK202" s="691"/>
      <c r="CL202" s="691"/>
      <c r="CM202" s="691"/>
      <c r="CN202" s="691"/>
      <c r="CO202" s="691"/>
      <c r="CP202" s="691"/>
      <c r="CQ202" s="691"/>
      <c r="CR202" s="691"/>
      <c r="CS202" s="691"/>
      <c r="CT202" s="691"/>
      <c r="CU202" s="691"/>
      <c r="CV202" s="691"/>
      <c r="CW202" s="691"/>
      <c r="CX202" s="691"/>
      <c r="CY202" s="691"/>
      <c r="CZ202" s="691"/>
      <c r="DA202" s="691"/>
      <c r="DB202" s="691"/>
      <c r="DC202" s="691"/>
      <c r="DD202" s="691"/>
      <c r="DE202" s="691"/>
      <c r="DF202" s="691"/>
      <c r="DG202" s="691"/>
      <c r="DH202" s="691"/>
      <c r="DI202" s="691"/>
      <c r="DJ202" s="691"/>
      <c r="DK202" s="691"/>
      <c r="DL202" s="691"/>
      <c r="DM202" s="691"/>
      <c r="DN202" s="691"/>
      <c r="DO202" s="691"/>
      <c r="DP202" s="691"/>
      <c r="DQ202" s="691"/>
      <c r="DR202" s="691"/>
      <c r="DS202" s="691"/>
      <c r="DT202" s="691"/>
      <c r="DU202" s="691"/>
      <c r="DV202" s="691"/>
      <c r="DW202" s="691"/>
      <c r="DX202" s="691"/>
      <c r="DY202" s="691"/>
      <c r="DZ202" s="691"/>
      <c r="EA202" s="691"/>
      <c r="EB202" s="691"/>
      <c r="EC202" s="691"/>
      <c r="ED202" s="691"/>
      <c r="EE202" s="691"/>
      <c r="EF202" s="691"/>
      <c r="EG202" s="691"/>
      <c r="EH202" s="691"/>
      <c r="EI202" s="691"/>
      <c r="EJ202" s="691"/>
      <c r="EK202" s="691"/>
      <c r="EL202" s="691"/>
      <c r="EM202" s="691"/>
      <c r="EN202" s="691"/>
      <c r="EO202" s="691"/>
      <c r="EP202" s="691"/>
      <c r="EQ202" s="691"/>
      <c r="ER202" s="691"/>
      <c r="ES202" s="691"/>
      <c r="ET202" s="691"/>
      <c r="EU202" s="691"/>
      <c r="EV202" s="691"/>
      <c r="EW202" s="691"/>
      <c r="EX202" s="691"/>
      <c r="EY202" s="691"/>
      <c r="EZ202" s="691"/>
      <c r="FA202" s="691"/>
      <c r="FB202" s="691"/>
      <c r="FC202" s="691"/>
      <c r="FD202" s="691"/>
      <c r="FE202" s="691"/>
      <c r="FF202" s="691"/>
      <c r="FG202" s="691"/>
      <c r="FH202" s="691"/>
      <c r="FI202" s="691"/>
      <c r="FJ202" s="691"/>
      <c r="FK202" s="691"/>
      <c r="FL202" s="691"/>
      <c r="FM202" s="691"/>
      <c r="FN202" s="691"/>
      <c r="FO202" s="691"/>
      <c r="FP202" s="691"/>
      <c r="FQ202" s="691"/>
      <c r="FR202" s="691"/>
      <c r="FS202" s="691"/>
      <c r="FT202" s="691"/>
      <c r="FU202" s="691"/>
      <c r="FV202" s="691"/>
      <c r="FW202" s="691"/>
      <c r="FX202" s="691"/>
      <c r="FY202" s="691"/>
      <c r="FZ202" s="691"/>
      <c r="GA202" s="691"/>
      <c r="GB202" s="691"/>
      <c r="GC202" s="691"/>
      <c r="GD202" s="691"/>
      <c r="GE202" s="691"/>
      <c r="GF202" s="691"/>
      <c r="GG202" s="691"/>
      <c r="GH202" s="691"/>
      <c r="GI202" s="691"/>
      <c r="GJ202" s="691"/>
      <c r="GK202" s="691"/>
      <c r="GL202" s="691"/>
      <c r="GM202" s="691"/>
      <c r="GN202" s="691"/>
      <c r="GO202" s="691"/>
      <c r="GP202" s="691"/>
      <c r="GQ202" s="691"/>
      <c r="GR202" s="691"/>
      <c r="GS202" s="691"/>
      <c r="GT202" s="691"/>
      <c r="GU202" s="691"/>
      <c r="GV202" s="691"/>
      <c r="GW202" s="691"/>
      <c r="GX202" s="691"/>
      <c r="GY202" s="691"/>
      <c r="GZ202" s="691"/>
      <c r="HA202" s="691"/>
      <c r="HB202" s="691"/>
      <c r="HC202" s="691"/>
      <c r="HD202" s="691"/>
      <c r="HE202" s="691"/>
      <c r="HF202" s="691"/>
      <c r="HG202" s="691"/>
      <c r="HH202" s="691"/>
      <c r="HI202" s="691"/>
      <c r="HJ202" s="691"/>
      <c r="HK202" s="691"/>
      <c r="HL202" s="691"/>
      <c r="HM202" s="691"/>
      <c r="HN202" s="691"/>
      <c r="HO202" s="691"/>
      <c r="HP202" s="691"/>
      <c r="HQ202" s="691"/>
      <c r="HR202" s="691"/>
      <c r="HS202" s="691"/>
      <c r="HT202" s="691"/>
      <c r="HU202" s="691"/>
      <c r="HV202" s="691"/>
      <c r="HW202" s="691"/>
      <c r="HX202" s="691"/>
      <c r="HY202" s="691"/>
      <c r="HZ202" s="691"/>
      <c r="IA202" s="691"/>
      <c r="IB202" s="691"/>
      <c r="IC202" s="691"/>
      <c r="ID202" s="691"/>
      <c r="IE202" s="691"/>
      <c r="IF202" s="691"/>
      <c r="IG202" s="691"/>
      <c r="IH202" s="691"/>
      <c r="II202" s="691"/>
      <c r="IJ202" s="691"/>
      <c r="IK202" s="691"/>
      <c r="IL202" s="691"/>
      <c r="IM202" s="691"/>
      <c r="IN202" s="691"/>
    </row>
    <row r="203" spans="1:248" s="699" customFormat="1" ht="18" customHeight="1">
      <c r="A203" s="696"/>
      <c r="B203" s="805" t="s">
        <v>28</v>
      </c>
      <c r="C203" s="805"/>
      <c r="D203" s="805"/>
      <c r="E203" s="807"/>
      <c r="F203" s="808"/>
      <c r="G203" s="731"/>
      <c r="H203" s="698"/>
      <c r="I203" s="698"/>
      <c r="J203" s="698"/>
      <c r="K203" s="1175"/>
      <c r="L203" s="691"/>
      <c r="M203" s="691"/>
      <c r="N203" s="691"/>
      <c r="O203" s="691"/>
      <c r="P203" s="691"/>
      <c r="Q203" s="691"/>
      <c r="R203" s="691"/>
      <c r="S203" s="691"/>
      <c r="T203" s="691"/>
      <c r="U203" s="691"/>
      <c r="V203" s="691"/>
      <c r="W203" s="691"/>
      <c r="X203" s="691"/>
      <c r="Y203" s="691"/>
      <c r="Z203" s="691"/>
      <c r="AA203" s="691"/>
      <c r="AB203" s="691"/>
      <c r="AC203" s="691"/>
      <c r="AD203" s="691"/>
      <c r="AE203" s="691"/>
      <c r="AF203" s="691"/>
      <c r="AG203" s="691"/>
      <c r="AH203" s="691"/>
      <c r="AI203" s="691"/>
      <c r="AJ203" s="691"/>
      <c r="AK203" s="691"/>
      <c r="AL203" s="691"/>
      <c r="AM203" s="691"/>
      <c r="AN203" s="691"/>
      <c r="AO203" s="691"/>
      <c r="AP203" s="691"/>
      <c r="AQ203" s="691"/>
      <c r="AR203" s="691"/>
      <c r="AS203" s="691"/>
      <c r="AT203" s="691"/>
      <c r="AU203" s="691"/>
      <c r="AV203" s="691"/>
      <c r="AW203" s="691"/>
      <c r="AX203" s="691"/>
      <c r="AY203" s="691"/>
      <c r="AZ203" s="691"/>
      <c r="BA203" s="691"/>
      <c r="BB203" s="691"/>
      <c r="BC203" s="691"/>
      <c r="BD203" s="691"/>
      <c r="BE203" s="691"/>
      <c r="BF203" s="691"/>
      <c r="BG203" s="691"/>
      <c r="BH203" s="691"/>
      <c r="BI203" s="691"/>
      <c r="BJ203" s="691"/>
      <c r="BK203" s="691"/>
      <c r="BL203" s="691"/>
      <c r="BM203" s="691"/>
      <c r="BN203" s="691"/>
      <c r="BO203" s="691"/>
      <c r="BP203" s="691"/>
      <c r="BQ203" s="691"/>
      <c r="BR203" s="691"/>
      <c r="BS203" s="691"/>
      <c r="BT203" s="691"/>
      <c r="BU203" s="691"/>
      <c r="BV203" s="691"/>
      <c r="BW203" s="691"/>
      <c r="BX203" s="691"/>
      <c r="BY203" s="691"/>
      <c r="BZ203" s="691"/>
      <c r="CA203" s="691"/>
      <c r="CB203" s="691"/>
      <c r="CC203" s="691"/>
      <c r="CD203" s="691"/>
      <c r="CE203" s="691"/>
      <c r="CF203" s="691"/>
      <c r="CG203" s="691"/>
      <c r="CH203" s="691"/>
      <c r="CI203" s="691"/>
      <c r="CJ203" s="691"/>
      <c r="CK203" s="691"/>
      <c r="CL203" s="691"/>
      <c r="CM203" s="691"/>
      <c r="CN203" s="691"/>
      <c r="CO203" s="691"/>
      <c r="CP203" s="691"/>
      <c r="CQ203" s="691"/>
      <c r="CR203" s="691"/>
      <c r="CS203" s="691"/>
      <c r="CT203" s="691"/>
      <c r="CU203" s="691"/>
      <c r="CV203" s="691"/>
      <c r="CW203" s="691"/>
      <c r="CX203" s="691"/>
      <c r="CY203" s="691"/>
      <c r="CZ203" s="691"/>
      <c r="DA203" s="691"/>
      <c r="DB203" s="691"/>
      <c r="DC203" s="691"/>
      <c r="DD203" s="691"/>
      <c r="DE203" s="691"/>
      <c r="DF203" s="691"/>
      <c r="DG203" s="691"/>
      <c r="DH203" s="691"/>
      <c r="DI203" s="691"/>
      <c r="DJ203" s="691"/>
      <c r="DK203" s="691"/>
      <c r="DL203" s="691"/>
      <c r="DM203" s="691"/>
      <c r="DN203" s="691"/>
      <c r="DO203" s="691"/>
      <c r="DP203" s="691"/>
      <c r="DQ203" s="691"/>
      <c r="DR203" s="691"/>
      <c r="DS203" s="691"/>
      <c r="DT203" s="691"/>
      <c r="DU203" s="691"/>
      <c r="DV203" s="691"/>
      <c r="DW203" s="691"/>
      <c r="DX203" s="691"/>
      <c r="DY203" s="691"/>
      <c r="DZ203" s="691"/>
      <c r="EA203" s="691"/>
      <c r="EB203" s="691"/>
      <c r="EC203" s="691"/>
      <c r="ED203" s="691"/>
      <c r="EE203" s="691"/>
      <c r="EF203" s="691"/>
      <c r="EG203" s="691"/>
      <c r="EH203" s="691"/>
      <c r="EI203" s="691"/>
      <c r="EJ203" s="691"/>
      <c r="EK203" s="691"/>
      <c r="EL203" s="691"/>
      <c r="EM203" s="691"/>
      <c r="EN203" s="691"/>
      <c r="EO203" s="691"/>
      <c r="EP203" s="691"/>
      <c r="EQ203" s="691"/>
      <c r="ER203" s="691"/>
      <c r="ES203" s="691"/>
      <c r="ET203" s="691"/>
      <c r="EU203" s="691"/>
      <c r="EV203" s="691"/>
      <c r="EW203" s="691"/>
      <c r="EX203" s="691"/>
      <c r="EY203" s="691"/>
      <c r="EZ203" s="691"/>
      <c r="FA203" s="691"/>
      <c r="FB203" s="691"/>
      <c r="FC203" s="691"/>
      <c r="FD203" s="691"/>
      <c r="FE203" s="691"/>
      <c r="FF203" s="691"/>
      <c r="FG203" s="691"/>
      <c r="FH203" s="691"/>
      <c r="FI203" s="691"/>
      <c r="FJ203" s="691"/>
      <c r="FK203" s="691"/>
      <c r="FL203" s="691"/>
      <c r="FM203" s="691"/>
      <c r="FN203" s="691"/>
      <c r="FO203" s="691"/>
      <c r="FP203" s="691"/>
      <c r="FQ203" s="691"/>
      <c r="FR203" s="691"/>
      <c r="FS203" s="691"/>
      <c r="FT203" s="691"/>
      <c r="FU203" s="691"/>
      <c r="FV203" s="691"/>
      <c r="FW203" s="691"/>
      <c r="FX203" s="691"/>
      <c r="FY203" s="691"/>
      <c r="FZ203" s="691"/>
      <c r="GA203" s="691"/>
      <c r="GB203" s="691"/>
      <c r="GC203" s="691"/>
      <c r="GD203" s="691"/>
      <c r="GE203" s="691"/>
      <c r="GF203" s="691"/>
      <c r="GG203" s="691"/>
      <c r="GH203" s="691"/>
      <c r="GI203" s="691"/>
      <c r="GJ203" s="691"/>
      <c r="GK203" s="691"/>
      <c r="GL203" s="691"/>
      <c r="GM203" s="691"/>
      <c r="GN203" s="691"/>
      <c r="GO203" s="691"/>
      <c r="GP203" s="691"/>
      <c r="GQ203" s="691"/>
      <c r="GR203" s="691"/>
      <c r="GS203" s="691"/>
      <c r="GT203" s="691"/>
      <c r="GU203" s="691"/>
      <c r="GV203" s="691"/>
      <c r="GW203" s="691"/>
      <c r="GX203" s="691"/>
      <c r="GY203" s="691"/>
      <c r="GZ203" s="691"/>
      <c r="HA203" s="691"/>
      <c r="HB203" s="691"/>
      <c r="HC203" s="691"/>
      <c r="HD203" s="691"/>
      <c r="HE203" s="691"/>
      <c r="HF203" s="691"/>
      <c r="HG203" s="691"/>
      <c r="HH203" s="691"/>
      <c r="HI203" s="691"/>
      <c r="HJ203" s="691"/>
      <c r="HK203" s="691"/>
      <c r="HL203" s="691"/>
      <c r="HM203" s="691"/>
      <c r="HN203" s="691"/>
      <c r="HO203" s="691"/>
      <c r="HP203" s="691"/>
      <c r="HQ203" s="691"/>
      <c r="HR203" s="691"/>
      <c r="HS203" s="691"/>
      <c r="HT203" s="691"/>
      <c r="HU203" s="691"/>
      <c r="HV203" s="691"/>
      <c r="HW203" s="691"/>
      <c r="HX203" s="691"/>
      <c r="HY203" s="691"/>
      <c r="HZ203" s="691"/>
      <c r="IA203" s="691"/>
      <c r="IB203" s="691"/>
      <c r="IC203" s="691"/>
      <c r="ID203" s="691"/>
      <c r="IE203" s="691"/>
      <c r="IF203" s="691"/>
      <c r="IG203" s="691"/>
      <c r="IH203" s="691"/>
      <c r="II203" s="691"/>
      <c r="IJ203" s="691"/>
      <c r="IK203" s="691"/>
      <c r="IL203" s="691"/>
      <c r="IM203" s="691"/>
      <c r="IN203" s="691"/>
    </row>
    <row r="204" spans="1:248" s="699" customFormat="1" ht="15">
      <c r="A204" s="696"/>
      <c r="B204" s="685"/>
      <c r="C204" s="686"/>
      <c r="D204" s="687"/>
      <c r="E204" s="688"/>
      <c r="F204" s="729">
        <f>+F196-'2.Onki'!G11</f>
        <v>22105</v>
      </c>
      <c r="G204" s="729">
        <f>+G196-'2.Onki'!H11</f>
        <v>18380</v>
      </c>
      <c r="H204" s="689">
        <f>+H196-'2.Onki'!I11</f>
        <v>0</v>
      </c>
      <c r="I204" s="689">
        <f>+I196-'2.Onki'!J11</f>
        <v>0</v>
      </c>
      <c r="J204" s="689"/>
      <c r="K204" s="690">
        <f>+K196-'2.Onki'!L11</f>
        <v>0</v>
      </c>
      <c r="L204" s="689">
        <f>+L196-'2.Onki'!M11</f>
        <v>0</v>
      </c>
      <c r="M204" s="691"/>
      <c r="N204" s="691"/>
      <c r="O204" s="691"/>
      <c r="P204" s="691"/>
      <c r="Q204" s="691"/>
      <c r="R204" s="691"/>
      <c r="S204" s="691"/>
      <c r="T204" s="691"/>
      <c r="U204" s="691"/>
      <c r="V204" s="691"/>
      <c r="W204" s="691"/>
      <c r="X204" s="691"/>
      <c r="Y204" s="691"/>
      <c r="Z204" s="691"/>
      <c r="AA204" s="691"/>
      <c r="AB204" s="691"/>
      <c r="AC204" s="691"/>
      <c r="AD204" s="691"/>
      <c r="AE204" s="691"/>
      <c r="AF204" s="691"/>
      <c r="AG204" s="691"/>
      <c r="AH204" s="691"/>
      <c r="AI204" s="691"/>
      <c r="AJ204" s="691"/>
      <c r="AK204" s="691"/>
      <c r="AL204" s="691"/>
      <c r="AM204" s="691"/>
      <c r="AN204" s="691"/>
      <c r="AO204" s="691"/>
      <c r="AP204" s="691"/>
      <c r="AQ204" s="691"/>
      <c r="AR204" s="691"/>
      <c r="AS204" s="691"/>
      <c r="AT204" s="691"/>
      <c r="AU204" s="691"/>
      <c r="AV204" s="691"/>
      <c r="AW204" s="691"/>
      <c r="AX204" s="691"/>
      <c r="AY204" s="691"/>
      <c r="AZ204" s="691"/>
      <c r="BA204" s="691"/>
      <c r="BB204" s="691"/>
      <c r="BC204" s="691"/>
      <c r="BD204" s="691"/>
      <c r="BE204" s="691"/>
      <c r="BF204" s="691"/>
      <c r="BG204" s="691"/>
      <c r="BH204" s="691"/>
      <c r="BI204" s="691"/>
      <c r="BJ204" s="691"/>
      <c r="BK204" s="691"/>
      <c r="BL204" s="691"/>
      <c r="BM204" s="691"/>
      <c r="BN204" s="691"/>
      <c r="BO204" s="691"/>
      <c r="BP204" s="691"/>
      <c r="BQ204" s="691"/>
      <c r="BR204" s="691"/>
      <c r="BS204" s="691"/>
      <c r="BT204" s="691"/>
      <c r="BU204" s="691"/>
      <c r="BV204" s="691"/>
      <c r="BW204" s="691"/>
      <c r="BX204" s="691"/>
      <c r="BY204" s="691"/>
      <c r="BZ204" s="691"/>
      <c r="CA204" s="691"/>
      <c r="CB204" s="691"/>
      <c r="CC204" s="691"/>
      <c r="CD204" s="691"/>
      <c r="CE204" s="691"/>
      <c r="CF204" s="691"/>
      <c r="CG204" s="691"/>
      <c r="CH204" s="691"/>
      <c r="CI204" s="691"/>
      <c r="CJ204" s="691"/>
      <c r="CK204" s="691"/>
      <c r="CL204" s="691"/>
      <c r="CM204" s="691"/>
      <c r="CN204" s="691"/>
      <c r="CO204" s="691"/>
      <c r="CP204" s="691"/>
      <c r="CQ204" s="691"/>
      <c r="CR204" s="691"/>
      <c r="CS204" s="691"/>
      <c r="CT204" s="691"/>
      <c r="CU204" s="691"/>
      <c r="CV204" s="691"/>
      <c r="CW204" s="691"/>
      <c r="CX204" s="691"/>
      <c r="CY204" s="691"/>
      <c r="CZ204" s="691"/>
      <c r="DA204" s="691"/>
      <c r="DB204" s="691"/>
      <c r="DC204" s="691"/>
      <c r="DD204" s="691"/>
      <c r="DE204" s="691"/>
      <c r="DF204" s="691"/>
      <c r="DG204" s="691"/>
      <c r="DH204" s="691"/>
      <c r="DI204" s="691"/>
      <c r="DJ204" s="691"/>
      <c r="DK204" s="691"/>
      <c r="DL204" s="691"/>
      <c r="DM204" s="691"/>
      <c r="DN204" s="691"/>
      <c r="DO204" s="691"/>
      <c r="DP204" s="691"/>
      <c r="DQ204" s="691"/>
      <c r="DR204" s="691"/>
      <c r="DS204" s="691"/>
      <c r="DT204" s="691"/>
      <c r="DU204" s="691"/>
      <c r="DV204" s="691"/>
      <c r="DW204" s="691"/>
      <c r="DX204" s="691"/>
      <c r="DY204" s="691"/>
      <c r="DZ204" s="691"/>
      <c r="EA204" s="691"/>
      <c r="EB204" s="691"/>
      <c r="EC204" s="691"/>
      <c r="ED204" s="691"/>
      <c r="EE204" s="691"/>
      <c r="EF204" s="691"/>
      <c r="EG204" s="691"/>
      <c r="EH204" s="691"/>
      <c r="EI204" s="691"/>
      <c r="EJ204" s="691"/>
      <c r="EK204" s="691"/>
      <c r="EL204" s="691"/>
      <c r="EM204" s="691"/>
      <c r="EN204" s="691"/>
      <c r="EO204" s="691"/>
      <c r="EP204" s="691"/>
      <c r="EQ204" s="691"/>
      <c r="ER204" s="691"/>
      <c r="ES204" s="691"/>
      <c r="ET204" s="691"/>
      <c r="EU204" s="691"/>
      <c r="EV204" s="691"/>
      <c r="EW204" s="691"/>
      <c r="EX204" s="691"/>
      <c r="EY204" s="691"/>
      <c r="EZ204" s="691"/>
      <c r="FA204" s="691"/>
      <c r="FB204" s="691"/>
      <c r="FC204" s="691"/>
      <c r="FD204" s="691"/>
      <c r="FE204" s="691"/>
      <c r="FF204" s="691"/>
      <c r="FG204" s="691"/>
      <c r="FH204" s="691"/>
      <c r="FI204" s="691"/>
      <c r="FJ204" s="691"/>
      <c r="FK204" s="691"/>
      <c r="FL204" s="691"/>
      <c r="FM204" s="691"/>
      <c r="FN204" s="691"/>
      <c r="FO204" s="691"/>
      <c r="FP204" s="691"/>
      <c r="FQ204" s="691"/>
      <c r="FR204" s="691"/>
      <c r="FS204" s="691"/>
      <c r="FT204" s="691"/>
      <c r="FU204" s="691"/>
      <c r="FV204" s="691"/>
      <c r="FW204" s="691"/>
      <c r="FX204" s="691"/>
      <c r="FY204" s="691"/>
      <c r="FZ204" s="691"/>
      <c r="GA204" s="691"/>
      <c r="GB204" s="691"/>
      <c r="GC204" s="691"/>
      <c r="GD204" s="691"/>
      <c r="GE204" s="691"/>
      <c r="GF204" s="691"/>
      <c r="GG204" s="691"/>
      <c r="GH204" s="691"/>
      <c r="GI204" s="691"/>
      <c r="GJ204" s="691"/>
      <c r="GK204" s="691"/>
      <c r="GL204" s="691"/>
      <c r="GM204" s="691"/>
      <c r="GN204" s="691"/>
      <c r="GO204" s="691"/>
      <c r="GP204" s="691"/>
      <c r="GQ204" s="691"/>
      <c r="GR204" s="691"/>
      <c r="GS204" s="691"/>
      <c r="GT204" s="691"/>
      <c r="GU204" s="691"/>
      <c r="GV204" s="691"/>
      <c r="GW204" s="691"/>
      <c r="GX204" s="691"/>
      <c r="GY204" s="691"/>
      <c r="GZ204" s="691"/>
      <c r="HA204" s="691"/>
      <c r="HB204" s="691"/>
      <c r="HC204" s="691"/>
      <c r="HD204" s="691"/>
      <c r="HE204" s="691"/>
      <c r="HF204" s="691"/>
      <c r="HG204" s="691"/>
      <c r="HH204" s="691"/>
      <c r="HI204" s="691"/>
      <c r="HJ204" s="691"/>
      <c r="HK204" s="691"/>
      <c r="HL204" s="691"/>
      <c r="HM204" s="691"/>
      <c r="HN204" s="691"/>
      <c r="HO204" s="691"/>
      <c r="HP204" s="691"/>
      <c r="HQ204" s="691"/>
      <c r="HR204" s="691"/>
      <c r="HS204" s="691"/>
      <c r="HT204" s="691"/>
      <c r="HU204" s="691"/>
      <c r="HV204" s="691"/>
      <c r="HW204" s="691"/>
      <c r="HX204" s="691"/>
      <c r="HY204" s="691"/>
      <c r="HZ204" s="691"/>
      <c r="IA204" s="691"/>
      <c r="IB204" s="691"/>
      <c r="IC204" s="691"/>
      <c r="ID204" s="691"/>
      <c r="IE204" s="691"/>
      <c r="IF204" s="691"/>
      <c r="IG204" s="691"/>
      <c r="IH204" s="691"/>
      <c r="II204" s="691"/>
      <c r="IJ204" s="691"/>
      <c r="IK204" s="691"/>
      <c r="IL204" s="691"/>
      <c r="IM204" s="691"/>
      <c r="IN204" s="691"/>
    </row>
  </sheetData>
  <sheetProtection/>
  <mergeCells count="22">
    <mergeCell ref="D7:D8"/>
    <mergeCell ref="B182:D182"/>
    <mergeCell ref="D159:E159"/>
    <mergeCell ref="D156:E156"/>
    <mergeCell ref="E7:E8"/>
    <mergeCell ref="C9:D9"/>
    <mergeCell ref="B200:D200"/>
    <mergeCell ref="F7:F8"/>
    <mergeCell ref="G7:G8"/>
    <mergeCell ref="H7:H8"/>
    <mergeCell ref="B1:N1"/>
    <mergeCell ref="K7:K8"/>
    <mergeCell ref="L7:L8"/>
    <mergeCell ref="B4:L4"/>
    <mergeCell ref="B3:L3"/>
    <mergeCell ref="I7:I8"/>
    <mergeCell ref="J7:J8"/>
    <mergeCell ref="B195:D195"/>
    <mergeCell ref="B196:D196"/>
    <mergeCell ref="B2:D2"/>
    <mergeCell ref="B7:B8"/>
    <mergeCell ref="C7:C8"/>
  </mergeCells>
  <printOptions horizontalCentered="1"/>
  <pageMargins left="0.1968503937007874" right="0.1968503937007874" top="0.5905511811023623" bottom="0.3937007874015748" header="0.5118110236220472" footer="0.31496062992125984"/>
  <pageSetup fitToHeight="0" fitToWidth="1" horizontalDpi="600" verticalDpi="600" orientation="portrait" paperSize="9" scale="54"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P876"/>
  <sheetViews>
    <sheetView view="pageBreakPreview" zoomScale="75" zoomScaleNormal="75" zoomScaleSheetLayoutView="75" zoomScalePageLayoutView="0" workbookViewId="0" topLeftCell="A1">
      <selection activeCell="B1" sqref="B1:M1"/>
    </sheetView>
  </sheetViews>
  <sheetFormatPr defaultColWidth="9.125" defaultRowHeight="12.75"/>
  <cols>
    <col min="1" max="1" width="3.75390625" style="455" customWidth="1"/>
    <col min="2" max="2" width="5.75390625" style="3" customWidth="1"/>
    <col min="3" max="3" width="5.75390625" style="7" customWidth="1"/>
    <col min="4" max="4" width="87.75390625" style="16" customWidth="1"/>
    <col min="5" max="7" width="11.75390625" style="4" customWidth="1"/>
    <col min="8" max="8" width="6.75390625" style="3" customWidth="1"/>
    <col min="9" max="9" width="12.75390625" style="13" customWidth="1"/>
    <col min="10" max="14" width="12.75390625" style="293" customWidth="1"/>
    <col min="15" max="15" width="9.25390625" style="4" bestFit="1" customWidth="1"/>
    <col min="16" max="16384" width="9.125" style="4" customWidth="1"/>
  </cols>
  <sheetData>
    <row r="1" spans="2:13" ht="17.25">
      <c r="B1" s="2039" t="s">
        <v>1102</v>
      </c>
      <c r="C1" s="2039"/>
      <c r="D1" s="2039"/>
      <c r="E1" s="2039"/>
      <c r="F1" s="2039"/>
      <c r="G1" s="2039"/>
      <c r="H1" s="2039"/>
      <c r="I1" s="2039"/>
      <c r="J1" s="2039"/>
      <c r="K1" s="2039"/>
      <c r="L1" s="2039"/>
      <c r="M1" s="2039"/>
    </row>
    <row r="2" spans="1:14" ht="16.5">
      <c r="A2" s="703"/>
      <c r="B2" s="2199" t="s">
        <v>738</v>
      </c>
      <c r="C2" s="2199"/>
      <c r="D2" s="2199"/>
      <c r="G2" s="2200"/>
      <c r="H2" s="2200"/>
      <c r="I2" s="2200"/>
      <c r="J2" s="704"/>
      <c r="K2" s="704"/>
      <c r="L2" s="704"/>
      <c r="M2" s="704"/>
      <c r="N2" s="704"/>
    </row>
    <row r="3" spans="1:14" ht="24.75" customHeight="1">
      <c r="A3" s="703"/>
      <c r="B3" s="2201" t="s">
        <v>14</v>
      </c>
      <c r="C3" s="2201"/>
      <c r="D3" s="2201"/>
      <c r="E3" s="2201"/>
      <c r="F3" s="2201"/>
      <c r="G3" s="2201"/>
      <c r="H3" s="2201"/>
      <c r="I3" s="2201"/>
      <c r="J3" s="2201"/>
      <c r="K3" s="2201"/>
      <c r="L3" s="2201"/>
      <c r="M3" s="2201"/>
      <c r="N3" s="2201"/>
    </row>
    <row r="4" spans="1:14" s="6" customFormat="1" ht="24.75" customHeight="1">
      <c r="A4" s="703"/>
      <c r="B4" s="2202" t="s">
        <v>939</v>
      </c>
      <c r="C4" s="2202"/>
      <c r="D4" s="2202"/>
      <c r="E4" s="2202"/>
      <c r="F4" s="2202"/>
      <c r="G4" s="2202"/>
      <c r="H4" s="2202"/>
      <c r="I4" s="2202"/>
      <c r="J4" s="2202"/>
      <c r="K4" s="2202"/>
      <c r="L4" s="2202"/>
      <c r="M4" s="2202"/>
      <c r="N4" s="2202"/>
    </row>
    <row r="5" spans="1:14" s="291" customFormat="1" ht="15">
      <c r="A5" s="702"/>
      <c r="B5" s="705"/>
      <c r="C5" s="706"/>
      <c r="D5" s="707"/>
      <c r="G5" s="708"/>
      <c r="H5" s="709"/>
      <c r="I5" s="710"/>
      <c r="J5" s="679"/>
      <c r="K5" s="679"/>
      <c r="L5" s="679"/>
      <c r="M5" s="2203" t="s">
        <v>0</v>
      </c>
      <c r="N5" s="2203"/>
    </row>
    <row r="6" spans="1:14" s="89" customFormat="1" ht="15" thickBot="1">
      <c r="A6" s="711"/>
      <c r="B6" s="89" t="s">
        <v>1</v>
      </c>
      <c r="C6" s="712" t="s">
        <v>3</v>
      </c>
      <c r="D6" s="713" t="s">
        <v>2</v>
      </c>
      <c r="E6" s="89" t="s">
        <v>4</v>
      </c>
      <c r="F6" s="89" t="s">
        <v>5</v>
      </c>
      <c r="G6" s="89" t="s">
        <v>15</v>
      </c>
      <c r="H6" s="714" t="s">
        <v>16</v>
      </c>
      <c r="I6" s="712" t="s">
        <v>17</v>
      </c>
      <c r="J6" s="712" t="s">
        <v>33</v>
      </c>
      <c r="K6" s="712" t="s">
        <v>29</v>
      </c>
      <c r="L6" s="712" t="s">
        <v>22</v>
      </c>
      <c r="M6" s="712" t="s">
        <v>34</v>
      </c>
      <c r="N6" s="712" t="s">
        <v>35</v>
      </c>
    </row>
    <row r="7" spans="1:14" s="446" customFormat="1" ht="34.5" customHeight="1">
      <c r="A7" s="455"/>
      <c r="B7" s="2214" t="s">
        <v>18</v>
      </c>
      <c r="C7" s="2216" t="s">
        <v>19</v>
      </c>
      <c r="D7" s="2220" t="s">
        <v>6</v>
      </c>
      <c r="E7" s="2212" t="s">
        <v>513</v>
      </c>
      <c r="F7" s="2212" t="s">
        <v>536</v>
      </c>
      <c r="G7" s="2218" t="s">
        <v>614</v>
      </c>
      <c r="H7" s="2225" t="s">
        <v>20</v>
      </c>
      <c r="I7" s="2208" t="s">
        <v>537</v>
      </c>
      <c r="J7" s="2210" t="s">
        <v>36</v>
      </c>
      <c r="K7" s="2210"/>
      <c r="L7" s="2210"/>
      <c r="M7" s="2210"/>
      <c r="N7" s="2211"/>
    </row>
    <row r="8" spans="1:14" s="446" customFormat="1" ht="45.75" thickBot="1">
      <c r="A8" s="455"/>
      <c r="B8" s="2215"/>
      <c r="C8" s="2217"/>
      <c r="D8" s="2221"/>
      <c r="E8" s="2213"/>
      <c r="F8" s="2213"/>
      <c r="G8" s="2219"/>
      <c r="H8" s="2226"/>
      <c r="I8" s="2209"/>
      <c r="J8" s="2000" t="s">
        <v>37</v>
      </c>
      <c r="K8" s="2000" t="s">
        <v>38</v>
      </c>
      <c r="L8" s="2000" t="s">
        <v>39</v>
      </c>
      <c r="M8" s="2000" t="s">
        <v>205</v>
      </c>
      <c r="N8" s="701" t="s">
        <v>40</v>
      </c>
    </row>
    <row r="9" spans="1:14" s="446" customFormat="1" ht="23.25" customHeight="1">
      <c r="A9" s="455">
        <v>1</v>
      </c>
      <c r="B9" s="715">
        <v>18</v>
      </c>
      <c r="C9" s="716" t="s">
        <v>432</v>
      </c>
      <c r="D9" s="717"/>
      <c r="E9" s="718"/>
      <c r="F9" s="718"/>
      <c r="G9" s="723"/>
      <c r="H9" s="722"/>
      <c r="I9" s="719"/>
      <c r="J9" s="720"/>
      <c r="K9" s="720"/>
      <c r="L9" s="720"/>
      <c r="M9" s="720"/>
      <c r="N9" s="721"/>
    </row>
    <row r="10" spans="1:14" s="3" customFormat="1" ht="22.5" customHeight="1">
      <c r="A10" s="455">
        <v>2</v>
      </c>
      <c r="B10" s="143"/>
      <c r="C10" s="700">
        <v>1</v>
      </c>
      <c r="D10" s="449" t="s">
        <v>41</v>
      </c>
      <c r="E10" s="149">
        <v>1779</v>
      </c>
      <c r="F10" s="149">
        <v>0</v>
      </c>
      <c r="G10" s="150">
        <v>239</v>
      </c>
      <c r="H10" s="459" t="s">
        <v>22</v>
      </c>
      <c r="I10" s="442"/>
      <c r="J10" s="148"/>
      <c r="K10" s="148"/>
      <c r="L10" s="148"/>
      <c r="M10" s="148"/>
      <c r="N10" s="155"/>
    </row>
    <row r="11" spans="1:14" s="8" customFormat="1" ht="18" customHeight="1">
      <c r="A11" s="455">
        <v>3</v>
      </c>
      <c r="B11" s="124"/>
      <c r="C11" s="125"/>
      <c r="D11" s="886" t="s">
        <v>283</v>
      </c>
      <c r="E11" s="122"/>
      <c r="F11" s="122"/>
      <c r="G11" s="123"/>
      <c r="H11" s="457"/>
      <c r="I11" s="879">
        <f>SUM(J11:N11)</f>
        <v>500</v>
      </c>
      <c r="J11" s="1033"/>
      <c r="K11" s="1033"/>
      <c r="L11" s="880">
        <v>500</v>
      </c>
      <c r="M11" s="1033"/>
      <c r="N11" s="1034"/>
    </row>
    <row r="12" spans="1:14" s="8" customFormat="1" ht="18" customHeight="1">
      <c r="A12" s="455">
        <v>4</v>
      </c>
      <c r="B12" s="124"/>
      <c r="C12" s="125"/>
      <c r="D12" s="483" t="s">
        <v>938</v>
      </c>
      <c r="E12" s="122"/>
      <c r="F12" s="122"/>
      <c r="G12" s="123"/>
      <c r="H12" s="457"/>
      <c r="I12" s="1238">
        <f>SUM(J12:N12)</f>
        <v>428</v>
      </c>
      <c r="J12" s="148"/>
      <c r="K12" s="148"/>
      <c r="L12" s="1239">
        <v>428</v>
      </c>
      <c r="M12" s="1036"/>
      <c r="N12" s="1037"/>
    </row>
    <row r="13" spans="1:14" s="8" customFormat="1" ht="18" customHeight="1">
      <c r="A13" s="455">
        <v>5</v>
      </c>
      <c r="B13" s="124"/>
      <c r="C13" s="125"/>
      <c r="D13" s="1146" t="s">
        <v>1003</v>
      </c>
      <c r="E13" s="122"/>
      <c r="F13" s="122"/>
      <c r="G13" s="123"/>
      <c r="H13" s="457"/>
      <c r="I13" s="1241">
        <f>SUM(J13:N13)</f>
        <v>37</v>
      </c>
      <c r="J13" s="1243"/>
      <c r="K13" s="1243"/>
      <c r="L13" s="1474">
        <v>37</v>
      </c>
      <c r="M13" s="1243"/>
      <c r="N13" s="1244"/>
    </row>
    <row r="14" spans="1:14" s="8" customFormat="1" ht="18" customHeight="1">
      <c r="A14" s="455">
        <v>6</v>
      </c>
      <c r="B14" s="124"/>
      <c r="C14" s="125"/>
      <c r="D14" s="483" t="s">
        <v>1091</v>
      </c>
      <c r="E14" s="122"/>
      <c r="F14" s="122"/>
      <c r="G14" s="123"/>
      <c r="H14" s="457"/>
      <c r="I14" s="1238">
        <f>SUM(J14:N14)</f>
        <v>465</v>
      </c>
      <c r="J14" s="148"/>
      <c r="K14" s="148"/>
      <c r="L14" s="1239">
        <f>SUM(L12:L13)</f>
        <v>465</v>
      </c>
      <c r="M14" s="148"/>
      <c r="N14" s="155"/>
    </row>
    <row r="15" spans="1:16" s="3" customFormat="1" ht="22.5" customHeight="1">
      <c r="A15" s="455">
        <v>7</v>
      </c>
      <c r="B15" s="119"/>
      <c r="C15" s="120">
        <v>2</v>
      </c>
      <c r="D15" s="450" t="s">
        <v>878</v>
      </c>
      <c r="E15" s="122">
        <v>3685</v>
      </c>
      <c r="F15" s="122">
        <v>0</v>
      </c>
      <c r="G15" s="123">
        <v>1719</v>
      </c>
      <c r="H15" s="457" t="s">
        <v>23</v>
      </c>
      <c r="I15" s="1035"/>
      <c r="J15" s="1036"/>
      <c r="K15" s="1036"/>
      <c r="L15" s="1036"/>
      <c r="M15" s="1036"/>
      <c r="N15" s="1037"/>
      <c r="P15" s="8"/>
    </row>
    <row r="16" spans="1:14" s="8" customFormat="1" ht="18" customHeight="1">
      <c r="A16" s="455">
        <v>8</v>
      </c>
      <c r="B16" s="124"/>
      <c r="C16" s="125"/>
      <c r="D16" s="126" t="s">
        <v>283</v>
      </c>
      <c r="E16" s="122"/>
      <c r="F16" s="122"/>
      <c r="G16" s="123"/>
      <c r="H16" s="457"/>
      <c r="I16" s="879">
        <f>SUM(J16:N16)</f>
        <v>1700</v>
      </c>
      <c r="J16" s="1033"/>
      <c r="K16" s="1033"/>
      <c r="L16" s="880">
        <v>1700</v>
      </c>
      <c r="M16" s="1033"/>
      <c r="N16" s="1034"/>
    </row>
    <row r="17" spans="1:14" s="8" customFormat="1" ht="18" customHeight="1">
      <c r="A17" s="455">
        <v>9</v>
      </c>
      <c r="B17" s="124"/>
      <c r="C17" s="125"/>
      <c r="D17" s="483" t="s">
        <v>938</v>
      </c>
      <c r="E17" s="122"/>
      <c r="F17" s="122"/>
      <c r="G17" s="123"/>
      <c r="H17" s="457"/>
      <c r="I17" s="1238">
        <f>SUM(J17:N17)</f>
        <v>4193</v>
      </c>
      <c r="J17" s="1675"/>
      <c r="K17" s="1675"/>
      <c r="L17" s="1245">
        <v>4193</v>
      </c>
      <c r="M17" s="1033"/>
      <c r="N17" s="1034"/>
    </row>
    <row r="18" spans="1:14" s="8" customFormat="1" ht="18" customHeight="1">
      <c r="A18" s="455">
        <v>10</v>
      </c>
      <c r="B18" s="124"/>
      <c r="C18" s="125"/>
      <c r="D18" s="1146" t="s">
        <v>725</v>
      </c>
      <c r="E18" s="122"/>
      <c r="F18" s="122"/>
      <c r="G18" s="123"/>
      <c r="H18" s="457"/>
      <c r="I18" s="1241">
        <f>SUM(J18:N18)</f>
        <v>0</v>
      </c>
      <c r="J18" s="1033"/>
      <c r="K18" s="1033"/>
      <c r="L18" s="1247"/>
      <c r="M18" s="1033"/>
      <c r="N18" s="1034"/>
    </row>
    <row r="19" spans="1:14" s="8" customFormat="1" ht="18" customHeight="1">
      <c r="A19" s="455">
        <v>11</v>
      </c>
      <c r="B19" s="124"/>
      <c r="C19" s="125"/>
      <c r="D19" s="483" t="s">
        <v>1091</v>
      </c>
      <c r="E19" s="122"/>
      <c r="F19" s="122"/>
      <c r="G19" s="123"/>
      <c r="H19" s="457"/>
      <c r="I19" s="1238">
        <f>SUM(J19:N19)</f>
        <v>4193</v>
      </c>
      <c r="J19" s="1033"/>
      <c r="K19" s="1033"/>
      <c r="L19" s="1245">
        <f>SUM(L17:L18)</f>
        <v>4193</v>
      </c>
      <c r="M19" s="1033"/>
      <c r="N19" s="1034"/>
    </row>
    <row r="20" spans="1:16" s="3" customFormat="1" ht="22.5" customHeight="1">
      <c r="A20" s="455">
        <v>12</v>
      </c>
      <c r="B20" s="119"/>
      <c r="C20" s="120">
        <v>3</v>
      </c>
      <c r="D20" s="450" t="s">
        <v>42</v>
      </c>
      <c r="E20" s="122">
        <v>7056</v>
      </c>
      <c r="F20" s="122">
        <v>3000</v>
      </c>
      <c r="G20" s="123">
        <v>1449</v>
      </c>
      <c r="H20" s="457" t="s">
        <v>23</v>
      </c>
      <c r="I20" s="1038"/>
      <c r="J20" s="1039"/>
      <c r="K20" s="1039"/>
      <c r="L20" s="1039"/>
      <c r="M20" s="1039"/>
      <c r="N20" s="1040"/>
      <c r="P20" s="8"/>
    </row>
    <row r="21" spans="1:16" s="3" customFormat="1" ht="22.5" customHeight="1">
      <c r="A21" s="455">
        <v>13</v>
      </c>
      <c r="B21" s="119"/>
      <c r="C21" s="120">
        <v>4</v>
      </c>
      <c r="D21" s="450" t="s">
        <v>43</v>
      </c>
      <c r="E21" s="122">
        <v>13218</v>
      </c>
      <c r="F21" s="122">
        <v>0</v>
      </c>
      <c r="G21" s="123">
        <v>3555</v>
      </c>
      <c r="H21" s="457" t="s">
        <v>23</v>
      </c>
      <c r="I21" s="879"/>
      <c r="J21" s="1033"/>
      <c r="K21" s="1033"/>
      <c r="L21" s="1033"/>
      <c r="M21" s="1033"/>
      <c r="N21" s="1034"/>
      <c r="P21" s="8"/>
    </row>
    <row r="22" spans="1:14" s="8" customFormat="1" ht="18" customHeight="1">
      <c r="A22" s="455">
        <v>14</v>
      </c>
      <c r="B22" s="124"/>
      <c r="C22" s="125"/>
      <c r="D22" s="886" t="s">
        <v>283</v>
      </c>
      <c r="E22" s="834"/>
      <c r="F22" s="834"/>
      <c r="G22" s="1491"/>
      <c r="H22" s="457"/>
      <c r="I22" s="879">
        <f>SUM(J22:N22)</f>
        <v>7500</v>
      </c>
      <c r="J22" s="1033"/>
      <c r="K22" s="1033"/>
      <c r="L22" s="880">
        <f>6000+1500</f>
        <v>7500</v>
      </c>
      <c r="M22" s="1033"/>
      <c r="N22" s="1034"/>
    </row>
    <row r="23" spans="1:14" s="8" customFormat="1" ht="18" customHeight="1">
      <c r="A23" s="455">
        <v>15</v>
      </c>
      <c r="B23" s="124"/>
      <c r="C23" s="125"/>
      <c r="D23" s="483" t="s">
        <v>938</v>
      </c>
      <c r="E23" s="834"/>
      <c r="F23" s="834"/>
      <c r="G23" s="1491"/>
      <c r="H23" s="457"/>
      <c r="I23" s="1238">
        <f>SUM(J23:N23)</f>
        <v>8023</v>
      </c>
      <c r="J23" s="1675"/>
      <c r="K23" s="1675"/>
      <c r="L23" s="1245">
        <v>8023</v>
      </c>
      <c r="M23" s="1033"/>
      <c r="N23" s="1034"/>
    </row>
    <row r="24" spans="1:14" s="8" customFormat="1" ht="18" customHeight="1">
      <c r="A24" s="455">
        <v>16</v>
      </c>
      <c r="B24" s="124"/>
      <c r="C24" s="125"/>
      <c r="D24" s="1146" t="s">
        <v>725</v>
      </c>
      <c r="E24" s="834"/>
      <c r="F24" s="834"/>
      <c r="G24" s="1491"/>
      <c r="H24" s="457"/>
      <c r="I24" s="1241">
        <f>SUM(J24:N24)</f>
        <v>0</v>
      </c>
      <c r="J24" s="1675"/>
      <c r="K24" s="1675"/>
      <c r="L24" s="1247"/>
      <c r="M24" s="1033"/>
      <c r="N24" s="1034"/>
    </row>
    <row r="25" spans="1:14" s="8" customFormat="1" ht="18" customHeight="1">
      <c r="A25" s="455">
        <v>17</v>
      </c>
      <c r="B25" s="124"/>
      <c r="C25" s="125"/>
      <c r="D25" s="483" t="s">
        <v>1091</v>
      </c>
      <c r="E25" s="834"/>
      <c r="F25" s="834"/>
      <c r="G25" s="1491"/>
      <c r="H25" s="457"/>
      <c r="I25" s="1238">
        <f>SUM(J25:N25)</f>
        <v>8023</v>
      </c>
      <c r="J25" s="1033"/>
      <c r="K25" s="1033"/>
      <c r="L25" s="1245">
        <f>SUM(L23:L24)</f>
        <v>8023</v>
      </c>
      <c r="M25" s="1033"/>
      <c r="N25" s="1034"/>
    </row>
    <row r="26" spans="1:16" s="3" customFormat="1" ht="22.5" customHeight="1">
      <c r="A26" s="455">
        <v>18</v>
      </c>
      <c r="B26" s="119"/>
      <c r="C26" s="120">
        <v>5</v>
      </c>
      <c r="D26" s="450" t="s">
        <v>12</v>
      </c>
      <c r="E26" s="122">
        <v>9366</v>
      </c>
      <c r="F26" s="122">
        <v>9601</v>
      </c>
      <c r="G26" s="123">
        <v>7724</v>
      </c>
      <c r="H26" s="457" t="s">
        <v>23</v>
      </c>
      <c r="I26" s="1038"/>
      <c r="J26" s="1039"/>
      <c r="K26" s="1039"/>
      <c r="L26" s="1039"/>
      <c r="M26" s="1039"/>
      <c r="N26" s="1040"/>
      <c r="O26" s="8"/>
      <c r="P26" s="8"/>
    </row>
    <row r="27" spans="1:14" s="890" customFormat="1" ht="18" customHeight="1">
      <c r="A27" s="455">
        <v>19</v>
      </c>
      <c r="B27" s="884"/>
      <c r="C27" s="885"/>
      <c r="D27" s="886" t="s">
        <v>283</v>
      </c>
      <c r="E27" s="887"/>
      <c r="F27" s="887"/>
      <c r="G27" s="888"/>
      <c r="H27" s="889"/>
      <c r="I27" s="879">
        <f>SUM(J27:N27)</f>
        <v>1000</v>
      </c>
      <c r="J27" s="880">
        <v>500</v>
      </c>
      <c r="K27" s="880">
        <v>100</v>
      </c>
      <c r="L27" s="880">
        <v>400</v>
      </c>
      <c r="M27" s="880"/>
      <c r="N27" s="881"/>
    </row>
    <row r="28" spans="1:14" s="890" customFormat="1" ht="18" customHeight="1">
      <c r="A28" s="455">
        <v>20</v>
      </c>
      <c r="B28" s="884"/>
      <c r="C28" s="885"/>
      <c r="D28" s="483" t="s">
        <v>938</v>
      </c>
      <c r="E28" s="887"/>
      <c r="F28" s="887"/>
      <c r="G28" s="888"/>
      <c r="H28" s="889"/>
      <c r="I28" s="1238">
        <f>SUM(J28:N28)</f>
        <v>4913</v>
      </c>
      <c r="J28" s="1245">
        <v>1500</v>
      </c>
      <c r="K28" s="1245">
        <v>300</v>
      </c>
      <c r="L28" s="1245">
        <v>3113</v>
      </c>
      <c r="M28" s="880"/>
      <c r="N28" s="881"/>
    </row>
    <row r="29" spans="1:14" s="890" customFormat="1" ht="18" customHeight="1">
      <c r="A29" s="455">
        <v>21</v>
      </c>
      <c r="B29" s="884"/>
      <c r="C29" s="885"/>
      <c r="D29" s="1146" t="s">
        <v>725</v>
      </c>
      <c r="E29" s="887"/>
      <c r="F29" s="887"/>
      <c r="G29" s="888"/>
      <c r="H29" s="889"/>
      <c r="I29" s="1241">
        <f>SUM(J29:N29)</f>
        <v>0</v>
      </c>
      <c r="J29" s="1247"/>
      <c r="K29" s="1247"/>
      <c r="L29" s="1247"/>
      <c r="M29" s="880"/>
      <c r="N29" s="881"/>
    </row>
    <row r="30" spans="1:14" s="890" customFormat="1" ht="18" customHeight="1">
      <c r="A30" s="455">
        <v>22</v>
      </c>
      <c r="B30" s="884"/>
      <c r="C30" s="885"/>
      <c r="D30" s="483" t="s">
        <v>1091</v>
      </c>
      <c r="E30" s="887"/>
      <c r="F30" s="887"/>
      <c r="G30" s="888"/>
      <c r="H30" s="889"/>
      <c r="I30" s="1238">
        <f>SUM(J30:N30)</f>
        <v>4913</v>
      </c>
      <c r="J30" s="1245">
        <f>SUM(J28:J29)</f>
        <v>1500</v>
      </c>
      <c r="K30" s="1245">
        <f>SUM(K28:K29)</f>
        <v>300</v>
      </c>
      <c r="L30" s="1245">
        <f>SUM(L28:L29)</f>
        <v>3113</v>
      </c>
      <c r="M30" s="880"/>
      <c r="N30" s="881"/>
    </row>
    <row r="31" spans="1:14" s="9" customFormat="1" ht="23.25" customHeight="1">
      <c r="A31" s="455">
        <v>23</v>
      </c>
      <c r="B31" s="129"/>
      <c r="C31" s="120">
        <v>6</v>
      </c>
      <c r="D31" s="450" t="s">
        <v>879</v>
      </c>
      <c r="E31" s="130"/>
      <c r="F31" s="130"/>
      <c r="G31" s="131"/>
      <c r="H31" s="458"/>
      <c r="I31" s="1240"/>
      <c r="J31" s="1041"/>
      <c r="K31" s="1041"/>
      <c r="L31" s="1041"/>
      <c r="M31" s="1041"/>
      <c r="N31" s="1246"/>
    </row>
    <row r="32" spans="1:14" s="9" customFormat="1" ht="23.25" customHeight="1">
      <c r="A32" s="455">
        <v>24</v>
      </c>
      <c r="B32" s="129"/>
      <c r="C32" s="120"/>
      <c r="D32" s="483" t="s">
        <v>938</v>
      </c>
      <c r="E32" s="130"/>
      <c r="F32" s="130"/>
      <c r="G32" s="131"/>
      <c r="H32" s="458"/>
      <c r="I32" s="1238">
        <f>SUM(J32:N32)</f>
        <v>7500</v>
      </c>
      <c r="J32" s="1245">
        <f>J36+J40+J44+J48</f>
        <v>0</v>
      </c>
      <c r="K32" s="1245">
        <f>K36+K40+K44+K48</f>
        <v>0</v>
      </c>
      <c r="L32" s="1245">
        <f>L36+L40+L44+L48</f>
        <v>7500</v>
      </c>
      <c r="M32" s="1245">
        <f>M36+M40+M44+M48</f>
        <v>0</v>
      </c>
      <c r="N32" s="1251">
        <f>N36+N40+N44+N48</f>
        <v>0</v>
      </c>
    </row>
    <row r="33" spans="1:14" s="9" customFormat="1" ht="18" customHeight="1">
      <c r="A33" s="455">
        <v>25</v>
      </c>
      <c r="B33" s="129"/>
      <c r="C33" s="125"/>
      <c r="D33" s="1146" t="s">
        <v>689</v>
      </c>
      <c r="E33" s="130"/>
      <c r="F33" s="130"/>
      <c r="G33" s="131"/>
      <c r="H33" s="458"/>
      <c r="I33" s="1241">
        <f>SUM(J33:N33)</f>
        <v>0</v>
      </c>
      <c r="J33" s="1247">
        <f>J37+J41+J45+J49</f>
        <v>0</v>
      </c>
      <c r="K33" s="1247">
        <f aca="true" t="shared" si="0" ref="K33:N34">K37+K41+K45+K49</f>
        <v>0</v>
      </c>
      <c r="L33" s="1247">
        <f t="shared" si="0"/>
        <v>0</v>
      </c>
      <c r="M33" s="1247">
        <f t="shared" si="0"/>
        <v>0</v>
      </c>
      <c r="N33" s="1246">
        <f t="shared" si="0"/>
        <v>0</v>
      </c>
    </row>
    <row r="34" spans="1:14" s="9" customFormat="1" ht="18" customHeight="1">
      <c r="A34" s="455">
        <v>26</v>
      </c>
      <c r="B34" s="129"/>
      <c r="C34" s="125"/>
      <c r="D34" s="483" t="s">
        <v>1091</v>
      </c>
      <c r="E34" s="130"/>
      <c r="F34" s="130"/>
      <c r="G34" s="131"/>
      <c r="H34" s="458"/>
      <c r="I34" s="1238">
        <f>SUM(J34:N34)</f>
        <v>7500</v>
      </c>
      <c r="J34" s="1245">
        <f>J38+J42+J46+J50</f>
        <v>0</v>
      </c>
      <c r="K34" s="1245">
        <f t="shared" si="0"/>
        <v>0</v>
      </c>
      <c r="L34" s="1245">
        <f t="shared" si="0"/>
        <v>7500</v>
      </c>
      <c r="M34" s="1245">
        <f t="shared" si="0"/>
        <v>0</v>
      </c>
      <c r="N34" s="1251">
        <f t="shared" si="0"/>
        <v>0</v>
      </c>
    </row>
    <row r="35" spans="1:14" s="9" customFormat="1" ht="18" customHeight="1">
      <c r="A35" s="455">
        <v>27</v>
      </c>
      <c r="B35" s="129"/>
      <c r="C35" s="125"/>
      <c r="D35" s="344" t="s">
        <v>880</v>
      </c>
      <c r="E35" s="130"/>
      <c r="F35" s="130"/>
      <c r="G35" s="131"/>
      <c r="H35" s="457" t="s">
        <v>23</v>
      </c>
      <c r="I35" s="1240"/>
      <c r="J35" s="1041"/>
      <c r="K35" s="1041"/>
      <c r="L35" s="1041"/>
      <c r="M35" s="1041"/>
      <c r="N35" s="1246"/>
    </row>
    <row r="36" spans="1:14" s="9" customFormat="1" ht="18" customHeight="1">
      <c r="A36" s="455">
        <v>28</v>
      </c>
      <c r="B36" s="129"/>
      <c r="C36" s="125"/>
      <c r="D36" s="1237" t="s">
        <v>938</v>
      </c>
      <c r="E36" s="130"/>
      <c r="F36" s="130"/>
      <c r="G36" s="131"/>
      <c r="H36" s="457"/>
      <c r="I36" s="1240">
        <f>SUM(J36:N36)</f>
        <v>1150</v>
      </c>
      <c r="J36" s="1041"/>
      <c r="K36" s="1041"/>
      <c r="L36" s="1248">
        <v>1150</v>
      </c>
      <c r="M36" s="1041"/>
      <c r="N36" s="1246"/>
    </row>
    <row r="37" spans="1:14" s="9" customFormat="1" ht="18" customHeight="1">
      <c r="A37" s="455">
        <v>29</v>
      </c>
      <c r="B37" s="129"/>
      <c r="C37" s="125"/>
      <c r="D37" s="1237" t="s">
        <v>674</v>
      </c>
      <c r="E37" s="130"/>
      <c r="F37" s="130"/>
      <c r="G37" s="131"/>
      <c r="H37" s="457"/>
      <c r="I37" s="1241">
        <f>SUM(J37:N37)</f>
        <v>0</v>
      </c>
      <c r="J37" s="1041"/>
      <c r="K37" s="1041"/>
      <c r="L37" s="1247"/>
      <c r="M37" s="1041"/>
      <c r="N37" s="1246"/>
    </row>
    <row r="38" spans="1:14" s="9" customFormat="1" ht="18" customHeight="1">
      <c r="A38" s="455">
        <v>30</v>
      </c>
      <c r="B38" s="129"/>
      <c r="C38" s="125"/>
      <c r="D38" s="1237" t="s">
        <v>1091</v>
      </c>
      <c r="E38" s="130"/>
      <c r="F38" s="130"/>
      <c r="G38" s="131"/>
      <c r="H38" s="457"/>
      <c r="I38" s="1240">
        <f>SUM(J38:N38)</f>
        <v>1150</v>
      </c>
      <c r="J38" s="1041"/>
      <c r="K38" s="1041"/>
      <c r="L38" s="1248">
        <f>SUM(L36:L37)</f>
        <v>1150</v>
      </c>
      <c r="M38" s="1041"/>
      <c r="N38" s="1246"/>
    </row>
    <row r="39" spans="1:14" s="9" customFormat="1" ht="18" customHeight="1">
      <c r="A39" s="455">
        <v>31</v>
      </c>
      <c r="B39" s="129"/>
      <c r="C39" s="125"/>
      <c r="D39" s="1772" t="s">
        <v>881</v>
      </c>
      <c r="E39" s="130"/>
      <c r="F39" s="130"/>
      <c r="G39" s="131"/>
      <c r="H39" s="457" t="s">
        <v>22</v>
      </c>
      <c r="I39" s="1240"/>
      <c r="J39" s="1041"/>
      <c r="K39" s="1041"/>
      <c r="L39" s="1247"/>
      <c r="M39" s="1041"/>
      <c r="N39" s="1246"/>
    </row>
    <row r="40" spans="1:14" s="9" customFormat="1" ht="18" customHeight="1">
      <c r="A40" s="455">
        <v>32</v>
      </c>
      <c r="B40" s="129"/>
      <c r="C40" s="125"/>
      <c r="D40" s="1237" t="s">
        <v>938</v>
      </c>
      <c r="E40" s="130"/>
      <c r="F40" s="130"/>
      <c r="G40" s="131"/>
      <c r="H40" s="457"/>
      <c r="I40" s="1240">
        <f>SUM(J40:N40)</f>
        <v>4000</v>
      </c>
      <c r="J40" s="1041"/>
      <c r="K40" s="1041"/>
      <c r="L40" s="1248">
        <v>4000</v>
      </c>
      <c r="M40" s="1041"/>
      <c r="N40" s="1246"/>
    </row>
    <row r="41" spans="1:14" s="9" customFormat="1" ht="18" customHeight="1">
      <c r="A41" s="455">
        <v>33</v>
      </c>
      <c r="B41" s="129"/>
      <c r="C41" s="125"/>
      <c r="D41" s="1712" t="s">
        <v>674</v>
      </c>
      <c r="E41" s="130"/>
      <c r="F41" s="130"/>
      <c r="G41" s="131"/>
      <c r="H41" s="457"/>
      <c r="I41" s="1241">
        <f>SUM(J41:N41)</f>
        <v>0</v>
      </c>
      <c r="J41" s="1041"/>
      <c r="K41" s="1041"/>
      <c r="L41" s="1247"/>
      <c r="M41" s="1041"/>
      <c r="N41" s="1246"/>
    </row>
    <row r="42" spans="1:14" s="9" customFormat="1" ht="18" customHeight="1">
      <c r="A42" s="455">
        <v>34</v>
      </c>
      <c r="B42" s="129"/>
      <c r="C42" s="125"/>
      <c r="D42" s="1712" t="s">
        <v>1091</v>
      </c>
      <c r="E42" s="130"/>
      <c r="F42" s="130"/>
      <c r="G42" s="131"/>
      <c r="H42" s="457"/>
      <c r="I42" s="1240">
        <f>SUM(J42:N42)</f>
        <v>4000</v>
      </c>
      <c r="J42" s="1041"/>
      <c r="K42" s="1041"/>
      <c r="L42" s="1248">
        <f>SUM(L40:L41)</f>
        <v>4000</v>
      </c>
      <c r="M42" s="1041"/>
      <c r="N42" s="1246"/>
    </row>
    <row r="43" spans="1:14" s="9" customFormat="1" ht="18" customHeight="1">
      <c r="A43" s="455">
        <v>35</v>
      </c>
      <c r="B43" s="129"/>
      <c r="C43" s="125"/>
      <c r="D43" s="1772" t="s">
        <v>882</v>
      </c>
      <c r="E43" s="130">
        <v>0</v>
      </c>
      <c r="F43" s="130">
        <v>1000</v>
      </c>
      <c r="G43" s="131">
        <v>0</v>
      </c>
      <c r="H43" s="457" t="s">
        <v>23</v>
      </c>
      <c r="I43" s="1240"/>
      <c r="J43" s="1041"/>
      <c r="K43" s="1041"/>
      <c r="L43" s="1247"/>
      <c r="M43" s="1041"/>
      <c r="N43" s="1246"/>
    </row>
    <row r="44" spans="1:14" s="9" customFormat="1" ht="18" customHeight="1">
      <c r="A44" s="455">
        <v>36</v>
      </c>
      <c r="B44" s="129"/>
      <c r="C44" s="125"/>
      <c r="D44" s="1237" t="s">
        <v>938</v>
      </c>
      <c r="E44" s="130"/>
      <c r="F44" s="130"/>
      <c r="G44" s="131"/>
      <c r="H44" s="457"/>
      <c r="I44" s="1240">
        <f>SUM(J44:N44)</f>
        <v>2000</v>
      </c>
      <c r="J44" s="1041"/>
      <c r="K44" s="1041"/>
      <c r="L44" s="1248">
        <v>2000</v>
      </c>
      <c r="M44" s="1041"/>
      <c r="N44" s="1246"/>
    </row>
    <row r="45" spans="1:14" s="9" customFormat="1" ht="18" customHeight="1">
      <c r="A45" s="455">
        <v>37</v>
      </c>
      <c r="B45" s="129"/>
      <c r="C45" s="125"/>
      <c r="D45" s="1712" t="s">
        <v>674</v>
      </c>
      <c r="E45" s="130"/>
      <c r="F45" s="130"/>
      <c r="G45" s="131"/>
      <c r="H45" s="457"/>
      <c r="I45" s="1241">
        <f>SUM(J45:N45)</f>
        <v>0</v>
      </c>
      <c r="J45" s="1041"/>
      <c r="K45" s="1041"/>
      <c r="L45" s="1247"/>
      <c r="M45" s="1041"/>
      <c r="N45" s="1246"/>
    </row>
    <row r="46" spans="1:14" s="9" customFormat="1" ht="18" customHeight="1">
      <c r="A46" s="455">
        <v>38</v>
      </c>
      <c r="B46" s="129"/>
      <c r="C46" s="125"/>
      <c r="D46" s="1712" t="s">
        <v>1091</v>
      </c>
      <c r="E46" s="130"/>
      <c r="F46" s="130"/>
      <c r="G46" s="131"/>
      <c r="H46" s="457"/>
      <c r="I46" s="1240">
        <f>SUM(J46:N46)</f>
        <v>2000</v>
      </c>
      <c r="J46" s="1041"/>
      <c r="K46" s="1041"/>
      <c r="L46" s="1248">
        <f>SUM(L44:L45)</f>
        <v>2000</v>
      </c>
      <c r="M46" s="1041"/>
      <c r="N46" s="1246"/>
    </row>
    <row r="47" spans="1:14" s="9" customFormat="1" ht="18" customHeight="1">
      <c r="A47" s="455">
        <v>39</v>
      </c>
      <c r="B47" s="129"/>
      <c r="C47" s="125"/>
      <c r="D47" s="1772" t="s">
        <v>883</v>
      </c>
      <c r="E47" s="130"/>
      <c r="F47" s="130"/>
      <c r="G47" s="131"/>
      <c r="H47" s="457" t="s">
        <v>22</v>
      </c>
      <c r="I47" s="1240"/>
      <c r="J47" s="1041"/>
      <c r="K47" s="1041"/>
      <c r="L47" s="1247"/>
      <c r="M47" s="1041"/>
      <c r="N47" s="1246"/>
    </row>
    <row r="48" spans="1:14" s="9" customFormat="1" ht="18" customHeight="1">
      <c r="A48" s="455">
        <v>40</v>
      </c>
      <c r="B48" s="129"/>
      <c r="C48" s="125"/>
      <c r="D48" s="1237" t="s">
        <v>938</v>
      </c>
      <c r="E48" s="130"/>
      <c r="F48" s="130"/>
      <c r="G48" s="131"/>
      <c r="H48" s="457"/>
      <c r="I48" s="1240">
        <f>SUM(J48:N48)</f>
        <v>350</v>
      </c>
      <c r="J48" s="1041"/>
      <c r="K48" s="1041"/>
      <c r="L48" s="1248">
        <v>350</v>
      </c>
      <c r="M48" s="1041"/>
      <c r="N48" s="1246"/>
    </row>
    <row r="49" spans="1:14" s="9" customFormat="1" ht="18" customHeight="1">
      <c r="A49" s="455">
        <v>41</v>
      </c>
      <c r="B49" s="129"/>
      <c r="C49" s="125"/>
      <c r="D49" s="1712" t="s">
        <v>674</v>
      </c>
      <c r="E49" s="130"/>
      <c r="F49" s="130"/>
      <c r="G49" s="131"/>
      <c r="H49" s="458"/>
      <c r="I49" s="1241">
        <f>SUM(J49:N49)</f>
        <v>0</v>
      </c>
      <c r="J49" s="1041"/>
      <c r="K49" s="1041"/>
      <c r="L49" s="1247"/>
      <c r="M49" s="1041"/>
      <c r="N49" s="1246"/>
    </row>
    <row r="50" spans="1:14" s="9" customFormat="1" ht="18" customHeight="1">
      <c r="A50" s="455">
        <v>42</v>
      </c>
      <c r="B50" s="129"/>
      <c r="C50" s="125"/>
      <c r="D50" s="1237" t="s">
        <v>1091</v>
      </c>
      <c r="E50" s="130"/>
      <c r="F50" s="130"/>
      <c r="G50" s="131"/>
      <c r="H50" s="458"/>
      <c r="I50" s="1240">
        <f>SUM(J50:N50)</f>
        <v>350</v>
      </c>
      <c r="J50" s="1041"/>
      <c r="K50" s="1041"/>
      <c r="L50" s="1248">
        <f>SUM(L48:L49)</f>
        <v>350</v>
      </c>
      <c r="M50" s="1041"/>
      <c r="N50" s="1246"/>
    </row>
    <row r="51" spans="1:16" s="3" customFormat="1" ht="22.5" customHeight="1">
      <c r="A51" s="455">
        <v>43</v>
      </c>
      <c r="B51" s="119"/>
      <c r="C51" s="120">
        <v>7</v>
      </c>
      <c r="D51" s="450" t="s">
        <v>10</v>
      </c>
      <c r="E51" s="122">
        <f>SUM(E56,E61,E66,E71,E81,E76)</f>
        <v>74000</v>
      </c>
      <c r="F51" s="122">
        <f>SUM(F56,F61,F66,F71,F81,F76)</f>
        <v>0</v>
      </c>
      <c r="G51" s="123">
        <f>SUM(G56,G61,G66,G71,G81,G76)</f>
        <v>0</v>
      </c>
      <c r="H51" s="457" t="s">
        <v>23</v>
      </c>
      <c r="I51" s="1038"/>
      <c r="J51" s="1039"/>
      <c r="K51" s="1039"/>
      <c r="L51" s="1039"/>
      <c r="M51" s="1039"/>
      <c r="N51" s="1040"/>
      <c r="O51" s="8"/>
      <c r="P51" s="8"/>
    </row>
    <row r="52" spans="1:14" s="8" customFormat="1" ht="18" customHeight="1">
      <c r="A52" s="455">
        <v>44</v>
      </c>
      <c r="B52" s="124"/>
      <c r="C52" s="125"/>
      <c r="D52" s="886" t="s">
        <v>283</v>
      </c>
      <c r="E52" s="122"/>
      <c r="F52" s="122"/>
      <c r="G52" s="123"/>
      <c r="H52" s="457"/>
      <c r="I52" s="879">
        <f>SUM(J52:N52)</f>
        <v>36000</v>
      </c>
      <c r="J52" s="880">
        <f>SUM(J57,J62,J67,J72,J77)</f>
        <v>0</v>
      </c>
      <c r="K52" s="880">
        <f>SUM(K57,K62,K67,K72,K77)</f>
        <v>0</v>
      </c>
      <c r="L52" s="880">
        <f>SUM(L57,L62,L67,L72,L77)</f>
        <v>7500</v>
      </c>
      <c r="M52" s="880">
        <f>SUM(M57,M62,M67,M72,M77)</f>
        <v>0</v>
      </c>
      <c r="N52" s="881">
        <f>SUM(N57,N62,N67,N72,N77)</f>
        <v>28500</v>
      </c>
    </row>
    <row r="53" spans="1:14" s="8" customFormat="1" ht="18" customHeight="1">
      <c r="A53" s="455">
        <v>45</v>
      </c>
      <c r="B53" s="124"/>
      <c r="C53" s="125"/>
      <c r="D53" s="483" t="s">
        <v>938</v>
      </c>
      <c r="E53" s="122"/>
      <c r="F53" s="122"/>
      <c r="G53" s="123"/>
      <c r="H53" s="457"/>
      <c r="I53" s="1238">
        <f>SUM(J53:N53)</f>
        <v>28500</v>
      </c>
      <c r="J53" s="1245">
        <f>SUM(J58,J63,J68,J73,J78)</f>
        <v>0</v>
      </c>
      <c r="K53" s="1245">
        <f>SUM(K58,K63,K68,K73,K78)</f>
        <v>0</v>
      </c>
      <c r="L53" s="1245">
        <f>SUM(L58,L63,L68,L73,L78)</f>
        <v>0</v>
      </c>
      <c r="M53" s="1245"/>
      <c r="N53" s="1251">
        <f>SUM(N58,N63,N68,N73,N78)</f>
        <v>28500</v>
      </c>
    </row>
    <row r="54" spans="1:14" s="8" customFormat="1" ht="18" customHeight="1">
      <c r="A54" s="455">
        <v>46</v>
      </c>
      <c r="B54" s="124"/>
      <c r="C54" s="125"/>
      <c r="D54" s="1146" t="s">
        <v>674</v>
      </c>
      <c r="E54" s="122"/>
      <c r="F54" s="122"/>
      <c r="G54" s="123"/>
      <c r="H54" s="457"/>
      <c r="I54" s="1241">
        <f>SUM(J54:N54)</f>
        <v>0</v>
      </c>
      <c r="J54" s="1248">
        <f>J59+J64+J69+J74+J79</f>
        <v>0</v>
      </c>
      <c r="K54" s="1248">
        <f>K59+K64+K69+K74+K79</f>
        <v>0</v>
      </c>
      <c r="L54" s="1248">
        <f>L59+L64+L69+L74+L79</f>
        <v>0</v>
      </c>
      <c r="M54" s="1248">
        <f>M59+M64+M69+M74+M79</f>
        <v>0</v>
      </c>
      <c r="N54" s="1249">
        <f>N59+N64+N69+N74+N79</f>
        <v>0</v>
      </c>
    </row>
    <row r="55" spans="1:14" s="8" customFormat="1" ht="18" customHeight="1">
      <c r="A55" s="455">
        <v>47</v>
      </c>
      <c r="B55" s="124"/>
      <c r="C55" s="125"/>
      <c r="D55" s="483" t="s">
        <v>1091</v>
      </c>
      <c r="E55" s="122"/>
      <c r="F55" s="122"/>
      <c r="G55" s="123"/>
      <c r="H55" s="457"/>
      <c r="I55" s="1238">
        <f>SUM(J55:N55)</f>
        <v>28500</v>
      </c>
      <c r="J55" s="1245">
        <f>SUM(J53:J54)</f>
        <v>0</v>
      </c>
      <c r="K55" s="1245">
        <f>SUM(K53:K54)</f>
        <v>0</v>
      </c>
      <c r="L55" s="1245">
        <f>SUM(L53:L54)</f>
        <v>0</v>
      </c>
      <c r="M55" s="1245">
        <f>SUM(M53:M54)</f>
        <v>0</v>
      </c>
      <c r="N55" s="1251">
        <f>SUM(N53:N54)</f>
        <v>28500</v>
      </c>
    </row>
    <row r="56" spans="1:16" s="9" customFormat="1" ht="18" customHeight="1">
      <c r="A56" s="455">
        <v>48</v>
      </c>
      <c r="B56" s="129"/>
      <c r="C56" s="441"/>
      <c r="D56" s="344" t="s">
        <v>44</v>
      </c>
      <c r="E56" s="130">
        <v>30000</v>
      </c>
      <c r="F56" s="130">
        <v>0</v>
      </c>
      <c r="G56" s="131">
        <v>0</v>
      </c>
      <c r="H56" s="458"/>
      <c r="I56" s="882"/>
      <c r="J56" s="1041"/>
      <c r="K56" s="1041"/>
      <c r="L56" s="1041"/>
      <c r="M56" s="1041"/>
      <c r="N56" s="1042"/>
      <c r="P56" s="8"/>
    </row>
    <row r="57" spans="1:16" s="9" customFormat="1" ht="18" customHeight="1">
      <c r="A57" s="455">
        <v>49</v>
      </c>
      <c r="B57" s="129"/>
      <c r="C57" s="125"/>
      <c r="D57" s="1068" t="s">
        <v>283</v>
      </c>
      <c r="E57" s="130"/>
      <c r="F57" s="130"/>
      <c r="G57" s="131"/>
      <c r="H57" s="458"/>
      <c r="I57" s="882">
        <f>SUM(J57:N57)</f>
        <v>15000</v>
      </c>
      <c r="J57" s="1041"/>
      <c r="K57" s="1041"/>
      <c r="L57" s="1041"/>
      <c r="M57" s="1041"/>
      <c r="N57" s="1042">
        <v>15000</v>
      </c>
      <c r="P57" s="8"/>
    </row>
    <row r="58" spans="1:16" s="9" customFormat="1" ht="18" customHeight="1">
      <c r="A58" s="455">
        <v>50</v>
      </c>
      <c r="B58" s="129"/>
      <c r="C58" s="125"/>
      <c r="D58" s="1237" t="s">
        <v>938</v>
      </c>
      <c r="E58" s="130"/>
      <c r="F58" s="130"/>
      <c r="G58" s="131"/>
      <c r="H58" s="458"/>
      <c r="I58" s="1240">
        <f>SUM(J58:N58)</f>
        <v>15000</v>
      </c>
      <c r="J58" s="1247"/>
      <c r="K58" s="1247"/>
      <c r="L58" s="1247"/>
      <c r="M58" s="1247"/>
      <c r="N58" s="1246">
        <v>15000</v>
      </c>
      <c r="P58" s="8"/>
    </row>
    <row r="59" spans="1:16" s="9" customFormat="1" ht="18" customHeight="1">
      <c r="A59" s="455">
        <v>51</v>
      </c>
      <c r="B59" s="129"/>
      <c r="C59" s="125"/>
      <c r="D59" s="1237" t="s">
        <v>674</v>
      </c>
      <c r="E59" s="130"/>
      <c r="F59" s="130"/>
      <c r="G59" s="131"/>
      <c r="H59" s="458"/>
      <c r="I59" s="1241">
        <f>SUM(J59:N59)</f>
        <v>0</v>
      </c>
      <c r="J59" s="1041"/>
      <c r="K59" s="1041"/>
      <c r="L59" s="1041"/>
      <c r="M59" s="1041"/>
      <c r="N59" s="1042"/>
      <c r="P59" s="8"/>
    </row>
    <row r="60" spans="1:16" s="9" customFormat="1" ht="18" customHeight="1">
      <c r="A60" s="455">
        <v>52</v>
      </c>
      <c r="B60" s="129"/>
      <c r="C60" s="125"/>
      <c r="D60" s="1237" t="s">
        <v>1091</v>
      </c>
      <c r="E60" s="130"/>
      <c r="F60" s="130"/>
      <c r="G60" s="131"/>
      <c r="H60" s="458"/>
      <c r="I60" s="1240">
        <f>SUM(J60:N60)</f>
        <v>15000</v>
      </c>
      <c r="J60" s="1041"/>
      <c r="K60" s="1041"/>
      <c r="L60" s="1041"/>
      <c r="M60" s="1041"/>
      <c r="N60" s="1246">
        <f>SUM(N58:N59)</f>
        <v>15000</v>
      </c>
      <c r="P60" s="8"/>
    </row>
    <row r="61" spans="1:16" s="9" customFormat="1" ht="18" customHeight="1">
      <c r="A61" s="455">
        <v>53</v>
      </c>
      <c r="B61" s="129"/>
      <c r="C61" s="441"/>
      <c r="D61" s="344" t="s">
        <v>45</v>
      </c>
      <c r="E61" s="130">
        <v>15000</v>
      </c>
      <c r="F61" s="130">
        <v>0</v>
      </c>
      <c r="G61" s="131">
        <v>0</v>
      </c>
      <c r="H61" s="458"/>
      <c r="I61" s="1043"/>
      <c r="J61" s="1044"/>
      <c r="K61" s="1044"/>
      <c r="L61" s="1044"/>
      <c r="M61" s="1044"/>
      <c r="N61" s="1045"/>
      <c r="P61" s="8"/>
    </row>
    <row r="62" spans="1:16" s="9" customFormat="1" ht="18" customHeight="1">
      <c r="A62" s="455">
        <v>54</v>
      </c>
      <c r="B62" s="129"/>
      <c r="C62" s="125"/>
      <c r="D62" s="1068" t="s">
        <v>283</v>
      </c>
      <c r="E62" s="130"/>
      <c r="F62" s="130"/>
      <c r="G62" s="131"/>
      <c r="H62" s="458"/>
      <c r="I62" s="882">
        <f>SUM(J62:N62)</f>
        <v>7500</v>
      </c>
      <c r="J62" s="1041"/>
      <c r="K62" s="1041"/>
      <c r="L62" s="1041">
        <v>7500</v>
      </c>
      <c r="M62" s="1041"/>
      <c r="N62" s="1042"/>
      <c r="P62" s="8"/>
    </row>
    <row r="63" spans="1:16" s="9" customFormat="1" ht="18" customHeight="1">
      <c r="A63" s="455">
        <v>55</v>
      </c>
      <c r="B63" s="129"/>
      <c r="C63" s="125"/>
      <c r="D63" s="1237" t="s">
        <v>938</v>
      </c>
      <c r="E63" s="130"/>
      <c r="F63" s="130"/>
      <c r="G63" s="131"/>
      <c r="H63" s="458"/>
      <c r="I63" s="1240">
        <f>SUM(J63:N63)</f>
        <v>0</v>
      </c>
      <c r="J63" s="1247"/>
      <c r="K63" s="1247"/>
      <c r="L63" s="1247">
        <v>0</v>
      </c>
      <c r="M63" s="1041"/>
      <c r="N63" s="1042"/>
      <c r="P63" s="8"/>
    </row>
    <row r="64" spans="1:16" s="9" customFormat="1" ht="18" customHeight="1">
      <c r="A64" s="455">
        <v>56</v>
      </c>
      <c r="B64" s="129"/>
      <c r="C64" s="125"/>
      <c r="D64" s="1237" t="s">
        <v>725</v>
      </c>
      <c r="E64" s="130"/>
      <c r="F64" s="130"/>
      <c r="G64" s="131"/>
      <c r="H64" s="458"/>
      <c r="I64" s="1241">
        <f>SUM(J64:N64)</f>
        <v>0</v>
      </c>
      <c r="J64" s="1041"/>
      <c r="K64" s="1041"/>
      <c r="L64" s="1247"/>
      <c r="M64" s="1041"/>
      <c r="N64" s="1042"/>
      <c r="P64" s="8"/>
    </row>
    <row r="65" spans="1:16" s="9" customFormat="1" ht="18" customHeight="1">
      <c r="A65" s="455">
        <v>57</v>
      </c>
      <c r="B65" s="129"/>
      <c r="C65" s="125"/>
      <c r="D65" s="1237" t="s">
        <v>1091</v>
      </c>
      <c r="E65" s="130"/>
      <c r="F65" s="130"/>
      <c r="G65" s="131"/>
      <c r="H65" s="458"/>
      <c r="I65" s="1240">
        <f>SUM(J65:N65)</f>
        <v>0</v>
      </c>
      <c r="J65" s="1041"/>
      <c r="K65" s="1041"/>
      <c r="L65" s="1247">
        <f>SUM(L63:L64)</f>
        <v>0</v>
      </c>
      <c r="M65" s="1041"/>
      <c r="N65" s="1042"/>
      <c r="P65" s="8"/>
    </row>
    <row r="66" spans="1:16" s="9" customFormat="1" ht="18" customHeight="1">
      <c r="A66" s="455">
        <v>58</v>
      </c>
      <c r="B66" s="129"/>
      <c r="C66" s="441"/>
      <c r="D66" s="344" t="s">
        <v>46</v>
      </c>
      <c r="E66" s="130">
        <v>2000</v>
      </c>
      <c r="F66" s="130">
        <v>0</v>
      </c>
      <c r="G66" s="131">
        <v>0</v>
      </c>
      <c r="H66" s="458"/>
      <c r="I66" s="1043"/>
      <c r="J66" s="1044"/>
      <c r="K66" s="1044"/>
      <c r="L66" s="1044"/>
      <c r="M66" s="1044"/>
      <c r="N66" s="1045"/>
      <c r="P66" s="8"/>
    </row>
    <row r="67" spans="1:16" s="9" customFormat="1" ht="18" customHeight="1">
      <c r="A67" s="455">
        <v>59</v>
      </c>
      <c r="B67" s="129"/>
      <c r="C67" s="125"/>
      <c r="D67" s="1068" t="s">
        <v>283</v>
      </c>
      <c r="E67" s="130"/>
      <c r="F67" s="130"/>
      <c r="G67" s="131"/>
      <c r="H67" s="458"/>
      <c r="I67" s="882">
        <f>SUM(J67:N67)</f>
        <v>1000</v>
      </c>
      <c r="J67" s="1041"/>
      <c r="K67" s="1041"/>
      <c r="L67" s="1041"/>
      <c r="M67" s="1041"/>
      <c r="N67" s="1042">
        <v>1000</v>
      </c>
      <c r="P67" s="8"/>
    </row>
    <row r="68" spans="1:16" s="9" customFormat="1" ht="18" customHeight="1">
      <c r="A68" s="455">
        <v>60</v>
      </c>
      <c r="B68" s="129"/>
      <c r="C68" s="125"/>
      <c r="D68" s="1237" t="s">
        <v>938</v>
      </c>
      <c r="E68" s="130"/>
      <c r="F68" s="130"/>
      <c r="G68" s="131"/>
      <c r="H68" s="458"/>
      <c r="I68" s="1240">
        <f>SUM(J68:N68)</f>
        <v>1000</v>
      </c>
      <c r="J68" s="1247"/>
      <c r="K68" s="1247"/>
      <c r="L68" s="1247"/>
      <c r="M68" s="1247"/>
      <c r="N68" s="1246">
        <v>1000</v>
      </c>
      <c r="P68" s="8"/>
    </row>
    <row r="69" spans="1:16" s="9" customFormat="1" ht="18" customHeight="1">
      <c r="A69" s="455">
        <v>61</v>
      </c>
      <c r="B69" s="129"/>
      <c r="C69" s="125"/>
      <c r="D69" s="1237" t="s">
        <v>674</v>
      </c>
      <c r="E69" s="130"/>
      <c r="F69" s="130"/>
      <c r="G69" s="131"/>
      <c r="H69" s="458"/>
      <c r="I69" s="1241">
        <f>SUM(J69:N69)</f>
        <v>0</v>
      </c>
      <c r="J69" s="1041"/>
      <c r="K69" s="1041"/>
      <c r="L69" s="1041"/>
      <c r="M69" s="1041"/>
      <c r="N69" s="1042"/>
      <c r="P69" s="8"/>
    </row>
    <row r="70" spans="1:16" s="9" customFormat="1" ht="18" customHeight="1">
      <c r="A70" s="455">
        <v>62</v>
      </c>
      <c r="B70" s="129"/>
      <c r="C70" s="125"/>
      <c r="D70" s="1237" t="s">
        <v>1091</v>
      </c>
      <c r="E70" s="130"/>
      <c r="F70" s="130"/>
      <c r="G70" s="131"/>
      <c r="H70" s="458"/>
      <c r="I70" s="1240">
        <f>SUM(J70:N70)</f>
        <v>1000</v>
      </c>
      <c r="J70" s="1041"/>
      <c r="K70" s="1041"/>
      <c r="L70" s="1041"/>
      <c r="M70" s="1041"/>
      <c r="N70" s="1246">
        <f>SUM(N68:N69)</f>
        <v>1000</v>
      </c>
      <c r="P70" s="8"/>
    </row>
    <row r="71" spans="1:16" s="9" customFormat="1" ht="18" customHeight="1">
      <c r="A71" s="455">
        <v>63</v>
      </c>
      <c r="B71" s="129"/>
      <c r="C71" s="441"/>
      <c r="D71" s="344" t="s">
        <v>47</v>
      </c>
      <c r="E71" s="130">
        <v>15000</v>
      </c>
      <c r="F71" s="130">
        <v>0</v>
      </c>
      <c r="G71" s="131">
        <v>0</v>
      </c>
      <c r="H71" s="458"/>
      <c r="I71" s="1043"/>
      <c r="J71" s="1044"/>
      <c r="K71" s="1044"/>
      <c r="L71" s="1044"/>
      <c r="M71" s="1044"/>
      <c r="N71" s="1045"/>
      <c r="P71" s="8"/>
    </row>
    <row r="72" spans="1:16" s="9" customFormat="1" ht="18" customHeight="1">
      <c r="A72" s="455">
        <v>64</v>
      </c>
      <c r="B72" s="129"/>
      <c r="C72" s="125"/>
      <c r="D72" s="1068" t="s">
        <v>283</v>
      </c>
      <c r="E72" s="130"/>
      <c r="F72" s="130"/>
      <c r="G72" s="131"/>
      <c r="H72" s="458"/>
      <c r="I72" s="882">
        <f>SUM(J72:N72)</f>
        <v>7500</v>
      </c>
      <c r="J72" s="1041"/>
      <c r="K72" s="1041"/>
      <c r="L72" s="1041"/>
      <c r="M72" s="1041"/>
      <c r="N72" s="1042">
        <v>7500</v>
      </c>
      <c r="P72" s="8"/>
    </row>
    <row r="73" spans="1:16" s="9" customFormat="1" ht="18" customHeight="1">
      <c r="A73" s="455">
        <v>65</v>
      </c>
      <c r="B73" s="129"/>
      <c r="C73" s="125"/>
      <c r="D73" s="1237" t="s">
        <v>938</v>
      </c>
      <c r="E73" s="130"/>
      <c r="F73" s="130"/>
      <c r="G73" s="131"/>
      <c r="H73" s="458"/>
      <c r="I73" s="1240">
        <f>SUM(J73:N73)</f>
        <v>7500</v>
      </c>
      <c r="J73" s="1247"/>
      <c r="K73" s="1247"/>
      <c r="L73" s="1247"/>
      <c r="M73" s="1247"/>
      <c r="N73" s="1246">
        <v>7500</v>
      </c>
      <c r="P73" s="8"/>
    </row>
    <row r="74" spans="1:16" s="9" customFormat="1" ht="18" customHeight="1">
      <c r="A74" s="455">
        <v>66</v>
      </c>
      <c r="B74" s="129"/>
      <c r="C74" s="125"/>
      <c r="D74" s="1237" t="s">
        <v>674</v>
      </c>
      <c r="E74" s="130"/>
      <c r="F74" s="130"/>
      <c r="G74" s="131"/>
      <c r="H74" s="458"/>
      <c r="I74" s="1241">
        <f>SUM(J74:N74)</f>
        <v>0</v>
      </c>
      <c r="J74" s="1041"/>
      <c r="K74" s="1041"/>
      <c r="L74" s="1041"/>
      <c r="M74" s="1041"/>
      <c r="N74" s="1042"/>
      <c r="P74" s="8"/>
    </row>
    <row r="75" spans="1:16" s="9" customFormat="1" ht="18" customHeight="1">
      <c r="A75" s="455">
        <v>67</v>
      </c>
      <c r="B75" s="129"/>
      <c r="C75" s="125"/>
      <c r="D75" s="1237" t="s">
        <v>1091</v>
      </c>
      <c r="E75" s="130"/>
      <c r="F75" s="130"/>
      <c r="G75" s="131"/>
      <c r="H75" s="458"/>
      <c r="I75" s="1240">
        <f>SUM(J75:N75)</f>
        <v>7500</v>
      </c>
      <c r="J75" s="1041"/>
      <c r="K75" s="1041"/>
      <c r="L75" s="1041"/>
      <c r="M75" s="1041"/>
      <c r="N75" s="1246">
        <f>SUM(N73:N74)</f>
        <v>7500</v>
      </c>
      <c r="P75" s="8"/>
    </row>
    <row r="76" spans="1:14" s="9" customFormat="1" ht="18" customHeight="1">
      <c r="A76" s="455">
        <v>68</v>
      </c>
      <c r="B76" s="129"/>
      <c r="C76" s="125"/>
      <c r="D76" s="344" t="s">
        <v>48</v>
      </c>
      <c r="E76" s="130">
        <v>10000</v>
      </c>
      <c r="F76" s="130">
        <v>0</v>
      </c>
      <c r="G76" s="131">
        <v>0</v>
      </c>
      <c r="H76" s="458"/>
      <c r="I76" s="1043"/>
      <c r="J76" s="1044"/>
      <c r="K76" s="1044"/>
      <c r="L76" s="1044"/>
      <c r="M76" s="1044"/>
      <c r="N76" s="1045"/>
    </row>
    <row r="77" spans="1:14" s="9" customFormat="1" ht="18" customHeight="1">
      <c r="A77" s="455">
        <v>69</v>
      </c>
      <c r="B77" s="129"/>
      <c r="C77" s="125"/>
      <c r="D77" s="1068" t="s">
        <v>283</v>
      </c>
      <c r="E77" s="130"/>
      <c r="F77" s="130"/>
      <c r="G77" s="131"/>
      <c r="H77" s="458"/>
      <c r="I77" s="882">
        <f>SUM(J77:N77)</f>
        <v>5000</v>
      </c>
      <c r="J77" s="1041"/>
      <c r="K77" s="1041"/>
      <c r="L77" s="1041"/>
      <c r="M77" s="1041"/>
      <c r="N77" s="1042">
        <v>5000</v>
      </c>
    </row>
    <row r="78" spans="1:14" s="9" customFormat="1" ht="18" customHeight="1">
      <c r="A78" s="455">
        <v>70</v>
      </c>
      <c r="B78" s="129"/>
      <c r="C78" s="125"/>
      <c r="D78" s="1237" t="s">
        <v>938</v>
      </c>
      <c r="E78" s="130"/>
      <c r="F78" s="130"/>
      <c r="G78" s="131"/>
      <c r="H78" s="458"/>
      <c r="I78" s="1240">
        <f>SUM(J78:N78)</f>
        <v>5000</v>
      </c>
      <c r="J78" s="1247"/>
      <c r="K78" s="1247"/>
      <c r="L78" s="1247"/>
      <c r="M78" s="1247"/>
      <c r="N78" s="1246">
        <v>5000</v>
      </c>
    </row>
    <row r="79" spans="1:14" s="9" customFormat="1" ht="18" customHeight="1">
      <c r="A79" s="455">
        <v>71</v>
      </c>
      <c r="B79" s="129"/>
      <c r="C79" s="125"/>
      <c r="D79" s="1237" t="s">
        <v>674</v>
      </c>
      <c r="E79" s="130"/>
      <c r="F79" s="130"/>
      <c r="G79" s="131"/>
      <c r="H79" s="458"/>
      <c r="I79" s="1241">
        <f>SUM(J79:N79)</f>
        <v>0</v>
      </c>
      <c r="J79" s="1041"/>
      <c r="K79" s="1041"/>
      <c r="L79" s="1041"/>
      <c r="M79" s="1041"/>
      <c r="N79" s="1042"/>
    </row>
    <row r="80" spans="1:14" s="9" customFormat="1" ht="18" customHeight="1">
      <c r="A80" s="455">
        <v>72</v>
      </c>
      <c r="B80" s="129"/>
      <c r="C80" s="125"/>
      <c r="D80" s="1237" t="s">
        <v>1091</v>
      </c>
      <c r="E80" s="130"/>
      <c r="F80" s="130"/>
      <c r="G80" s="131"/>
      <c r="H80" s="458"/>
      <c r="I80" s="1240">
        <f>SUM(J80:N80)</f>
        <v>5000</v>
      </c>
      <c r="J80" s="1041"/>
      <c r="K80" s="1041"/>
      <c r="L80" s="1041"/>
      <c r="M80" s="1041"/>
      <c r="N80" s="1246">
        <f>SUM(N78:N79)</f>
        <v>5000</v>
      </c>
    </row>
    <row r="81" spans="1:16" s="9" customFormat="1" ht="23.25" customHeight="1">
      <c r="A81" s="455">
        <v>73</v>
      </c>
      <c r="B81" s="129"/>
      <c r="C81" s="120">
        <v>8</v>
      </c>
      <c r="D81" s="450" t="s">
        <v>476</v>
      </c>
      <c r="E81" s="122">
        <v>2000</v>
      </c>
      <c r="F81" s="130">
        <v>0</v>
      </c>
      <c r="G81" s="131">
        <v>0</v>
      </c>
      <c r="H81" s="457" t="s">
        <v>23</v>
      </c>
      <c r="I81" s="882"/>
      <c r="J81" s="1041"/>
      <c r="K81" s="1041"/>
      <c r="L81" s="1041"/>
      <c r="M81" s="1041"/>
      <c r="N81" s="1042"/>
      <c r="P81" s="8"/>
    </row>
    <row r="82" spans="1:16" s="3" customFormat="1" ht="23.25" customHeight="1">
      <c r="A82" s="455">
        <v>74</v>
      </c>
      <c r="B82" s="119"/>
      <c r="C82" s="120">
        <v>9</v>
      </c>
      <c r="D82" s="450" t="s">
        <v>256</v>
      </c>
      <c r="E82" s="122">
        <v>16207</v>
      </c>
      <c r="F82" s="122">
        <v>0</v>
      </c>
      <c r="G82" s="123">
        <v>5175</v>
      </c>
      <c r="H82" s="457" t="s">
        <v>23</v>
      </c>
      <c r="I82" s="879"/>
      <c r="J82" s="1033"/>
      <c r="K82" s="1033"/>
      <c r="L82" s="1033"/>
      <c r="M82" s="1033"/>
      <c r="N82" s="1034"/>
      <c r="P82" s="8"/>
    </row>
    <row r="83" spans="1:14" s="8" customFormat="1" ht="18" customHeight="1">
      <c r="A83" s="455">
        <v>75</v>
      </c>
      <c r="B83" s="124"/>
      <c r="C83" s="125"/>
      <c r="D83" s="886" t="s">
        <v>283</v>
      </c>
      <c r="E83" s="835"/>
      <c r="F83" s="1568"/>
      <c r="G83" s="835"/>
      <c r="H83" s="457"/>
      <c r="I83" s="879">
        <f>SUM(J83:N83)</f>
        <v>1000</v>
      </c>
      <c r="J83" s="1033"/>
      <c r="K83" s="1033"/>
      <c r="L83" s="1033">
        <v>1000</v>
      </c>
      <c r="M83" s="1033"/>
      <c r="N83" s="1034"/>
    </row>
    <row r="84" spans="1:14" s="8" customFormat="1" ht="18" customHeight="1">
      <c r="A84" s="455">
        <v>76</v>
      </c>
      <c r="B84" s="124"/>
      <c r="C84" s="125"/>
      <c r="D84" s="483" t="s">
        <v>938</v>
      </c>
      <c r="E84" s="834"/>
      <c r="F84" s="1568"/>
      <c r="G84" s="1491"/>
      <c r="H84" s="457"/>
      <c r="I84" s="1238">
        <f>SUM(J84:N84)</f>
        <v>2482</v>
      </c>
      <c r="J84" s="1675"/>
      <c r="K84" s="1675"/>
      <c r="L84" s="1245">
        <v>2482</v>
      </c>
      <c r="M84" s="1033"/>
      <c r="N84" s="1034"/>
    </row>
    <row r="85" spans="1:14" s="8" customFormat="1" ht="18" customHeight="1">
      <c r="A85" s="455">
        <v>77</v>
      </c>
      <c r="B85" s="124"/>
      <c r="C85" s="125"/>
      <c r="D85" s="1146" t="s">
        <v>725</v>
      </c>
      <c r="E85" s="1570"/>
      <c r="F85" s="834"/>
      <c r="G85" s="1571"/>
      <c r="H85" s="457"/>
      <c r="I85" s="1241">
        <f>SUM(J85:N85)</f>
        <v>0</v>
      </c>
      <c r="J85" s="1033"/>
      <c r="K85" s="1033"/>
      <c r="L85" s="1247"/>
      <c r="M85" s="1033"/>
      <c r="N85" s="1034"/>
    </row>
    <row r="86" spans="1:14" s="8" customFormat="1" ht="18" customHeight="1">
      <c r="A86" s="455">
        <v>78</v>
      </c>
      <c r="B86" s="124"/>
      <c r="C86" s="125"/>
      <c r="D86" s="483" t="s">
        <v>1091</v>
      </c>
      <c r="E86" s="835"/>
      <c r="F86" s="1569"/>
      <c r="G86" s="835"/>
      <c r="H86" s="457"/>
      <c r="I86" s="1238">
        <f>SUM(J86:N86)</f>
        <v>2482</v>
      </c>
      <c r="J86" s="1033"/>
      <c r="K86" s="1033"/>
      <c r="L86" s="1245">
        <f>SUM(L84:L85)</f>
        <v>2482</v>
      </c>
      <c r="M86" s="1033"/>
      <c r="N86" s="1034"/>
    </row>
    <row r="87" spans="1:16" s="3" customFormat="1" ht="22.5" customHeight="1">
      <c r="A87" s="455">
        <v>79</v>
      </c>
      <c r="B87" s="119"/>
      <c r="C87" s="120">
        <v>10</v>
      </c>
      <c r="D87" s="450" t="s">
        <v>49</v>
      </c>
      <c r="E87" s="122">
        <v>22414</v>
      </c>
      <c r="F87" s="122">
        <v>0</v>
      </c>
      <c r="G87" s="123">
        <v>1313</v>
      </c>
      <c r="H87" s="457" t="s">
        <v>23</v>
      </c>
      <c r="I87" s="879"/>
      <c r="J87" s="1033"/>
      <c r="K87" s="1033"/>
      <c r="L87" s="1033"/>
      <c r="M87" s="1033"/>
      <c r="N87" s="1034"/>
      <c r="P87" s="8"/>
    </row>
    <row r="88" spans="1:14" s="8" customFormat="1" ht="18" customHeight="1">
      <c r="A88" s="455">
        <v>80</v>
      </c>
      <c r="B88" s="124"/>
      <c r="C88" s="125"/>
      <c r="D88" s="886" t="s">
        <v>283</v>
      </c>
      <c r="E88" s="122"/>
      <c r="F88" s="122"/>
      <c r="G88" s="123"/>
      <c r="H88" s="457"/>
      <c r="I88" s="879">
        <f>SUM(J88:N88)</f>
        <v>2000</v>
      </c>
      <c r="J88" s="1033"/>
      <c r="K88" s="1033"/>
      <c r="L88" s="1033">
        <v>2000</v>
      </c>
      <c r="M88" s="1033"/>
      <c r="N88" s="1034"/>
    </row>
    <row r="89" spans="1:14" s="8" customFormat="1" ht="18" customHeight="1">
      <c r="A89" s="455">
        <v>81</v>
      </c>
      <c r="B89" s="124"/>
      <c r="C89" s="125"/>
      <c r="D89" s="483" t="s">
        <v>938</v>
      </c>
      <c r="E89" s="122"/>
      <c r="F89" s="122"/>
      <c r="G89" s="123"/>
      <c r="H89" s="459"/>
      <c r="I89" s="1238">
        <f>SUM(J89:N89)</f>
        <v>9579</v>
      </c>
      <c r="J89" s="1675"/>
      <c r="K89" s="1675"/>
      <c r="L89" s="1245">
        <v>9579</v>
      </c>
      <c r="M89" s="1033"/>
      <c r="N89" s="1034"/>
    </row>
    <row r="90" spans="1:14" s="8" customFormat="1" ht="18" customHeight="1">
      <c r="A90" s="455">
        <v>82</v>
      </c>
      <c r="B90" s="124"/>
      <c r="C90" s="125"/>
      <c r="D90" s="1146" t="s">
        <v>689</v>
      </c>
      <c r="E90" s="122"/>
      <c r="F90" s="122"/>
      <c r="G90" s="123"/>
      <c r="H90" s="459"/>
      <c r="I90" s="1241">
        <f>SUM(J90:N90)</f>
        <v>300</v>
      </c>
      <c r="J90" s="1247"/>
      <c r="K90" s="1247"/>
      <c r="L90" s="1247">
        <v>300</v>
      </c>
      <c r="M90" s="1033"/>
      <c r="N90" s="1034"/>
    </row>
    <row r="91" spans="1:14" s="8" customFormat="1" ht="18" customHeight="1">
      <c r="A91" s="455">
        <v>83</v>
      </c>
      <c r="B91" s="124"/>
      <c r="C91" s="125"/>
      <c r="D91" s="483" t="s">
        <v>1091</v>
      </c>
      <c r="E91" s="122"/>
      <c r="F91" s="122"/>
      <c r="G91" s="123"/>
      <c r="H91" s="459"/>
      <c r="I91" s="1238">
        <f>SUM(J91:N91)</f>
        <v>9879</v>
      </c>
      <c r="J91" s="1245"/>
      <c r="K91" s="1245"/>
      <c r="L91" s="1245">
        <f>SUM(L89:L90)</f>
        <v>9879</v>
      </c>
      <c r="M91" s="1033"/>
      <c r="N91" s="1034"/>
    </row>
    <row r="92" spans="1:16" s="3" customFormat="1" ht="22.5" customHeight="1">
      <c r="A92" s="455">
        <v>84</v>
      </c>
      <c r="B92" s="119"/>
      <c r="C92" s="120">
        <v>11</v>
      </c>
      <c r="D92" s="450" t="s">
        <v>50</v>
      </c>
      <c r="E92" s="122">
        <v>450</v>
      </c>
      <c r="F92" s="122">
        <v>1000</v>
      </c>
      <c r="G92" s="123">
        <v>186</v>
      </c>
      <c r="H92" s="459" t="s">
        <v>23</v>
      </c>
      <c r="I92" s="879"/>
      <c r="J92" s="1033"/>
      <c r="K92" s="1033"/>
      <c r="L92" s="1033"/>
      <c r="M92" s="1033"/>
      <c r="N92" s="1034"/>
      <c r="P92" s="8"/>
    </row>
    <row r="93" spans="1:16" s="3" customFormat="1" ht="17.25" customHeight="1">
      <c r="A93" s="455">
        <v>85</v>
      </c>
      <c r="B93" s="119"/>
      <c r="C93" s="120"/>
      <c r="D93" s="483" t="s">
        <v>938</v>
      </c>
      <c r="E93" s="122"/>
      <c r="F93" s="122"/>
      <c r="G93" s="123"/>
      <c r="H93" s="459"/>
      <c r="I93" s="1238">
        <f>SUM(J93:N93)</f>
        <v>508</v>
      </c>
      <c r="J93" s="1033"/>
      <c r="K93" s="1033"/>
      <c r="L93" s="1245">
        <v>508</v>
      </c>
      <c r="M93" s="1033"/>
      <c r="N93" s="1034"/>
      <c r="P93" s="8"/>
    </row>
    <row r="94" spans="1:16" s="3" customFormat="1" ht="18" customHeight="1">
      <c r="A94" s="455">
        <v>86</v>
      </c>
      <c r="B94" s="119"/>
      <c r="C94" s="120"/>
      <c r="D94" s="1146" t="s">
        <v>725</v>
      </c>
      <c r="E94" s="122"/>
      <c r="F94" s="122"/>
      <c r="G94" s="123"/>
      <c r="H94" s="459"/>
      <c r="I94" s="1241">
        <f>SUM(J94:N94)</f>
        <v>0</v>
      </c>
      <c r="J94" s="1033"/>
      <c r="K94" s="1033"/>
      <c r="L94" s="1247"/>
      <c r="M94" s="1033"/>
      <c r="N94" s="1034"/>
      <c r="P94" s="8"/>
    </row>
    <row r="95" spans="1:16" s="3" customFormat="1" ht="18" customHeight="1">
      <c r="A95" s="455">
        <v>87</v>
      </c>
      <c r="B95" s="119"/>
      <c r="C95" s="120"/>
      <c r="D95" s="483" t="s">
        <v>1091</v>
      </c>
      <c r="E95" s="122"/>
      <c r="F95" s="122"/>
      <c r="G95" s="123"/>
      <c r="H95" s="459"/>
      <c r="I95" s="1238">
        <f>SUM(J95:N95)</f>
        <v>508</v>
      </c>
      <c r="J95" s="1033"/>
      <c r="K95" s="1033"/>
      <c r="L95" s="1245">
        <f>SUM(L93:L94)</f>
        <v>508</v>
      </c>
      <c r="M95" s="1033"/>
      <c r="N95" s="1251"/>
      <c r="P95" s="8"/>
    </row>
    <row r="96" spans="1:16" s="3" customFormat="1" ht="22.5" customHeight="1">
      <c r="A96" s="455">
        <v>88</v>
      </c>
      <c r="B96" s="119"/>
      <c r="C96" s="120">
        <v>12</v>
      </c>
      <c r="D96" s="450" t="s">
        <v>51</v>
      </c>
      <c r="E96" s="122">
        <v>1887</v>
      </c>
      <c r="F96" s="122">
        <v>2000</v>
      </c>
      <c r="G96" s="123">
        <v>0</v>
      </c>
      <c r="H96" s="457" t="s">
        <v>23</v>
      </c>
      <c r="I96" s="879"/>
      <c r="J96" s="1033"/>
      <c r="K96" s="1033"/>
      <c r="L96" s="1033"/>
      <c r="M96" s="1033"/>
      <c r="N96" s="1034"/>
      <c r="P96" s="8"/>
    </row>
    <row r="97" spans="1:16" s="3" customFormat="1" ht="22.5" customHeight="1">
      <c r="A97" s="455">
        <v>89</v>
      </c>
      <c r="B97" s="119"/>
      <c r="C97" s="120">
        <v>13</v>
      </c>
      <c r="D97" s="450" t="s">
        <v>52</v>
      </c>
      <c r="E97" s="122">
        <f>SUM(E98,E99,E100,E101)+E102</f>
        <v>7346</v>
      </c>
      <c r="F97" s="122">
        <f>SUM(F98,F99,F100,F101)</f>
        <v>2925</v>
      </c>
      <c r="G97" s="123">
        <f>SUM(G98,G99,G100,G101)</f>
        <v>6475</v>
      </c>
      <c r="H97" s="457" t="s">
        <v>23</v>
      </c>
      <c r="I97" s="879"/>
      <c r="J97" s="1033"/>
      <c r="K97" s="1033"/>
      <c r="L97" s="1033"/>
      <c r="M97" s="1033"/>
      <c r="N97" s="1034"/>
      <c r="P97" s="8"/>
    </row>
    <row r="98" spans="1:14" s="9" customFormat="1" ht="18" customHeight="1">
      <c r="A98" s="455">
        <v>90</v>
      </c>
      <c r="B98" s="129"/>
      <c r="C98" s="125"/>
      <c r="D98" s="132" t="s">
        <v>265</v>
      </c>
      <c r="E98" s="130"/>
      <c r="F98" s="130">
        <v>1000</v>
      </c>
      <c r="G98" s="131"/>
      <c r="H98" s="458"/>
      <c r="I98" s="882"/>
      <c r="J98" s="1041"/>
      <c r="K98" s="1041"/>
      <c r="L98" s="1041"/>
      <c r="M98" s="1041"/>
      <c r="N98" s="1042"/>
    </row>
    <row r="99" spans="1:14" s="9" customFormat="1" ht="18" customHeight="1">
      <c r="A99" s="455">
        <v>91</v>
      </c>
      <c r="B99" s="129"/>
      <c r="C99" s="125"/>
      <c r="D99" s="132" t="s">
        <v>266</v>
      </c>
      <c r="E99" s="130">
        <v>2846</v>
      </c>
      <c r="F99" s="130">
        <v>1500</v>
      </c>
      <c r="G99" s="131">
        <v>1500</v>
      </c>
      <c r="H99" s="458"/>
      <c r="I99" s="1043"/>
      <c r="J99" s="1044"/>
      <c r="K99" s="1044"/>
      <c r="L99" s="1044"/>
      <c r="M99" s="1044"/>
      <c r="N99" s="1045"/>
    </row>
    <row r="100" spans="1:14" s="9" customFormat="1" ht="18" customHeight="1">
      <c r="A100" s="455">
        <v>92</v>
      </c>
      <c r="B100" s="129"/>
      <c r="C100" s="125"/>
      <c r="D100" s="132" t="s">
        <v>530</v>
      </c>
      <c r="E100" s="130">
        <v>500</v>
      </c>
      <c r="F100" s="130">
        <v>425</v>
      </c>
      <c r="G100" s="131">
        <v>600</v>
      </c>
      <c r="H100" s="458"/>
      <c r="I100" s="882"/>
      <c r="J100" s="1041"/>
      <c r="K100" s="1041"/>
      <c r="L100" s="1041"/>
      <c r="M100" s="1041"/>
      <c r="N100" s="1042"/>
    </row>
    <row r="101" spans="1:14" s="9" customFormat="1" ht="18" customHeight="1">
      <c r="A101" s="455">
        <v>93</v>
      </c>
      <c r="B101" s="129"/>
      <c r="C101" s="125"/>
      <c r="D101" s="132" t="s">
        <v>669</v>
      </c>
      <c r="E101" s="130">
        <v>2000</v>
      </c>
      <c r="F101" s="130"/>
      <c r="G101" s="131">
        <v>4375</v>
      </c>
      <c r="H101" s="458"/>
      <c r="I101" s="882"/>
      <c r="J101" s="1041"/>
      <c r="K101" s="1041"/>
      <c r="L101" s="1041"/>
      <c r="M101" s="1041"/>
      <c r="N101" s="1042"/>
    </row>
    <row r="102" spans="1:14" s="9" customFormat="1" ht="18" customHeight="1">
      <c r="A102" s="455">
        <v>94</v>
      </c>
      <c r="B102" s="129"/>
      <c r="C102" s="125"/>
      <c r="D102" s="132" t="s">
        <v>668</v>
      </c>
      <c r="E102" s="130">
        <v>2000</v>
      </c>
      <c r="F102" s="130"/>
      <c r="G102" s="131">
        <v>0</v>
      </c>
      <c r="H102" s="458"/>
      <c r="I102" s="882"/>
      <c r="J102" s="1041"/>
      <c r="K102" s="1041"/>
      <c r="L102" s="1041"/>
      <c r="M102" s="1041"/>
      <c r="N102" s="1042"/>
    </row>
    <row r="103" spans="1:14" s="9" customFormat="1" ht="23.25" customHeight="1">
      <c r="A103" s="455">
        <v>95</v>
      </c>
      <c r="B103" s="129"/>
      <c r="C103" s="120">
        <v>14</v>
      </c>
      <c r="D103" s="450" t="s">
        <v>492</v>
      </c>
      <c r="E103" s="130"/>
      <c r="F103" s="130">
        <v>2550</v>
      </c>
      <c r="G103" s="131">
        <v>1000</v>
      </c>
      <c r="H103" s="457" t="s">
        <v>23</v>
      </c>
      <c r="I103" s="882"/>
      <c r="J103" s="1041"/>
      <c r="K103" s="1041"/>
      <c r="L103" s="1041"/>
      <c r="M103" s="1041"/>
      <c r="N103" s="1042"/>
    </row>
    <row r="104" spans="1:14" s="904" customFormat="1" ht="18" customHeight="1">
      <c r="A104" s="455">
        <v>96</v>
      </c>
      <c r="B104" s="897"/>
      <c r="C104" s="885"/>
      <c r="D104" s="886" t="s">
        <v>283</v>
      </c>
      <c r="E104" s="899"/>
      <c r="F104" s="899"/>
      <c r="G104" s="900"/>
      <c r="H104" s="889"/>
      <c r="I104" s="879">
        <f>SUM(J104:N104)</f>
        <v>1250</v>
      </c>
      <c r="J104" s="902"/>
      <c r="K104" s="902"/>
      <c r="L104" s="902"/>
      <c r="M104" s="902"/>
      <c r="N104" s="881">
        <v>1250</v>
      </c>
    </row>
    <row r="105" spans="1:14" s="904" customFormat="1" ht="18" customHeight="1">
      <c r="A105" s="455">
        <v>97</v>
      </c>
      <c r="B105" s="897"/>
      <c r="C105" s="885"/>
      <c r="D105" s="483" t="s">
        <v>938</v>
      </c>
      <c r="E105" s="899"/>
      <c r="F105" s="899"/>
      <c r="G105" s="900"/>
      <c r="H105" s="889"/>
      <c r="I105" s="1238">
        <f>SUM(J105:N105)</f>
        <v>1250</v>
      </c>
      <c r="J105" s="1248"/>
      <c r="K105" s="1248"/>
      <c r="L105" s="1248"/>
      <c r="M105" s="1248"/>
      <c r="N105" s="1251">
        <v>1250</v>
      </c>
    </row>
    <row r="106" spans="1:14" s="904" customFormat="1" ht="18" customHeight="1">
      <c r="A106" s="455">
        <v>98</v>
      </c>
      <c r="B106" s="897"/>
      <c r="C106" s="885"/>
      <c r="D106" s="1146" t="s">
        <v>674</v>
      </c>
      <c r="E106" s="899"/>
      <c r="F106" s="899"/>
      <c r="G106" s="900"/>
      <c r="H106" s="889"/>
      <c r="I106" s="1241">
        <f>SUM(J106:N106)</f>
        <v>0</v>
      </c>
      <c r="J106" s="902"/>
      <c r="K106" s="902"/>
      <c r="L106" s="902"/>
      <c r="M106" s="902"/>
      <c r="N106" s="881"/>
    </row>
    <row r="107" spans="1:14" s="904" customFormat="1" ht="18" customHeight="1">
      <c r="A107" s="455">
        <v>99</v>
      </c>
      <c r="B107" s="897"/>
      <c r="C107" s="885"/>
      <c r="D107" s="483" t="s">
        <v>1091</v>
      </c>
      <c r="E107" s="899"/>
      <c r="F107" s="899"/>
      <c r="G107" s="900"/>
      <c r="H107" s="889"/>
      <c r="I107" s="1238">
        <f>SUM(J107:N107)</f>
        <v>1250</v>
      </c>
      <c r="J107" s="902"/>
      <c r="K107" s="902"/>
      <c r="L107" s="902"/>
      <c r="M107" s="902"/>
      <c r="N107" s="1251">
        <f>SUM(N105:N106)</f>
        <v>1250</v>
      </c>
    </row>
    <row r="108" spans="1:14" s="9" customFormat="1" ht="23.25" customHeight="1">
      <c r="A108" s="455">
        <v>100</v>
      </c>
      <c r="B108" s="129"/>
      <c r="C108" s="120">
        <v>15</v>
      </c>
      <c r="D108" s="450" t="s">
        <v>493</v>
      </c>
      <c r="E108" s="130"/>
      <c r="F108" s="130">
        <v>2550</v>
      </c>
      <c r="G108" s="131">
        <v>1000</v>
      </c>
      <c r="H108" s="457" t="s">
        <v>23</v>
      </c>
      <c r="I108" s="882"/>
      <c r="J108" s="1041"/>
      <c r="K108" s="1041"/>
      <c r="L108" s="1041"/>
      <c r="M108" s="1041"/>
      <c r="N108" s="1042"/>
    </row>
    <row r="109" spans="1:14" s="904" customFormat="1" ht="18" customHeight="1">
      <c r="A109" s="455">
        <v>101</v>
      </c>
      <c r="B109" s="897"/>
      <c r="C109" s="885"/>
      <c r="D109" s="886" t="s">
        <v>283</v>
      </c>
      <c r="E109" s="899"/>
      <c r="F109" s="899"/>
      <c r="G109" s="900"/>
      <c r="H109" s="889"/>
      <c r="I109" s="879">
        <f>SUM(J109:N109)</f>
        <v>1250</v>
      </c>
      <c r="J109" s="902"/>
      <c r="K109" s="902"/>
      <c r="L109" s="902"/>
      <c r="M109" s="902"/>
      <c r="N109" s="881">
        <v>1250</v>
      </c>
    </row>
    <row r="110" spans="1:14" s="904" customFormat="1" ht="18" customHeight="1">
      <c r="A110" s="455">
        <v>102</v>
      </c>
      <c r="B110" s="897"/>
      <c r="C110" s="885"/>
      <c r="D110" s="483" t="s">
        <v>938</v>
      </c>
      <c r="E110" s="899"/>
      <c r="F110" s="899"/>
      <c r="G110" s="900"/>
      <c r="H110" s="889"/>
      <c r="I110" s="1238">
        <f>SUM(J110:N110)</f>
        <v>1250</v>
      </c>
      <c r="J110" s="1248"/>
      <c r="K110" s="1248"/>
      <c r="L110" s="1248"/>
      <c r="M110" s="1248"/>
      <c r="N110" s="1251">
        <v>1250</v>
      </c>
    </row>
    <row r="111" spans="1:14" s="904" customFormat="1" ht="18" customHeight="1">
      <c r="A111" s="455">
        <v>103</v>
      </c>
      <c r="B111" s="897"/>
      <c r="C111" s="885"/>
      <c r="D111" s="1146" t="s">
        <v>674</v>
      </c>
      <c r="E111" s="899"/>
      <c r="F111" s="899"/>
      <c r="G111" s="900"/>
      <c r="H111" s="889"/>
      <c r="I111" s="1241">
        <f>SUM(J111:N111)</f>
        <v>0</v>
      </c>
      <c r="J111" s="902"/>
      <c r="K111" s="902"/>
      <c r="L111" s="902"/>
      <c r="M111" s="902"/>
      <c r="N111" s="881"/>
    </row>
    <row r="112" spans="1:14" s="904" customFormat="1" ht="18" customHeight="1">
      <c r="A112" s="455">
        <v>104</v>
      </c>
      <c r="B112" s="897"/>
      <c r="C112" s="885"/>
      <c r="D112" s="483" t="s">
        <v>1091</v>
      </c>
      <c r="E112" s="899"/>
      <c r="F112" s="899"/>
      <c r="G112" s="900"/>
      <c r="H112" s="889"/>
      <c r="I112" s="1238">
        <f>SUM(J112:N112)</f>
        <v>1250</v>
      </c>
      <c r="J112" s="902"/>
      <c r="K112" s="902"/>
      <c r="L112" s="902"/>
      <c r="M112" s="902"/>
      <c r="N112" s="1251">
        <f>SUM(N110:N111)</f>
        <v>1250</v>
      </c>
    </row>
    <row r="113" spans="1:14" s="9" customFormat="1" ht="23.25" customHeight="1">
      <c r="A113" s="455">
        <v>105</v>
      </c>
      <c r="B113" s="129"/>
      <c r="C113" s="120">
        <v>16</v>
      </c>
      <c r="D113" s="450" t="s">
        <v>494</v>
      </c>
      <c r="E113" s="130"/>
      <c r="F113" s="130">
        <v>850</v>
      </c>
      <c r="G113" s="131">
        <v>450</v>
      </c>
      <c r="H113" s="457" t="s">
        <v>23</v>
      </c>
      <c r="I113" s="882"/>
      <c r="J113" s="1041"/>
      <c r="K113" s="1041"/>
      <c r="L113" s="1041"/>
      <c r="M113" s="1041"/>
      <c r="N113" s="1042"/>
    </row>
    <row r="114" spans="1:14" s="904" customFormat="1" ht="18" customHeight="1">
      <c r="A114" s="455">
        <v>106</v>
      </c>
      <c r="B114" s="897"/>
      <c r="C114" s="885"/>
      <c r="D114" s="886" t="s">
        <v>283</v>
      </c>
      <c r="E114" s="899"/>
      <c r="F114" s="899"/>
      <c r="G114" s="900"/>
      <c r="H114" s="901"/>
      <c r="I114" s="879">
        <f>SUM(J114:N114)</f>
        <v>800</v>
      </c>
      <c r="J114" s="902"/>
      <c r="K114" s="902"/>
      <c r="L114" s="902"/>
      <c r="M114" s="902"/>
      <c r="N114" s="881">
        <v>800</v>
      </c>
    </row>
    <row r="115" spans="1:14" s="904" customFormat="1" ht="18" customHeight="1">
      <c r="A115" s="455">
        <v>107</v>
      </c>
      <c r="B115" s="897"/>
      <c r="C115" s="885"/>
      <c r="D115" s="483" t="s">
        <v>938</v>
      </c>
      <c r="E115" s="899"/>
      <c r="F115" s="899"/>
      <c r="G115" s="900"/>
      <c r="H115" s="901"/>
      <c r="I115" s="1238">
        <f>SUM(J115:N115)</f>
        <v>800</v>
      </c>
      <c r="J115" s="1248"/>
      <c r="K115" s="1248"/>
      <c r="L115" s="1248"/>
      <c r="M115" s="1248"/>
      <c r="N115" s="1251">
        <v>800</v>
      </c>
    </row>
    <row r="116" spans="1:14" s="904" customFormat="1" ht="18" customHeight="1">
      <c r="A116" s="455">
        <v>108</v>
      </c>
      <c r="B116" s="897"/>
      <c r="C116" s="885"/>
      <c r="D116" s="1146" t="s">
        <v>674</v>
      </c>
      <c r="E116" s="899"/>
      <c r="F116" s="899"/>
      <c r="G116" s="900"/>
      <c r="H116" s="901"/>
      <c r="I116" s="1241">
        <f>SUM(J116:N116)</f>
        <v>0</v>
      </c>
      <c r="J116" s="902"/>
      <c r="K116" s="902"/>
      <c r="L116" s="902"/>
      <c r="M116" s="902"/>
      <c r="N116" s="903"/>
    </row>
    <row r="117" spans="1:14" s="904" customFormat="1" ht="18" customHeight="1">
      <c r="A117" s="455">
        <v>109</v>
      </c>
      <c r="B117" s="897"/>
      <c r="C117" s="885"/>
      <c r="D117" s="483" t="s">
        <v>1091</v>
      </c>
      <c r="E117" s="899"/>
      <c r="F117" s="899"/>
      <c r="G117" s="900"/>
      <c r="H117" s="901"/>
      <c r="I117" s="1238">
        <f>SUM(J117:N117)</f>
        <v>800</v>
      </c>
      <c r="J117" s="902"/>
      <c r="K117" s="902"/>
      <c r="L117" s="902"/>
      <c r="M117" s="902"/>
      <c r="N117" s="1251">
        <f>SUM(N115:N116)</f>
        <v>800</v>
      </c>
    </row>
    <row r="118" spans="1:14" s="9" customFormat="1" ht="23.25" customHeight="1">
      <c r="A118" s="455">
        <v>110</v>
      </c>
      <c r="B118" s="129"/>
      <c r="C118" s="120">
        <v>17</v>
      </c>
      <c r="D118" s="450" t="s">
        <v>393</v>
      </c>
      <c r="E118" s="130">
        <v>650</v>
      </c>
      <c r="F118" s="130">
        <v>553</v>
      </c>
      <c r="G118" s="131">
        <v>500</v>
      </c>
      <c r="H118" s="457" t="s">
        <v>23</v>
      </c>
      <c r="I118" s="882"/>
      <c r="J118" s="1041"/>
      <c r="K118" s="1041"/>
      <c r="L118" s="1041"/>
      <c r="M118" s="1041"/>
      <c r="N118" s="1042"/>
    </row>
    <row r="119" spans="1:14" s="904" customFormat="1" ht="18" customHeight="1">
      <c r="A119" s="455">
        <v>111</v>
      </c>
      <c r="B119" s="897"/>
      <c r="C119" s="885"/>
      <c r="D119" s="886" t="s">
        <v>283</v>
      </c>
      <c r="E119" s="1493"/>
      <c r="F119" s="906"/>
      <c r="G119" s="1494"/>
      <c r="H119" s="901"/>
      <c r="I119" s="879">
        <f>SUM(J119:N119)</f>
        <v>500</v>
      </c>
      <c r="J119" s="902"/>
      <c r="K119" s="902"/>
      <c r="L119" s="902"/>
      <c r="M119" s="902"/>
      <c r="N119" s="903">
        <v>500</v>
      </c>
    </row>
    <row r="120" spans="1:14" s="904" customFormat="1" ht="18" customHeight="1">
      <c r="A120" s="455">
        <v>112</v>
      </c>
      <c r="B120" s="897"/>
      <c r="C120" s="885"/>
      <c r="D120" s="483" t="s">
        <v>938</v>
      </c>
      <c r="E120" s="1493"/>
      <c r="F120" s="906"/>
      <c r="G120" s="1494"/>
      <c r="H120" s="901"/>
      <c r="I120" s="1238">
        <f>SUM(J120:N120)</f>
        <v>500</v>
      </c>
      <c r="J120" s="1248"/>
      <c r="K120" s="1248"/>
      <c r="L120" s="1248"/>
      <c r="M120" s="1248"/>
      <c r="N120" s="1249">
        <v>500</v>
      </c>
    </row>
    <row r="121" spans="1:14" s="904" customFormat="1" ht="18" customHeight="1">
      <c r="A121" s="455">
        <v>113</v>
      </c>
      <c r="B121" s="897"/>
      <c r="C121" s="885"/>
      <c r="D121" s="1146" t="s">
        <v>674</v>
      </c>
      <c r="E121" s="1493"/>
      <c r="F121" s="906"/>
      <c r="G121" s="1494"/>
      <c r="H121" s="901"/>
      <c r="I121" s="1241">
        <f>SUM(J121:N121)</f>
        <v>0</v>
      </c>
      <c r="J121" s="902"/>
      <c r="K121" s="902"/>
      <c r="L121" s="902"/>
      <c r="M121" s="902"/>
      <c r="N121" s="903"/>
    </row>
    <row r="122" spans="1:14" s="904" customFormat="1" ht="18" customHeight="1">
      <c r="A122" s="455">
        <v>114</v>
      </c>
      <c r="B122" s="897"/>
      <c r="C122" s="885"/>
      <c r="D122" s="483" t="s">
        <v>1091</v>
      </c>
      <c r="E122" s="905"/>
      <c r="F122" s="1492"/>
      <c r="G122" s="905"/>
      <c r="H122" s="901"/>
      <c r="I122" s="1238">
        <f>SUM(J122:N122)</f>
        <v>500</v>
      </c>
      <c r="J122" s="902"/>
      <c r="K122" s="902"/>
      <c r="L122" s="902"/>
      <c r="M122" s="902"/>
      <c r="N122" s="1251">
        <f>SUM(N120:N121)</f>
        <v>500</v>
      </c>
    </row>
    <row r="123" spans="1:16" s="3" customFormat="1" ht="22.5" customHeight="1">
      <c r="A123" s="455">
        <v>115</v>
      </c>
      <c r="B123" s="119"/>
      <c r="C123" s="120">
        <v>18</v>
      </c>
      <c r="D123" s="450" t="s">
        <v>53</v>
      </c>
      <c r="E123" s="122">
        <v>5000</v>
      </c>
      <c r="F123" s="122">
        <v>840</v>
      </c>
      <c r="G123" s="123">
        <v>1250</v>
      </c>
      <c r="H123" s="457" t="s">
        <v>23</v>
      </c>
      <c r="I123" s="1038"/>
      <c r="J123" s="1039"/>
      <c r="K123" s="1039"/>
      <c r="L123" s="1039"/>
      <c r="M123" s="1039"/>
      <c r="N123" s="1040"/>
      <c r="O123" s="8"/>
      <c r="P123" s="8"/>
    </row>
    <row r="124" spans="1:16" s="3" customFormat="1" ht="22.5" customHeight="1">
      <c r="A124" s="455">
        <v>116</v>
      </c>
      <c r="B124" s="119"/>
      <c r="C124" s="120">
        <v>19</v>
      </c>
      <c r="D124" s="450" t="s">
        <v>237</v>
      </c>
      <c r="E124" s="122">
        <f>SUM(E129,E134,E135,E136,E137)</f>
        <v>97600</v>
      </c>
      <c r="F124" s="122">
        <f>SUM(F129,F134,F135,F136,F137)</f>
        <v>40935</v>
      </c>
      <c r="G124" s="123">
        <f>SUM(G129,G134,G135,G136,G137)</f>
        <v>75274</v>
      </c>
      <c r="H124" s="457" t="s">
        <v>23</v>
      </c>
      <c r="I124" s="1038"/>
      <c r="J124" s="1039"/>
      <c r="K124" s="1039"/>
      <c r="L124" s="1039"/>
      <c r="M124" s="1039"/>
      <c r="N124" s="1040"/>
      <c r="O124" s="8"/>
      <c r="P124" s="8"/>
    </row>
    <row r="125" spans="1:14" s="890" customFormat="1" ht="18" customHeight="1">
      <c r="A125" s="455">
        <v>117</v>
      </c>
      <c r="B125" s="884"/>
      <c r="C125" s="885"/>
      <c r="D125" s="886" t="s">
        <v>283</v>
      </c>
      <c r="E125" s="887"/>
      <c r="F125" s="887"/>
      <c r="G125" s="888"/>
      <c r="H125" s="889"/>
      <c r="I125" s="879">
        <f>SUM(J125:N125)</f>
        <v>25000</v>
      </c>
      <c r="J125" s="883">
        <f>SUM(J130,)</f>
        <v>0</v>
      </c>
      <c r="K125" s="883">
        <f aca="true" t="shared" si="1" ref="K125:N126">SUM(K130,)</f>
        <v>0</v>
      </c>
      <c r="L125" s="883">
        <f t="shared" si="1"/>
        <v>0</v>
      </c>
      <c r="M125" s="883">
        <f t="shared" si="1"/>
        <v>0</v>
      </c>
      <c r="N125" s="1071">
        <f t="shared" si="1"/>
        <v>25000</v>
      </c>
    </row>
    <row r="126" spans="1:14" s="890" customFormat="1" ht="18" customHeight="1">
      <c r="A126" s="455">
        <v>118</v>
      </c>
      <c r="B126" s="884"/>
      <c r="C126" s="885"/>
      <c r="D126" s="483" t="s">
        <v>938</v>
      </c>
      <c r="E126" s="887"/>
      <c r="F126" s="887"/>
      <c r="G126" s="888"/>
      <c r="H126" s="889"/>
      <c r="I126" s="1238">
        <f>SUM(J126:N126)</f>
        <v>25000</v>
      </c>
      <c r="J126" s="1250">
        <f>SUM(J131,)</f>
        <v>0</v>
      </c>
      <c r="K126" s="1250">
        <f t="shared" si="1"/>
        <v>0</v>
      </c>
      <c r="L126" s="1250">
        <f t="shared" si="1"/>
        <v>0</v>
      </c>
      <c r="M126" s="1250">
        <f t="shared" si="1"/>
        <v>0</v>
      </c>
      <c r="N126" s="1266">
        <f t="shared" si="1"/>
        <v>25000</v>
      </c>
    </row>
    <row r="127" spans="1:14" s="890" customFormat="1" ht="18" customHeight="1">
      <c r="A127" s="455">
        <v>119</v>
      </c>
      <c r="B127" s="884"/>
      <c r="C127" s="885"/>
      <c r="D127" s="1146" t="s">
        <v>674</v>
      </c>
      <c r="E127" s="887"/>
      <c r="F127" s="887"/>
      <c r="G127" s="888"/>
      <c r="H127" s="889"/>
      <c r="I127" s="1241">
        <f>SUM(J127:N127)</f>
        <v>0</v>
      </c>
      <c r="J127" s="1044">
        <f>J132</f>
        <v>0</v>
      </c>
      <c r="K127" s="1044">
        <f>K132</f>
        <v>0</v>
      </c>
      <c r="L127" s="1044">
        <f>L132</f>
        <v>0</v>
      </c>
      <c r="M127" s="1044">
        <f>M132</f>
        <v>0</v>
      </c>
      <c r="N127" s="1045">
        <f>N132</f>
        <v>0</v>
      </c>
    </row>
    <row r="128" spans="1:14" s="890" customFormat="1" ht="18" customHeight="1">
      <c r="A128" s="455">
        <v>120</v>
      </c>
      <c r="B128" s="884"/>
      <c r="C128" s="885"/>
      <c r="D128" s="483" t="s">
        <v>1091</v>
      </c>
      <c r="E128" s="887"/>
      <c r="F128" s="887"/>
      <c r="G128" s="888"/>
      <c r="H128" s="889"/>
      <c r="I128" s="1238">
        <f>SUM(J128:N128)</f>
        <v>25000</v>
      </c>
      <c r="J128" s="1250">
        <f>SUM(J126:J127)</f>
        <v>0</v>
      </c>
      <c r="K128" s="1250">
        <f>SUM(K126:K127)</f>
        <v>0</v>
      </c>
      <c r="L128" s="1250">
        <f>SUM(L126:L127)</f>
        <v>0</v>
      </c>
      <c r="M128" s="1250">
        <f>SUM(M126:M127)</f>
        <v>0</v>
      </c>
      <c r="N128" s="1266">
        <f>SUM(N126:N127)</f>
        <v>25000</v>
      </c>
    </row>
    <row r="129" spans="1:16" s="9" customFormat="1" ht="18" customHeight="1">
      <c r="A129" s="455">
        <v>121</v>
      </c>
      <c r="B129" s="129"/>
      <c r="C129" s="441"/>
      <c r="D129" s="345" t="s">
        <v>54</v>
      </c>
      <c r="E129" s="130">
        <v>83500</v>
      </c>
      <c r="F129" s="130">
        <v>25975</v>
      </c>
      <c r="G129" s="131">
        <v>74100</v>
      </c>
      <c r="H129" s="458"/>
      <c r="I129" s="882"/>
      <c r="J129" s="1041"/>
      <c r="K129" s="1041"/>
      <c r="L129" s="1041"/>
      <c r="M129" s="1041"/>
      <c r="N129" s="1042"/>
      <c r="P129" s="8"/>
    </row>
    <row r="130" spans="1:16" s="904" customFormat="1" ht="18" customHeight="1">
      <c r="A130" s="455">
        <v>122</v>
      </c>
      <c r="B130" s="897"/>
      <c r="C130" s="885"/>
      <c r="D130" s="907" t="s">
        <v>283</v>
      </c>
      <c r="E130" s="899"/>
      <c r="F130" s="899"/>
      <c r="G130" s="900"/>
      <c r="H130" s="901"/>
      <c r="I130" s="882">
        <f>SUM(J130:N130)</f>
        <v>25000</v>
      </c>
      <c r="J130" s="902"/>
      <c r="K130" s="902"/>
      <c r="L130" s="902"/>
      <c r="M130" s="902"/>
      <c r="N130" s="903">
        <v>25000</v>
      </c>
      <c r="P130" s="890"/>
    </row>
    <row r="131" spans="1:16" s="904" customFormat="1" ht="18" customHeight="1">
      <c r="A131" s="455">
        <v>123</v>
      </c>
      <c r="B131" s="897"/>
      <c r="C131" s="885"/>
      <c r="D131" s="1237" t="s">
        <v>938</v>
      </c>
      <c r="E131" s="899"/>
      <c r="F131" s="899"/>
      <c r="G131" s="900"/>
      <c r="H131" s="901"/>
      <c r="I131" s="1240">
        <f>SUM(J131:N131)</f>
        <v>25000</v>
      </c>
      <c r="J131" s="1248"/>
      <c r="K131" s="1248"/>
      <c r="L131" s="1248"/>
      <c r="M131" s="1248"/>
      <c r="N131" s="1249">
        <v>25000</v>
      </c>
      <c r="P131" s="890"/>
    </row>
    <row r="132" spans="1:16" s="904" customFormat="1" ht="18" customHeight="1">
      <c r="A132" s="455">
        <v>124</v>
      </c>
      <c r="B132" s="897"/>
      <c r="C132" s="885"/>
      <c r="D132" s="1237" t="s">
        <v>674</v>
      </c>
      <c r="E132" s="899"/>
      <c r="F132" s="899"/>
      <c r="G132" s="900"/>
      <c r="H132" s="901"/>
      <c r="I132" s="1241">
        <f>SUM(J132:N132)</f>
        <v>0</v>
      </c>
      <c r="J132" s="902"/>
      <c r="K132" s="902"/>
      <c r="L132" s="902"/>
      <c r="M132" s="902"/>
      <c r="N132" s="903"/>
      <c r="P132" s="890"/>
    </row>
    <row r="133" spans="1:16" s="904" customFormat="1" ht="18" customHeight="1">
      <c r="A133" s="455">
        <v>125</v>
      </c>
      <c r="B133" s="897"/>
      <c r="C133" s="885"/>
      <c r="D133" s="1237" t="s">
        <v>1091</v>
      </c>
      <c r="E133" s="899"/>
      <c r="F133" s="899"/>
      <c r="G133" s="900"/>
      <c r="H133" s="901"/>
      <c r="I133" s="1240">
        <f>SUM(J133:N133)</f>
        <v>25000</v>
      </c>
      <c r="J133" s="902"/>
      <c r="K133" s="902"/>
      <c r="L133" s="902"/>
      <c r="M133" s="902"/>
      <c r="N133" s="1249">
        <f>SUM(N131:N132)</f>
        <v>25000</v>
      </c>
      <c r="P133" s="890"/>
    </row>
    <row r="134" spans="1:16" s="9" customFormat="1" ht="18" customHeight="1">
      <c r="A134" s="455">
        <v>126</v>
      </c>
      <c r="B134" s="129"/>
      <c r="C134" s="441"/>
      <c r="D134" s="346" t="s">
        <v>55</v>
      </c>
      <c r="E134" s="130">
        <v>5600</v>
      </c>
      <c r="F134" s="130">
        <v>6460</v>
      </c>
      <c r="G134" s="131">
        <v>466</v>
      </c>
      <c r="H134" s="458"/>
      <c r="I134" s="1043"/>
      <c r="J134" s="1044"/>
      <c r="K134" s="1044"/>
      <c r="L134" s="1044"/>
      <c r="M134" s="1044"/>
      <c r="N134" s="1045"/>
      <c r="P134" s="8"/>
    </row>
    <row r="135" spans="1:16" s="9" customFormat="1" ht="18" customHeight="1">
      <c r="A135" s="455">
        <v>127</v>
      </c>
      <c r="B135" s="129"/>
      <c r="C135" s="125"/>
      <c r="D135" s="346" t="s">
        <v>56</v>
      </c>
      <c r="E135" s="130">
        <v>4500</v>
      </c>
      <c r="F135" s="130">
        <v>4500</v>
      </c>
      <c r="G135" s="131">
        <v>375</v>
      </c>
      <c r="H135" s="458"/>
      <c r="I135" s="1043"/>
      <c r="J135" s="1044"/>
      <c r="K135" s="1044"/>
      <c r="L135" s="1044"/>
      <c r="M135" s="1044"/>
      <c r="N135" s="1045"/>
      <c r="P135" s="8"/>
    </row>
    <row r="136" spans="1:16" s="9" customFormat="1" ht="18" customHeight="1">
      <c r="A136" s="455">
        <v>128</v>
      </c>
      <c r="B136" s="129"/>
      <c r="C136" s="125"/>
      <c r="D136" s="346" t="s">
        <v>57</v>
      </c>
      <c r="E136" s="130">
        <v>3000</v>
      </c>
      <c r="F136" s="130">
        <v>3000</v>
      </c>
      <c r="G136" s="131">
        <v>250</v>
      </c>
      <c r="H136" s="458"/>
      <c r="I136" s="1043"/>
      <c r="J136" s="1044"/>
      <c r="K136" s="1044"/>
      <c r="L136" s="1044"/>
      <c r="M136" s="1044"/>
      <c r="N136" s="1045"/>
      <c r="P136" s="8"/>
    </row>
    <row r="137" spans="1:16" s="9" customFormat="1" ht="18" customHeight="1">
      <c r="A137" s="455">
        <v>129</v>
      </c>
      <c r="B137" s="129"/>
      <c r="C137" s="125"/>
      <c r="D137" s="346" t="s">
        <v>297</v>
      </c>
      <c r="E137" s="130">
        <v>1000</v>
      </c>
      <c r="F137" s="130">
        <v>1000</v>
      </c>
      <c r="G137" s="131">
        <v>83</v>
      </c>
      <c r="H137" s="458"/>
      <c r="I137" s="1043"/>
      <c r="J137" s="1044"/>
      <c r="K137" s="1044"/>
      <c r="L137" s="1044"/>
      <c r="M137" s="1044"/>
      <c r="N137" s="1045"/>
      <c r="P137" s="8"/>
    </row>
    <row r="138" spans="1:16" s="9" customFormat="1" ht="22.5" customHeight="1" hidden="1">
      <c r="A138" s="455">
        <v>130</v>
      </c>
      <c r="B138" s="129"/>
      <c r="C138" s="125">
        <v>20</v>
      </c>
      <c r="D138" s="1495" t="s">
        <v>506</v>
      </c>
      <c r="E138" s="130"/>
      <c r="F138" s="130">
        <v>425</v>
      </c>
      <c r="G138" s="131">
        <v>0</v>
      </c>
      <c r="H138" s="457" t="s">
        <v>23</v>
      </c>
      <c r="I138" s="882"/>
      <c r="J138" s="1041"/>
      <c r="K138" s="1041"/>
      <c r="L138" s="1041"/>
      <c r="M138" s="1041"/>
      <c r="N138" s="1042"/>
      <c r="P138" s="8"/>
    </row>
    <row r="139" spans="1:16" s="904" customFormat="1" ht="18" customHeight="1" hidden="1">
      <c r="A139" s="455">
        <v>131</v>
      </c>
      <c r="B139" s="897"/>
      <c r="C139" s="885"/>
      <c r="D139" s="886" t="s">
        <v>283</v>
      </c>
      <c r="E139" s="899"/>
      <c r="F139" s="899"/>
      <c r="G139" s="900"/>
      <c r="H139" s="889"/>
      <c r="I139" s="879">
        <f>SUM(J139:N139)</f>
        <v>0</v>
      </c>
      <c r="J139" s="902"/>
      <c r="K139" s="902"/>
      <c r="L139" s="902"/>
      <c r="M139" s="902"/>
      <c r="N139" s="903"/>
      <c r="P139" s="890"/>
    </row>
    <row r="140" spans="1:16" s="9" customFormat="1" ht="22.5" customHeight="1" hidden="1">
      <c r="A140" s="455">
        <v>132</v>
      </c>
      <c r="B140" s="129"/>
      <c r="C140" s="125">
        <v>21</v>
      </c>
      <c r="D140" s="450" t="s">
        <v>495</v>
      </c>
      <c r="E140" s="130"/>
      <c r="F140" s="130">
        <v>425</v>
      </c>
      <c r="G140" s="131">
        <v>13</v>
      </c>
      <c r="H140" s="457" t="s">
        <v>23</v>
      </c>
      <c r="I140" s="879"/>
      <c r="J140" s="1041"/>
      <c r="K140" s="1041"/>
      <c r="L140" s="1041"/>
      <c r="M140" s="1041"/>
      <c r="N140" s="1042"/>
      <c r="P140" s="8"/>
    </row>
    <row r="141" spans="1:16" s="904" customFormat="1" ht="18" customHeight="1" hidden="1">
      <c r="A141" s="455">
        <v>133</v>
      </c>
      <c r="B141" s="897"/>
      <c r="C141" s="885"/>
      <c r="D141" s="886" t="s">
        <v>283</v>
      </c>
      <c r="E141" s="899"/>
      <c r="F141" s="899"/>
      <c r="G141" s="900"/>
      <c r="H141" s="889"/>
      <c r="I141" s="879">
        <f>SUM(J141:N141)</f>
        <v>0</v>
      </c>
      <c r="J141" s="902"/>
      <c r="K141" s="902"/>
      <c r="L141" s="902"/>
      <c r="M141" s="902"/>
      <c r="N141" s="903"/>
      <c r="P141" s="890"/>
    </row>
    <row r="142" spans="1:16" s="9" customFormat="1" ht="22.5" customHeight="1" hidden="1">
      <c r="A142" s="455">
        <v>134</v>
      </c>
      <c r="B142" s="129"/>
      <c r="C142" s="125">
        <v>22</v>
      </c>
      <c r="D142" s="450" t="s">
        <v>505</v>
      </c>
      <c r="E142" s="130"/>
      <c r="F142" s="130">
        <v>850</v>
      </c>
      <c r="G142" s="131">
        <v>0</v>
      </c>
      <c r="H142" s="457" t="s">
        <v>23</v>
      </c>
      <c r="I142" s="879"/>
      <c r="J142" s="1041"/>
      <c r="K142" s="1041"/>
      <c r="L142" s="1041"/>
      <c r="M142" s="1041"/>
      <c r="N142" s="1042"/>
      <c r="P142" s="8"/>
    </row>
    <row r="143" spans="1:16" s="904" customFormat="1" ht="18" customHeight="1" hidden="1">
      <c r="A143" s="455">
        <v>135</v>
      </c>
      <c r="B143" s="897"/>
      <c r="C143" s="885"/>
      <c r="D143" s="886" t="s">
        <v>283</v>
      </c>
      <c r="E143" s="899"/>
      <c r="F143" s="899"/>
      <c r="G143" s="900"/>
      <c r="H143" s="901"/>
      <c r="I143" s="879">
        <f>SUM(J143:N143)</f>
        <v>0</v>
      </c>
      <c r="J143" s="902"/>
      <c r="K143" s="902"/>
      <c r="L143" s="902"/>
      <c r="M143" s="902"/>
      <c r="N143" s="903"/>
      <c r="P143" s="890"/>
    </row>
    <row r="144" spans="1:16" s="9" customFormat="1" ht="22.5" customHeight="1" hidden="1">
      <c r="A144" s="455">
        <v>136</v>
      </c>
      <c r="B144" s="129"/>
      <c r="C144" s="125">
        <v>23</v>
      </c>
      <c r="D144" s="450" t="s">
        <v>496</v>
      </c>
      <c r="E144" s="130"/>
      <c r="F144" s="130">
        <v>2550</v>
      </c>
      <c r="G144" s="131">
        <v>0</v>
      </c>
      <c r="H144" s="457" t="s">
        <v>23</v>
      </c>
      <c r="I144" s="879"/>
      <c r="J144" s="1041"/>
      <c r="K144" s="1041"/>
      <c r="L144" s="1041"/>
      <c r="M144" s="1041"/>
      <c r="N144" s="1042"/>
      <c r="P144" s="8"/>
    </row>
    <row r="145" spans="1:16" s="904" customFormat="1" ht="18" customHeight="1" hidden="1">
      <c r="A145" s="455">
        <v>137</v>
      </c>
      <c r="B145" s="897"/>
      <c r="C145" s="885"/>
      <c r="D145" s="886" t="s">
        <v>283</v>
      </c>
      <c r="E145" s="899"/>
      <c r="F145" s="899"/>
      <c r="G145" s="900"/>
      <c r="H145" s="901"/>
      <c r="I145" s="879">
        <f>SUM(J145:N145)</f>
        <v>0</v>
      </c>
      <c r="J145" s="902"/>
      <c r="K145" s="902"/>
      <c r="L145" s="902"/>
      <c r="M145" s="902"/>
      <c r="N145" s="903"/>
      <c r="P145" s="890"/>
    </row>
    <row r="146" spans="1:16" s="3" customFormat="1" ht="22.5" customHeight="1" hidden="1">
      <c r="A146" s="455">
        <v>138</v>
      </c>
      <c r="B146" s="119"/>
      <c r="C146" s="120">
        <v>24</v>
      </c>
      <c r="D146" s="450" t="s">
        <v>58</v>
      </c>
      <c r="E146" s="122">
        <v>2500</v>
      </c>
      <c r="F146" s="122">
        <v>0</v>
      </c>
      <c r="G146" s="131">
        <v>0</v>
      </c>
      <c r="H146" s="457" t="s">
        <v>23</v>
      </c>
      <c r="I146" s="879"/>
      <c r="J146" s="1033"/>
      <c r="K146" s="1033"/>
      <c r="L146" s="1033"/>
      <c r="M146" s="1033"/>
      <c r="N146" s="1034"/>
      <c r="P146" s="8"/>
    </row>
    <row r="147" spans="1:16" s="3" customFormat="1" ht="18" customHeight="1" hidden="1">
      <c r="A147" s="455">
        <v>139</v>
      </c>
      <c r="B147" s="143"/>
      <c r="C147" s="125"/>
      <c r="D147" s="126" t="s">
        <v>283</v>
      </c>
      <c r="E147" s="149"/>
      <c r="F147" s="149"/>
      <c r="G147" s="150"/>
      <c r="H147" s="459"/>
      <c r="I147" s="879">
        <f>SUM(J147:N147)</f>
        <v>0</v>
      </c>
      <c r="J147" s="1036"/>
      <c r="K147" s="1036"/>
      <c r="L147" s="1036"/>
      <c r="M147" s="1036"/>
      <c r="N147" s="1037"/>
      <c r="P147" s="8"/>
    </row>
    <row r="148" spans="1:16" s="3" customFormat="1" ht="22.5" customHeight="1" hidden="1">
      <c r="A148" s="455">
        <v>140</v>
      </c>
      <c r="B148" s="119"/>
      <c r="C148" s="120">
        <v>25</v>
      </c>
      <c r="D148" s="450" t="s">
        <v>293</v>
      </c>
      <c r="E148" s="122">
        <v>2500</v>
      </c>
      <c r="F148" s="122">
        <v>0</v>
      </c>
      <c r="G148" s="123">
        <v>0</v>
      </c>
      <c r="H148" s="457" t="s">
        <v>23</v>
      </c>
      <c r="I148" s="879"/>
      <c r="J148" s="1033"/>
      <c r="K148" s="1033"/>
      <c r="L148" s="1033"/>
      <c r="M148" s="1033"/>
      <c r="N148" s="1034"/>
      <c r="P148" s="8"/>
    </row>
    <row r="149" spans="1:16" s="3" customFormat="1" ht="18" customHeight="1" hidden="1">
      <c r="A149" s="455">
        <v>141</v>
      </c>
      <c r="B149" s="143"/>
      <c r="C149" s="125"/>
      <c r="D149" s="126" t="s">
        <v>283</v>
      </c>
      <c r="E149" s="149"/>
      <c r="F149" s="149"/>
      <c r="G149" s="150"/>
      <c r="H149" s="459"/>
      <c r="I149" s="879">
        <f>SUM(J149:N149)</f>
        <v>0</v>
      </c>
      <c r="J149" s="1036"/>
      <c r="K149" s="1036"/>
      <c r="L149" s="1036"/>
      <c r="M149" s="1036"/>
      <c r="N149" s="1037"/>
      <c r="P149" s="8"/>
    </row>
    <row r="150" spans="1:16" s="3" customFormat="1" ht="22.5" customHeight="1" hidden="1">
      <c r="A150" s="455">
        <v>142</v>
      </c>
      <c r="B150" s="119"/>
      <c r="C150" s="120">
        <v>26</v>
      </c>
      <c r="D150" s="450" t="s">
        <v>59</v>
      </c>
      <c r="E150" s="122">
        <v>1500</v>
      </c>
      <c r="F150" s="122">
        <v>1275</v>
      </c>
      <c r="G150" s="123">
        <v>0</v>
      </c>
      <c r="H150" s="457" t="s">
        <v>23</v>
      </c>
      <c r="I150" s="879"/>
      <c r="J150" s="1033"/>
      <c r="K150" s="1033"/>
      <c r="L150" s="1033"/>
      <c r="M150" s="1033"/>
      <c r="N150" s="1034"/>
      <c r="P150" s="8"/>
    </row>
    <row r="151" spans="1:14" s="890" customFormat="1" ht="18" customHeight="1" hidden="1">
      <c r="A151" s="455">
        <v>143</v>
      </c>
      <c r="B151" s="884"/>
      <c r="C151" s="885"/>
      <c r="D151" s="886" t="s">
        <v>283</v>
      </c>
      <c r="E151" s="887"/>
      <c r="F151" s="887"/>
      <c r="G151" s="888"/>
      <c r="H151" s="889"/>
      <c r="I151" s="879">
        <f>SUM(J151:N151)</f>
        <v>0</v>
      </c>
      <c r="J151" s="880"/>
      <c r="K151" s="880"/>
      <c r="L151" s="880"/>
      <c r="M151" s="880"/>
      <c r="N151" s="881"/>
    </row>
    <row r="152" spans="1:16" s="3" customFormat="1" ht="22.5" customHeight="1" hidden="1">
      <c r="A152" s="455">
        <v>144</v>
      </c>
      <c r="B152" s="119"/>
      <c r="C152" s="120">
        <v>27</v>
      </c>
      <c r="D152" s="450" t="s">
        <v>60</v>
      </c>
      <c r="E152" s="122">
        <v>1000</v>
      </c>
      <c r="F152" s="122">
        <v>850</v>
      </c>
      <c r="G152" s="123">
        <v>0</v>
      </c>
      <c r="H152" s="457" t="s">
        <v>23</v>
      </c>
      <c r="I152" s="879"/>
      <c r="J152" s="1033"/>
      <c r="K152" s="1033"/>
      <c r="L152" s="1033"/>
      <c r="M152" s="1033"/>
      <c r="N152" s="1034"/>
      <c r="P152" s="8"/>
    </row>
    <row r="153" spans="1:14" s="890" customFormat="1" ht="18" customHeight="1" hidden="1">
      <c r="A153" s="455">
        <v>145</v>
      </c>
      <c r="B153" s="884"/>
      <c r="C153" s="885"/>
      <c r="D153" s="886" t="s">
        <v>283</v>
      </c>
      <c r="E153" s="887"/>
      <c r="F153" s="887"/>
      <c r="G153" s="888"/>
      <c r="H153" s="889"/>
      <c r="I153" s="879">
        <f>SUM(J153:N153)</f>
        <v>0</v>
      </c>
      <c r="J153" s="880"/>
      <c r="K153" s="880"/>
      <c r="L153" s="880"/>
      <c r="M153" s="880"/>
      <c r="N153" s="881"/>
    </row>
    <row r="154" spans="1:16" s="3" customFormat="1" ht="22.5" customHeight="1" hidden="1">
      <c r="A154" s="455">
        <v>146</v>
      </c>
      <c r="B154" s="119"/>
      <c r="C154" s="120">
        <v>28</v>
      </c>
      <c r="D154" s="450" t="s">
        <v>257</v>
      </c>
      <c r="E154" s="122">
        <v>5000</v>
      </c>
      <c r="F154" s="122">
        <v>4250</v>
      </c>
      <c r="G154" s="123">
        <v>4480</v>
      </c>
      <c r="H154" s="457" t="s">
        <v>23</v>
      </c>
      <c r="I154" s="879"/>
      <c r="J154" s="1033"/>
      <c r="K154" s="1033"/>
      <c r="L154" s="1033"/>
      <c r="M154" s="1033"/>
      <c r="N154" s="1034"/>
      <c r="P154" s="8"/>
    </row>
    <row r="155" spans="1:14" s="890" customFormat="1" ht="18" customHeight="1" hidden="1">
      <c r="A155" s="455">
        <v>147</v>
      </c>
      <c r="B155" s="884"/>
      <c r="C155" s="885"/>
      <c r="D155" s="886" t="s">
        <v>283</v>
      </c>
      <c r="E155" s="887"/>
      <c r="F155" s="887"/>
      <c r="G155" s="888"/>
      <c r="H155" s="889"/>
      <c r="I155" s="879">
        <f aca="true" t="shared" si="2" ref="I155:I171">SUM(J155:N155)</f>
        <v>0</v>
      </c>
      <c r="J155" s="880"/>
      <c r="K155" s="880"/>
      <c r="L155" s="880"/>
      <c r="M155" s="880"/>
      <c r="N155" s="881"/>
    </row>
    <row r="156" spans="1:14" s="8" customFormat="1" ht="22.5" customHeight="1" hidden="1">
      <c r="A156" s="455">
        <v>148</v>
      </c>
      <c r="B156" s="124"/>
      <c r="C156" s="120">
        <v>29</v>
      </c>
      <c r="D156" s="449" t="s">
        <v>366</v>
      </c>
      <c r="E156" s="122">
        <v>3250</v>
      </c>
      <c r="F156" s="122">
        <v>0</v>
      </c>
      <c r="G156" s="123">
        <v>0</v>
      </c>
      <c r="H156" s="457" t="s">
        <v>23</v>
      </c>
      <c r="I156" s="879"/>
      <c r="J156" s="1033"/>
      <c r="K156" s="1033"/>
      <c r="L156" s="1033"/>
      <c r="M156" s="1033"/>
      <c r="N156" s="1034"/>
    </row>
    <row r="157" spans="1:14" s="8" customFormat="1" ht="18" customHeight="1" hidden="1">
      <c r="A157" s="455">
        <v>149</v>
      </c>
      <c r="B157" s="124"/>
      <c r="C157" s="125"/>
      <c r="D157" s="126" t="s">
        <v>283</v>
      </c>
      <c r="E157" s="122"/>
      <c r="F157" s="122"/>
      <c r="G157" s="123"/>
      <c r="H157" s="457"/>
      <c r="I157" s="879">
        <f t="shared" si="2"/>
        <v>0</v>
      </c>
      <c r="J157" s="1033"/>
      <c r="K157" s="1033"/>
      <c r="L157" s="1033"/>
      <c r="M157" s="1033"/>
      <c r="N157" s="1034"/>
    </row>
    <row r="158" spans="1:14" s="8" customFormat="1" ht="22.5" customHeight="1" hidden="1">
      <c r="A158" s="455">
        <v>150</v>
      </c>
      <c r="B158" s="137"/>
      <c r="C158" s="120">
        <v>30</v>
      </c>
      <c r="D158" s="449" t="s">
        <v>384</v>
      </c>
      <c r="E158" s="149">
        <v>16160</v>
      </c>
      <c r="F158" s="149">
        <v>20000</v>
      </c>
      <c r="G158" s="150">
        <v>0</v>
      </c>
      <c r="H158" s="457" t="s">
        <v>23</v>
      </c>
      <c r="I158" s="879"/>
      <c r="J158" s="1036"/>
      <c r="K158" s="1036"/>
      <c r="L158" s="1036"/>
      <c r="M158" s="1036"/>
      <c r="N158" s="1037"/>
    </row>
    <row r="159" spans="1:14" s="890" customFormat="1" ht="18" customHeight="1" hidden="1">
      <c r="A159" s="455">
        <v>151</v>
      </c>
      <c r="B159" s="908"/>
      <c r="C159" s="885"/>
      <c r="D159" s="886" t="s">
        <v>283</v>
      </c>
      <c r="E159" s="891"/>
      <c r="F159" s="891"/>
      <c r="G159" s="892"/>
      <c r="H159" s="889"/>
      <c r="I159" s="879">
        <f t="shared" si="2"/>
        <v>0</v>
      </c>
      <c r="J159" s="894"/>
      <c r="K159" s="894"/>
      <c r="L159" s="894"/>
      <c r="M159" s="894"/>
      <c r="N159" s="895"/>
    </row>
    <row r="160" spans="1:16" s="139" customFormat="1" ht="22.5" customHeight="1" hidden="1">
      <c r="A160" s="455">
        <v>152</v>
      </c>
      <c r="B160" s="138"/>
      <c r="C160" s="120">
        <v>31</v>
      </c>
      <c r="D160" s="450" t="s">
        <v>253</v>
      </c>
      <c r="E160" s="149">
        <v>45000</v>
      </c>
      <c r="F160" s="149">
        <v>45000</v>
      </c>
      <c r="G160" s="150">
        <v>45000</v>
      </c>
      <c r="H160" s="457" t="s">
        <v>23</v>
      </c>
      <c r="I160" s="879"/>
      <c r="J160" s="1036"/>
      <c r="K160" s="1036"/>
      <c r="L160" s="1036"/>
      <c r="M160" s="1036"/>
      <c r="N160" s="1037"/>
      <c r="O160" s="115"/>
      <c r="P160" s="8"/>
    </row>
    <row r="161" spans="1:16" s="139" customFormat="1" ht="18" customHeight="1" hidden="1">
      <c r="A161" s="455">
        <v>153</v>
      </c>
      <c r="B161" s="138"/>
      <c r="C161" s="125"/>
      <c r="D161" s="126" t="s">
        <v>283</v>
      </c>
      <c r="E161" s="149"/>
      <c r="F161" s="127"/>
      <c r="G161" s="128"/>
      <c r="H161" s="457"/>
      <c r="I161" s="879">
        <f>SUM(J161:N161)</f>
        <v>0</v>
      </c>
      <c r="J161" s="1036"/>
      <c r="K161" s="1036"/>
      <c r="L161" s="1036"/>
      <c r="M161" s="1036"/>
      <c r="N161" s="1037"/>
      <c r="O161" s="115"/>
      <c r="P161" s="8"/>
    </row>
    <row r="162" spans="1:16" s="3" customFormat="1" ht="22.5" customHeight="1" hidden="1">
      <c r="A162" s="455">
        <v>154</v>
      </c>
      <c r="B162" s="119"/>
      <c r="C162" s="120">
        <v>32</v>
      </c>
      <c r="D162" s="450" t="s">
        <v>258</v>
      </c>
      <c r="E162" s="122"/>
      <c r="F162" s="122">
        <v>2500</v>
      </c>
      <c r="G162" s="123">
        <v>2500</v>
      </c>
      <c r="H162" s="457" t="s">
        <v>23</v>
      </c>
      <c r="I162" s="879"/>
      <c r="J162" s="1033"/>
      <c r="K162" s="1033"/>
      <c r="L162" s="1033"/>
      <c r="M162" s="1033"/>
      <c r="N162" s="1034"/>
      <c r="P162" s="8"/>
    </row>
    <row r="163" spans="1:14" s="890" customFormat="1" ht="18" customHeight="1" hidden="1">
      <c r="A163" s="455">
        <v>155</v>
      </c>
      <c r="B163" s="884"/>
      <c r="C163" s="885"/>
      <c r="D163" s="1496" t="s">
        <v>283</v>
      </c>
      <c r="E163" s="887"/>
      <c r="F163" s="887"/>
      <c r="G163" s="888"/>
      <c r="H163" s="889"/>
      <c r="I163" s="879">
        <f t="shared" si="2"/>
        <v>0</v>
      </c>
      <c r="J163" s="880"/>
      <c r="K163" s="880"/>
      <c r="L163" s="880"/>
      <c r="M163" s="880"/>
      <c r="N163" s="881"/>
    </row>
    <row r="164" spans="1:14" s="890" customFormat="1" ht="22.5" customHeight="1">
      <c r="A164" s="455">
        <v>130</v>
      </c>
      <c r="B164" s="884"/>
      <c r="C164" s="120">
        <v>33</v>
      </c>
      <c r="D164" s="450" t="s">
        <v>647</v>
      </c>
      <c r="E164" s="887"/>
      <c r="F164" s="887"/>
      <c r="G164" s="888"/>
      <c r="H164" s="457" t="s">
        <v>23</v>
      </c>
      <c r="I164" s="879"/>
      <c r="J164" s="880"/>
      <c r="K164" s="880"/>
      <c r="L164" s="880"/>
      <c r="M164" s="880"/>
      <c r="N164" s="881"/>
    </row>
    <row r="165" spans="1:14" s="890" customFormat="1" ht="18" customHeight="1">
      <c r="A165" s="455">
        <v>131</v>
      </c>
      <c r="B165" s="884"/>
      <c r="C165" s="125"/>
      <c r="D165" s="886" t="s">
        <v>283</v>
      </c>
      <c r="E165" s="887"/>
      <c r="F165" s="887"/>
      <c r="G165" s="888"/>
      <c r="H165" s="889"/>
      <c r="I165" s="879">
        <f t="shared" si="2"/>
        <v>2500</v>
      </c>
      <c r="J165" s="880"/>
      <c r="K165" s="880"/>
      <c r="L165" s="880">
        <v>2500</v>
      </c>
      <c r="M165" s="880"/>
      <c r="N165" s="881"/>
    </row>
    <row r="166" spans="1:14" s="890" customFormat="1" ht="18" customHeight="1">
      <c r="A166" s="455">
        <v>132</v>
      </c>
      <c r="B166" s="884"/>
      <c r="C166" s="125"/>
      <c r="D166" s="483" t="s">
        <v>938</v>
      </c>
      <c r="E166" s="887"/>
      <c r="F166" s="887"/>
      <c r="G166" s="888"/>
      <c r="H166" s="889"/>
      <c r="I166" s="1238">
        <f t="shared" si="2"/>
        <v>2500</v>
      </c>
      <c r="J166" s="1245"/>
      <c r="K166" s="1245"/>
      <c r="L166" s="1245">
        <v>2500</v>
      </c>
      <c r="M166" s="880"/>
      <c r="N166" s="881"/>
    </row>
    <row r="167" spans="1:14" s="890" customFormat="1" ht="18" customHeight="1">
      <c r="A167" s="455">
        <v>133</v>
      </c>
      <c r="B167" s="884"/>
      <c r="C167" s="125"/>
      <c r="D167" s="1146" t="s">
        <v>674</v>
      </c>
      <c r="E167" s="887"/>
      <c r="F167" s="887"/>
      <c r="G167" s="888"/>
      <c r="H167" s="889"/>
      <c r="I167" s="1241">
        <f>SUM(J167:N167)</f>
        <v>0</v>
      </c>
      <c r="J167" s="880"/>
      <c r="K167" s="880"/>
      <c r="L167" s="880"/>
      <c r="M167" s="880"/>
      <c r="N167" s="881"/>
    </row>
    <row r="168" spans="1:14" s="890" customFormat="1" ht="18" customHeight="1">
      <c r="A168" s="455">
        <v>134</v>
      </c>
      <c r="B168" s="884"/>
      <c r="C168" s="125"/>
      <c r="D168" s="483" t="s">
        <v>1091</v>
      </c>
      <c r="E168" s="887"/>
      <c r="F168" s="887"/>
      <c r="G168" s="888"/>
      <c r="H168" s="889"/>
      <c r="I168" s="1238">
        <f>SUM(J168:N168)</f>
        <v>2500</v>
      </c>
      <c r="J168" s="880"/>
      <c r="K168" s="880"/>
      <c r="L168" s="1245">
        <f>SUM(L166:L167)</f>
        <v>2500</v>
      </c>
      <c r="M168" s="880"/>
      <c r="N168" s="881"/>
    </row>
    <row r="169" spans="1:14" s="890" customFormat="1" ht="22.5" customHeight="1">
      <c r="A169" s="455">
        <v>135</v>
      </c>
      <c r="B169" s="884"/>
      <c r="C169" s="120">
        <v>34</v>
      </c>
      <c r="D169" s="450" t="s">
        <v>648</v>
      </c>
      <c r="E169" s="887"/>
      <c r="F169" s="887"/>
      <c r="G169" s="888"/>
      <c r="H169" s="457" t="s">
        <v>23</v>
      </c>
      <c r="I169" s="879"/>
      <c r="J169" s="880"/>
      <c r="K169" s="880"/>
      <c r="L169" s="880"/>
      <c r="M169" s="880"/>
      <c r="N169" s="881"/>
    </row>
    <row r="170" spans="1:14" s="890" customFormat="1" ht="18" customHeight="1">
      <c r="A170" s="455">
        <v>136</v>
      </c>
      <c r="B170" s="884"/>
      <c r="C170" s="885"/>
      <c r="D170" s="886" t="s">
        <v>283</v>
      </c>
      <c r="E170" s="887"/>
      <c r="F170" s="887"/>
      <c r="G170" s="888"/>
      <c r="H170" s="889"/>
      <c r="I170" s="879">
        <f t="shared" si="2"/>
        <v>10000</v>
      </c>
      <c r="J170" s="880"/>
      <c r="K170" s="880"/>
      <c r="L170" s="880">
        <v>10000</v>
      </c>
      <c r="M170" s="880"/>
      <c r="N170" s="881"/>
    </row>
    <row r="171" spans="1:14" s="890" customFormat="1" ht="18" customHeight="1">
      <c r="A171" s="455">
        <v>137</v>
      </c>
      <c r="B171" s="884"/>
      <c r="C171" s="885"/>
      <c r="D171" s="483" t="s">
        <v>938</v>
      </c>
      <c r="E171" s="887"/>
      <c r="F171" s="887"/>
      <c r="G171" s="888"/>
      <c r="H171" s="889"/>
      <c r="I171" s="1238">
        <f t="shared" si="2"/>
        <v>10000</v>
      </c>
      <c r="J171" s="1245">
        <v>10</v>
      </c>
      <c r="K171" s="1245">
        <v>4</v>
      </c>
      <c r="L171" s="1245">
        <v>9986</v>
      </c>
      <c r="M171" s="880"/>
      <c r="N171" s="881"/>
    </row>
    <row r="172" spans="1:14" s="890" customFormat="1" ht="18" customHeight="1">
      <c r="A172" s="455">
        <v>138</v>
      </c>
      <c r="B172" s="884"/>
      <c r="C172" s="885"/>
      <c r="D172" s="1146" t="s">
        <v>689</v>
      </c>
      <c r="E172" s="887"/>
      <c r="F172" s="887"/>
      <c r="G172" s="888"/>
      <c r="H172" s="889"/>
      <c r="I172" s="1241">
        <f>SUM(J172:N172)</f>
        <v>2200</v>
      </c>
      <c r="J172" s="1247">
        <v>82</v>
      </c>
      <c r="K172" s="1247">
        <v>16</v>
      </c>
      <c r="L172" s="1247">
        <f>2200-82-16</f>
        <v>2102</v>
      </c>
      <c r="M172" s="880"/>
      <c r="N172" s="881"/>
    </row>
    <row r="173" spans="1:14" s="890" customFormat="1" ht="18" customHeight="1">
      <c r="A173" s="455">
        <v>139</v>
      </c>
      <c r="B173" s="884"/>
      <c r="C173" s="885"/>
      <c r="D173" s="483" t="s">
        <v>1091</v>
      </c>
      <c r="E173" s="887"/>
      <c r="F173" s="887"/>
      <c r="G173" s="888"/>
      <c r="H173" s="889"/>
      <c r="I173" s="1238">
        <f>SUM(J173:N173)</f>
        <v>12200</v>
      </c>
      <c r="J173" s="1245">
        <f>SUM(J171:J172)</f>
        <v>92</v>
      </c>
      <c r="K173" s="1245">
        <f>SUM(K171:K172)</f>
        <v>20</v>
      </c>
      <c r="L173" s="1245">
        <f>SUM(L171:L172)</f>
        <v>12088</v>
      </c>
      <c r="M173" s="880"/>
      <c r="N173" s="881"/>
    </row>
    <row r="174" spans="1:16" s="3" customFormat="1" ht="22.5" customHeight="1">
      <c r="A174" s="455">
        <v>140</v>
      </c>
      <c r="B174" s="119"/>
      <c r="C174" s="120">
        <v>35</v>
      </c>
      <c r="D174" s="450" t="s">
        <v>62</v>
      </c>
      <c r="E174" s="122">
        <v>379297</v>
      </c>
      <c r="F174" s="122">
        <v>392700</v>
      </c>
      <c r="G174" s="123">
        <v>185225</v>
      </c>
      <c r="H174" s="457" t="s">
        <v>23</v>
      </c>
      <c r="I174" s="879"/>
      <c r="J174" s="1033"/>
      <c r="K174" s="1033"/>
      <c r="L174" s="1033"/>
      <c r="M174" s="1033"/>
      <c r="N174" s="1034"/>
      <c r="P174" s="8"/>
    </row>
    <row r="175" spans="1:14" s="890" customFormat="1" ht="18" customHeight="1">
      <c r="A175" s="455">
        <v>141</v>
      </c>
      <c r="B175" s="884"/>
      <c r="C175" s="885"/>
      <c r="D175" s="886" t="s">
        <v>283</v>
      </c>
      <c r="E175" s="887"/>
      <c r="F175" s="887"/>
      <c r="G175" s="888"/>
      <c r="H175" s="889"/>
      <c r="I175" s="879">
        <f>SUM(J175:N175)</f>
        <v>250000</v>
      </c>
      <c r="J175" s="880"/>
      <c r="K175" s="880"/>
      <c r="L175" s="880">
        <v>70000</v>
      </c>
      <c r="M175" s="880"/>
      <c r="N175" s="881">
        <v>180000</v>
      </c>
    </row>
    <row r="176" spans="1:14" s="890" customFormat="1" ht="18" customHeight="1">
      <c r="A176" s="455">
        <v>142</v>
      </c>
      <c r="B176" s="884"/>
      <c r="C176" s="885"/>
      <c r="D176" s="483" t="s">
        <v>938</v>
      </c>
      <c r="E176" s="887"/>
      <c r="F176" s="887"/>
      <c r="G176" s="888"/>
      <c r="H176" s="889"/>
      <c r="I176" s="1238">
        <f>SUM(J176:N176)</f>
        <v>250051</v>
      </c>
      <c r="J176" s="1245"/>
      <c r="K176" s="1245"/>
      <c r="L176" s="1245">
        <v>70000</v>
      </c>
      <c r="M176" s="1245"/>
      <c r="N176" s="1251">
        <v>180051</v>
      </c>
    </row>
    <row r="177" spans="1:14" s="890" customFormat="1" ht="18" customHeight="1">
      <c r="A177" s="455">
        <v>143</v>
      </c>
      <c r="B177" s="884"/>
      <c r="C177" s="885"/>
      <c r="D177" s="1146" t="s">
        <v>689</v>
      </c>
      <c r="E177" s="887"/>
      <c r="F177" s="887"/>
      <c r="G177" s="888"/>
      <c r="H177" s="889"/>
      <c r="I177" s="1241">
        <f>SUM(J177:N177)</f>
        <v>0</v>
      </c>
      <c r="J177" s="880"/>
      <c r="K177" s="880"/>
      <c r="L177" s="1247">
        <v>3000</v>
      </c>
      <c r="M177" s="1247"/>
      <c r="N177" s="1246">
        <v>-3000</v>
      </c>
    </row>
    <row r="178" spans="1:14" s="890" customFormat="1" ht="18" customHeight="1">
      <c r="A178" s="455">
        <v>144</v>
      </c>
      <c r="B178" s="884"/>
      <c r="C178" s="885"/>
      <c r="D178" s="483" t="s">
        <v>1091</v>
      </c>
      <c r="E178" s="887"/>
      <c r="F178" s="887"/>
      <c r="G178" s="888"/>
      <c r="H178" s="889"/>
      <c r="I178" s="1238">
        <f>SUM(J178:N178)</f>
        <v>250051</v>
      </c>
      <c r="J178" s="880"/>
      <c r="K178" s="880"/>
      <c r="L178" s="1245">
        <f>SUM(L176:L177)</f>
        <v>73000</v>
      </c>
      <c r="M178" s="1245"/>
      <c r="N178" s="1251">
        <f>SUM(N176:N177)</f>
        <v>177051</v>
      </c>
    </row>
    <row r="179" spans="1:16" s="3" customFormat="1" ht="22.5" customHeight="1">
      <c r="A179" s="455">
        <v>145</v>
      </c>
      <c r="B179" s="119"/>
      <c r="C179" s="120">
        <v>36</v>
      </c>
      <c r="D179" s="450" t="s">
        <v>63</v>
      </c>
      <c r="E179" s="122">
        <v>2600</v>
      </c>
      <c r="F179" s="122">
        <v>2210</v>
      </c>
      <c r="G179" s="123">
        <v>2210</v>
      </c>
      <c r="H179" s="457" t="s">
        <v>22</v>
      </c>
      <c r="I179" s="879"/>
      <c r="J179" s="1033"/>
      <c r="K179" s="1033"/>
      <c r="L179" s="1033"/>
      <c r="M179" s="1033"/>
      <c r="N179" s="1034"/>
      <c r="P179" s="8"/>
    </row>
    <row r="180" spans="1:14" s="890" customFormat="1" ht="18" customHeight="1">
      <c r="A180" s="455">
        <v>146</v>
      </c>
      <c r="B180" s="884"/>
      <c r="C180" s="885"/>
      <c r="D180" s="886" t="s">
        <v>283</v>
      </c>
      <c r="E180" s="887"/>
      <c r="F180" s="887"/>
      <c r="G180" s="888"/>
      <c r="H180" s="889"/>
      <c r="I180" s="879">
        <f>SUM(J180:N180)</f>
        <v>1250</v>
      </c>
      <c r="J180" s="880"/>
      <c r="K180" s="880"/>
      <c r="L180" s="880">
        <v>1250</v>
      </c>
      <c r="M180" s="880"/>
      <c r="N180" s="881"/>
    </row>
    <row r="181" spans="1:14" s="890" customFormat="1" ht="18" customHeight="1">
      <c r="A181" s="455">
        <v>147</v>
      </c>
      <c r="B181" s="884"/>
      <c r="C181" s="885"/>
      <c r="D181" s="483" t="s">
        <v>938</v>
      </c>
      <c r="E181" s="1676"/>
      <c r="F181" s="1676"/>
      <c r="G181" s="1677"/>
      <c r="H181" s="1678"/>
      <c r="I181" s="1238">
        <f>SUM(J181:N181)</f>
        <v>1250</v>
      </c>
      <c r="J181" s="1245"/>
      <c r="K181" s="1245"/>
      <c r="L181" s="1245">
        <v>1250</v>
      </c>
      <c r="M181" s="880"/>
      <c r="N181" s="881"/>
    </row>
    <row r="182" spans="1:14" s="890" customFormat="1" ht="18" customHeight="1">
      <c r="A182" s="455">
        <v>148</v>
      </c>
      <c r="B182" s="884"/>
      <c r="C182" s="885"/>
      <c r="D182" s="1146" t="s">
        <v>674</v>
      </c>
      <c r="E182" s="887"/>
      <c r="F182" s="887"/>
      <c r="G182" s="888"/>
      <c r="H182" s="889"/>
      <c r="I182" s="1241">
        <f>SUM(J182:N182)</f>
        <v>0</v>
      </c>
      <c r="J182" s="880"/>
      <c r="K182" s="880"/>
      <c r="L182" s="880"/>
      <c r="M182" s="880"/>
      <c r="N182" s="881"/>
    </row>
    <row r="183" spans="1:14" s="890" customFormat="1" ht="18" customHeight="1">
      <c r="A183" s="455">
        <v>149</v>
      </c>
      <c r="B183" s="884"/>
      <c r="C183" s="885"/>
      <c r="D183" s="483" t="s">
        <v>1091</v>
      </c>
      <c r="E183" s="887"/>
      <c r="F183" s="887"/>
      <c r="G183" s="888"/>
      <c r="H183" s="889"/>
      <c r="I183" s="1238">
        <f>SUM(J183:N183)</f>
        <v>1250</v>
      </c>
      <c r="J183" s="880"/>
      <c r="K183" s="880"/>
      <c r="L183" s="1245">
        <f>SUM(L181:L182)</f>
        <v>1250</v>
      </c>
      <c r="M183" s="880"/>
      <c r="N183" s="881"/>
    </row>
    <row r="184" spans="1:16" s="3" customFormat="1" ht="22.5" customHeight="1">
      <c r="A184" s="455">
        <v>150</v>
      </c>
      <c r="B184" s="119"/>
      <c r="C184" s="120">
        <v>37</v>
      </c>
      <c r="D184" s="450" t="s">
        <v>64</v>
      </c>
      <c r="E184" s="122">
        <v>7884</v>
      </c>
      <c r="F184" s="122">
        <v>7650</v>
      </c>
      <c r="G184" s="123">
        <v>5946</v>
      </c>
      <c r="H184" s="457" t="s">
        <v>22</v>
      </c>
      <c r="I184" s="879"/>
      <c r="J184" s="1033"/>
      <c r="K184" s="1033"/>
      <c r="L184" s="1033"/>
      <c r="M184" s="1033"/>
      <c r="N184" s="1034"/>
      <c r="P184" s="8"/>
    </row>
    <row r="185" spans="1:14" s="890" customFormat="1" ht="18" customHeight="1">
      <c r="A185" s="455">
        <v>151</v>
      </c>
      <c r="B185" s="884"/>
      <c r="C185" s="885"/>
      <c r="D185" s="886" t="s">
        <v>283</v>
      </c>
      <c r="E185" s="887"/>
      <c r="F185" s="887"/>
      <c r="G185" s="888"/>
      <c r="H185" s="889"/>
      <c r="I185" s="879">
        <f>SUM(J185:N185)</f>
        <v>4000</v>
      </c>
      <c r="J185" s="880"/>
      <c r="K185" s="880"/>
      <c r="L185" s="880">
        <v>4000</v>
      </c>
      <c r="M185" s="880"/>
      <c r="N185" s="881"/>
    </row>
    <row r="186" spans="1:14" s="890" customFormat="1" ht="18" customHeight="1">
      <c r="A186" s="455">
        <v>152</v>
      </c>
      <c r="B186" s="884"/>
      <c r="C186" s="885"/>
      <c r="D186" s="483" t="s">
        <v>938</v>
      </c>
      <c r="E186" s="887"/>
      <c r="F186" s="887"/>
      <c r="G186" s="888"/>
      <c r="H186" s="889"/>
      <c r="I186" s="1238">
        <f>SUM(J186:N186)</f>
        <v>4084</v>
      </c>
      <c r="J186" s="1245"/>
      <c r="K186" s="1245"/>
      <c r="L186" s="1245">
        <v>4084</v>
      </c>
      <c r="M186" s="880"/>
      <c r="N186" s="881"/>
    </row>
    <row r="187" spans="1:14" s="890" customFormat="1" ht="18" customHeight="1">
      <c r="A187" s="455">
        <v>153</v>
      </c>
      <c r="B187" s="884"/>
      <c r="C187" s="885"/>
      <c r="D187" s="1146" t="s">
        <v>725</v>
      </c>
      <c r="E187" s="887"/>
      <c r="F187" s="887"/>
      <c r="G187" s="888"/>
      <c r="H187" s="889"/>
      <c r="I187" s="1241">
        <f>SUM(J187:N187)</f>
        <v>0</v>
      </c>
      <c r="J187" s="880"/>
      <c r="K187" s="880"/>
      <c r="L187" s="1247"/>
      <c r="M187" s="880"/>
      <c r="N187" s="881"/>
    </row>
    <row r="188" spans="1:14" s="890" customFormat="1" ht="18" customHeight="1">
      <c r="A188" s="455">
        <v>154</v>
      </c>
      <c r="B188" s="884"/>
      <c r="C188" s="885"/>
      <c r="D188" s="483" t="s">
        <v>1091</v>
      </c>
      <c r="E188" s="887"/>
      <c r="F188" s="887"/>
      <c r="G188" s="888"/>
      <c r="H188" s="889"/>
      <c r="I188" s="1238">
        <f>SUM(J188:N188)</f>
        <v>4084</v>
      </c>
      <c r="J188" s="880"/>
      <c r="K188" s="880"/>
      <c r="L188" s="1245">
        <f>SUM(L186:L187)</f>
        <v>4084</v>
      </c>
      <c r="M188" s="880"/>
      <c r="N188" s="881"/>
    </row>
    <row r="189" spans="1:14" s="8" customFormat="1" ht="22.5" customHeight="1">
      <c r="A189" s="455">
        <v>155</v>
      </c>
      <c r="B189" s="124"/>
      <c r="C189" s="120">
        <v>38</v>
      </c>
      <c r="D189" s="449" t="s">
        <v>323</v>
      </c>
      <c r="E189" s="122">
        <v>43834</v>
      </c>
      <c r="F189" s="122">
        <v>46997</v>
      </c>
      <c r="G189" s="123">
        <v>48445</v>
      </c>
      <c r="H189" s="457" t="s">
        <v>22</v>
      </c>
      <c r="I189" s="879"/>
      <c r="J189" s="1033"/>
      <c r="K189" s="1033"/>
      <c r="L189" s="1033"/>
      <c r="M189" s="1033"/>
      <c r="N189" s="1034"/>
    </row>
    <row r="190" spans="1:14" s="890" customFormat="1" ht="18" customHeight="1">
      <c r="A190" s="455">
        <v>156</v>
      </c>
      <c r="B190" s="884"/>
      <c r="C190" s="885"/>
      <c r="D190" s="886" t="s">
        <v>283</v>
      </c>
      <c r="E190" s="887"/>
      <c r="F190" s="887"/>
      <c r="G190" s="888"/>
      <c r="H190" s="889"/>
      <c r="I190" s="879">
        <f>SUM(J190:N190)</f>
        <v>39750</v>
      </c>
      <c r="J190" s="880"/>
      <c r="K190" s="880"/>
      <c r="L190" s="880">
        <v>39750</v>
      </c>
      <c r="M190" s="880"/>
      <c r="N190" s="881"/>
    </row>
    <row r="191" spans="1:14" s="890" customFormat="1" ht="18" customHeight="1">
      <c r="A191" s="455">
        <v>157</v>
      </c>
      <c r="B191" s="884"/>
      <c r="C191" s="885"/>
      <c r="D191" s="483" t="s">
        <v>938</v>
      </c>
      <c r="E191" s="887"/>
      <c r="F191" s="887"/>
      <c r="G191" s="888"/>
      <c r="H191" s="889"/>
      <c r="I191" s="1238">
        <f>SUM(J191:N191)</f>
        <v>39750</v>
      </c>
      <c r="J191" s="1245"/>
      <c r="K191" s="1245"/>
      <c r="L191" s="1245">
        <v>39750</v>
      </c>
      <c r="M191" s="880"/>
      <c r="N191" s="881"/>
    </row>
    <row r="192" spans="1:14" s="890" customFormat="1" ht="18" customHeight="1">
      <c r="A192" s="455">
        <v>158</v>
      </c>
      <c r="B192" s="884"/>
      <c r="C192" s="885"/>
      <c r="D192" s="1146" t="s">
        <v>674</v>
      </c>
      <c r="E192" s="887"/>
      <c r="F192" s="887"/>
      <c r="G192" s="888"/>
      <c r="H192" s="889"/>
      <c r="I192" s="1241">
        <f>SUM(J192:N192)</f>
        <v>0</v>
      </c>
      <c r="J192" s="880"/>
      <c r="K192" s="880"/>
      <c r="L192" s="880"/>
      <c r="M192" s="880"/>
      <c r="N192" s="881"/>
    </row>
    <row r="193" spans="1:14" s="890" customFormat="1" ht="18" customHeight="1">
      <c r="A193" s="455">
        <v>159</v>
      </c>
      <c r="B193" s="884"/>
      <c r="C193" s="885"/>
      <c r="D193" s="483" t="s">
        <v>1091</v>
      </c>
      <c r="E193" s="887"/>
      <c r="F193" s="887"/>
      <c r="G193" s="888"/>
      <c r="H193" s="889"/>
      <c r="I193" s="1238">
        <f>SUM(J193:N193)</f>
        <v>39750</v>
      </c>
      <c r="J193" s="880"/>
      <c r="K193" s="880"/>
      <c r="L193" s="1245">
        <f>SUM(L191:L192)</f>
        <v>39750</v>
      </c>
      <c r="M193" s="880"/>
      <c r="N193" s="881"/>
    </row>
    <row r="194" spans="1:16" s="3" customFormat="1" ht="22.5" customHeight="1">
      <c r="A194" s="455">
        <v>160</v>
      </c>
      <c r="B194" s="119"/>
      <c r="C194" s="120">
        <v>39</v>
      </c>
      <c r="D194" s="450" t="s">
        <v>65</v>
      </c>
      <c r="E194" s="122">
        <v>2920</v>
      </c>
      <c r="F194" s="122">
        <v>2125</v>
      </c>
      <c r="G194" s="123">
        <v>1829</v>
      </c>
      <c r="H194" s="457" t="s">
        <v>22</v>
      </c>
      <c r="I194" s="1043"/>
      <c r="J194" s="1044"/>
      <c r="K194" s="1044"/>
      <c r="L194" s="1044"/>
      <c r="M194" s="1044"/>
      <c r="N194" s="1045"/>
      <c r="O194" s="8"/>
      <c r="P194" s="8"/>
    </row>
    <row r="195" spans="1:14" s="890" customFormat="1" ht="18" customHeight="1">
      <c r="A195" s="455">
        <v>161</v>
      </c>
      <c r="B195" s="884"/>
      <c r="C195" s="885"/>
      <c r="D195" s="886" t="s">
        <v>283</v>
      </c>
      <c r="E195" s="887"/>
      <c r="F195" s="887"/>
      <c r="G195" s="888"/>
      <c r="H195" s="889"/>
      <c r="I195" s="879">
        <f>SUM(J195:N195)</f>
        <v>1250</v>
      </c>
      <c r="J195" s="880"/>
      <c r="K195" s="880"/>
      <c r="L195" s="880">
        <v>1250</v>
      </c>
      <c r="M195" s="880"/>
      <c r="N195" s="881"/>
    </row>
    <row r="196" spans="1:14" s="890" customFormat="1" ht="18" customHeight="1">
      <c r="A196" s="455">
        <v>162</v>
      </c>
      <c r="B196" s="884"/>
      <c r="C196" s="885"/>
      <c r="D196" s="483" t="s">
        <v>938</v>
      </c>
      <c r="E196" s="887"/>
      <c r="F196" s="887"/>
      <c r="G196" s="888"/>
      <c r="H196" s="889"/>
      <c r="I196" s="1238">
        <f>SUM(J196:N196)</f>
        <v>1546</v>
      </c>
      <c r="J196" s="1245"/>
      <c r="K196" s="1245"/>
      <c r="L196" s="1245">
        <v>1546</v>
      </c>
      <c r="M196" s="880"/>
      <c r="N196" s="881"/>
    </row>
    <row r="197" spans="1:14" s="890" customFormat="1" ht="18" customHeight="1">
      <c r="A197" s="455">
        <v>163</v>
      </c>
      <c r="B197" s="884"/>
      <c r="C197" s="885"/>
      <c r="D197" s="1146" t="s">
        <v>725</v>
      </c>
      <c r="E197" s="887"/>
      <c r="F197" s="887"/>
      <c r="G197" s="888"/>
      <c r="H197" s="889"/>
      <c r="I197" s="1241">
        <f>SUM(J197:N197)</f>
        <v>0</v>
      </c>
      <c r="J197" s="880"/>
      <c r="K197" s="880"/>
      <c r="L197" s="1247"/>
      <c r="M197" s="880"/>
      <c r="N197" s="881"/>
    </row>
    <row r="198" spans="1:14" s="890" customFormat="1" ht="18" customHeight="1">
      <c r="A198" s="455">
        <v>164</v>
      </c>
      <c r="B198" s="884"/>
      <c r="C198" s="885"/>
      <c r="D198" s="483" t="s">
        <v>1091</v>
      </c>
      <c r="E198" s="887"/>
      <c r="F198" s="887"/>
      <c r="G198" s="888"/>
      <c r="H198" s="889"/>
      <c r="I198" s="1238">
        <f>SUM(J198:N198)</f>
        <v>1546</v>
      </c>
      <c r="J198" s="880"/>
      <c r="K198" s="880"/>
      <c r="L198" s="1245">
        <f>SUM(L196:L197)</f>
        <v>1546</v>
      </c>
      <c r="M198" s="880"/>
      <c r="N198" s="881"/>
    </row>
    <row r="199" spans="1:14" s="890" customFormat="1" ht="22.5" customHeight="1">
      <c r="A199" s="455">
        <v>165</v>
      </c>
      <c r="B199" s="884"/>
      <c r="C199" s="120">
        <v>40</v>
      </c>
      <c r="D199" s="450" t="s">
        <v>641</v>
      </c>
      <c r="E199" s="887"/>
      <c r="F199" s="887"/>
      <c r="G199" s="888"/>
      <c r="H199" s="457" t="s">
        <v>23</v>
      </c>
      <c r="I199" s="879"/>
      <c r="J199" s="880"/>
      <c r="K199" s="880"/>
      <c r="L199" s="880"/>
      <c r="M199" s="880"/>
      <c r="N199" s="881"/>
    </row>
    <row r="200" spans="1:14" s="890" customFormat="1" ht="18" customHeight="1">
      <c r="A200" s="455">
        <v>166</v>
      </c>
      <c r="B200" s="884"/>
      <c r="C200" s="125"/>
      <c r="D200" s="886" t="s">
        <v>283</v>
      </c>
      <c r="E200" s="887"/>
      <c r="F200" s="887"/>
      <c r="G200" s="888"/>
      <c r="H200" s="457"/>
      <c r="I200" s="879">
        <f>SUM(J200:N200)</f>
        <v>50000</v>
      </c>
      <c r="J200" s="880"/>
      <c r="K200" s="880"/>
      <c r="L200" s="880">
        <v>50000</v>
      </c>
      <c r="M200" s="880"/>
      <c r="N200" s="881"/>
    </row>
    <row r="201" spans="1:14" s="890" customFormat="1" ht="18" customHeight="1">
      <c r="A201" s="455">
        <v>167</v>
      </c>
      <c r="B201" s="884"/>
      <c r="C201" s="125"/>
      <c r="D201" s="483" t="s">
        <v>938</v>
      </c>
      <c r="E201" s="887"/>
      <c r="F201" s="887"/>
      <c r="G201" s="888"/>
      <c r="H201" s="457"/>
      <c r="I201" s="1238">
        <f>SUM(J201:N201)</f>
        <v>0</v>
      </c>
      <c r="J201" s="1245"/>
      <c r="K201" s="1245"/>
      <c r="L201" s="1245">
        <v>0</v>
      </c>
      <c r="M201" s="880"/>
      <c r="N201" s="881"/>
    </row>
    <row r="202" spans="1:14" s="890" customFormat="1" ht="18" customHeight="1">
      <c r="A202" s="455">
        <v>168</v>
      </c>
      <c r="B202" s="884"/>
      <c r="C202" s="125"/>
      <c r="D202" s="1146" t="s">
        <v>725</v>
      </c>
      <c r="E202" s="887"/>
      <c r="F202" s="887"/>
      <c r="G202" s="888"/>
      <c r="H202" s="457"/>
      <c r="I202" s="1241">
        <f>SUM(J202:N202)</f>
        <v>0</v>
      </c>
      <c r="J202" s="880"/>
      <c r="K202" s="880"/>
      <c r="L202" s="1247"/>
      <c r="M202" s="880"/>
      <c r="N202" s="881"/>
    </row>
    <row r="203" spans="1:14" s="890" customFormat="1" ht="18" customHeight="1">
      <c r="A203" s="455">
        <v>169</v>
      </c>
      <c r="B203" s="884"/>
      <c r="C203" s="125"/>
      <c r="D203" s="483" t="s">
        <v>1091</v>
      </c>
      <c r="E203" s="887"/>
      <c r="F203" s="887"/>
      <c r="G203" s="888"/>
      <c r="H203" s="457"/>
      <c r="I203" s="1238">
        <f>SUM(J203:N203)</f>
        <v>0</v>
      </c>
      <c r="J203" s="880"/>
      <c r="K203" s="880"/>
      <c r="L203" s="1245">
        <f>SUM(L201:L202)</f>
        <v>0</v>
      </c>
      <c r="M203" s="880"/>
      <c r="N203" s="881"/>
    </row>
    <row r="204" spans="1:14" s="890" customFormat="1" ht="22.5" customHeight="1">
      <c r="A204" s="455">
        <v>170</v>
      </c>
      <c r="B204" s="884"/>
      <c r="C204" s="120">
        <v>41</v>
      </c>
      <c r="D204" s="450" t="s">
        <v>642</v>
      </c>
      <c r="E204" s="887"/>
      <c r="F204" s="887"/>
      <c r="G204" s="888"/>
      <c r="H204" s="457" t="s">
        <v>23</v>
      </c>
      <c r="I204" s="879"/>
      <c r="J204" s="880"/>
      <c r="K204" s="880"/>
      <c r="L204" s="880"/>
      <c r="M204" s="880"/>
      <c r="N204" s="881"/>
    </row>
    <row r="205" spans="1:14" s="890" customFormat="1" ht="18" customHeight="1">
      <c r="A205" s="455">
        <v>171</v>
      </c>
      <c r="B205" s="884"/>
      <c r="C205" s="885"/>
      <c r="D205" s="886" t="s">
        <v>283</v>
      </c>
      <c r="E205" s="887"/>
      <c r="F205" s="887"/>
      <c r="G205" s="888"/>
      <c r="H205" s="889"/>
      <c r="I205" s="879">
        <f>SUM(J205:N205)</f>
        <v>3200</v>
      </c>
      <c r="J205" s="880"/>
      <c r="K205" s="880"/>
      <c r="L205" s="880">
        <v>3200</v>
      </c>
      <c r="M205" s="880"/>
      <c r="N205" s="881"/>
    </row>
    <row r="206" spans="1:14" s="890" customFormat="1" ht="18" customHeight="1">
      <c r="A206" s="455">
        <v>172</v>
      </c>
      <c r="B206" s="884"/>
      <c r="C206" s="885"/>
      <c r="D206" s="483" t="s">
        <v>938</v>
      </c>
      <c r="E206" s="887"/>
      <c r="F206" s="887"/>
      <c r="G206" s="888"/>
      <c r="H206" s="889"/>
      <c r="I206" s="1238">
        <f>SUM(J206:N206)</f>
        <v>3200</v>
      </c>
      <c r="J206" s="1245"/>
      <c r="K206" s="1245"/>
      <c r="L206" s="1245">
        <v>3200</v>
      </c>
      <c r="M206" s="880"/>
      <c r="N206" s="881"/>
    </row>
    <row r="207" spans="1:14" s="890" customFormat="1" ht="18" customHeight="1">
      <c r="A207" s="455">
        <v>173</v>
      </c>
      <c r="B207" s="884"/>
      <c r="C207" s="885"/>
      <c r="D207" s="1146" t="s">
        <v>674</v>
      </c>
      <c r="E207" s="887"/>
      <c r="F207" s="887"/>
      <c r="G207" s="888"/>
      <c r="H207" s="889"/>
      <c r="I207" s="1241">
        <f>SUM(J207:N207)</f>
        <v>0</v>
      </c>
      <c r="J207" s="880"/>
      <c r="K207" s="880"/>
      <c r="L207" s="880"/>
      <c r="M207" s="880"/>
      <c r="N207" s="881"/>
    </row>
    <row r="208" spans="1:14" s="890" customFormat="1" ht="18" customHeight="1">
      <c r="A208" s="455">
        <v>174</v>
      </c>
      <c r="B208" s="884"/>
      <c r="C208" s="885"/>
      <c r="D208" s="483" t="s">
        <v>1091</v>
      </c>
      <c r="E208" s="887"/>
      <c r="F208" s="887"/>
      <c r="G208" s="888"/>
      <c r="H208" s="889"/>
      <c r="I208" s="1238">
        <f>SUM(J208:N208)</f>
        <v>3200</v>
      </c>
      <c r="J208" s="880"/>
      <c r="K208" s="880"/>
      <c r="L208" s="1245">
        <f>SUM(L206:L207)</f>
        <v>3200</v>
      </c>
      <c r="M208" s="880"/>
      <c r="N208" s="881"/>
    </row>
    <row r="209" spans="1:16" s="87" customFormat="1" ht="22.5" customHeight="1">
      <c r="A209" s="455">
        <v>175</v>
      </c>
      <c r="B209" s="451"/>
      <c r="C209" s="120">
        <v>42</v>
      </c>
      <c r="D209" s="450" t="s">
        <v>11</v>
      </c>
      <c r="E209" s="122">
        <v>38100</v>
      </c>
      <c r="F209" s="122">
        <v>38100</v>
      </c>
      <c r="G209" s="123">
        <v>38100</v>
      </c>
      <c r="H209" s="457" t="s">
        <v>23</v>
      </c>
      <c r="I209" s="1043"/>
      <c r="J209" s="1044"/>
      <c r="K209" s="1044"/>
      <c r="L209" s="1044"/>
      <c r="M209" s="1044"/>
      <c r="N209" s="1045"/>
      <c r="O209" s="446"/>
      <c r="P209" s="446"/>
    </row>
    <row r="210" spans="1:14" s="890" customFormat="1" ht="18" customHeight="1">
      <c r="A210" s="455">
        <v>176</v>
      </c>
      <c r="B210" s="884"/>
      <c r="C210" s="885"/>
      <c r="D210" s="886" t="s">
        <v>283</v>
      </c>
      <c r="E210" s="887"/>
      <c r="F210" s="887"/>
      <c r="G210" s="888"/>
      <c r="H210" s="889"/>
      <c r="I210" s="879">
        <f>SUM(J210:N210)</f>
        <v>9525</v>
      </c>
      <c r="J210" s="880"/>
      <c r="K210" s="880"/>
      <c r="L210" s="880">
        <f>100+9425</f>
        <v>9525</v>
      </c>
      <c r="M210" s="880"/>
      <c r="N210" s="881"/>
    </row>
    <row r="211" spans="1:14" s="890" customFormat="1" ht="18" customHeight="1">
      <c r="A211" s="455">
        <v>177</v>
      </c>
      <c r="B211" s="884"/>
      <c r="C211" s="885"/>
      <c r="D211" s="483" t="s">
        <v>938</v>
      </c>
      <c r="E211" s="887"/>
      <c r="F211" s="887"/>
      <c r="G211" s="888"/>
      <c r="H211" s="889"/>
      <c r="I211" s="1238">
        <f>SUM(J211:N211)</f>
        <v>9525</v>
      </c>
      <c r="J211" s="1245"/>
      <c r="K211" s="1245"/>
      <c r="L211" s="1245">
        <v>9525</v>
      </c>
      <c r="M211" s="880"/>
      <c r="N211" s="881"/>
    </row>
    <row r="212" spans="1:14" s="890" customFormat="1" ht="18" customHeight="1">
      <c r="A212" s="455">
        <v>178</v>
      </c>
      <c r="B212" s="884"/>
      <c r="C212" s="885"/>
      <c r="D212" s="1146" t="s">
        <v>674</v>
      </c>
      <c r="E212" s="887"/>
      <c r="F212" s="887"/>
      <c r="G212" s="888"/>
      <c r="H212" s="889"/>
      <c r="I212" s="1241">
        <f>SUM(J212:N212)</f>
        <v>0</v>
      </c>
      <c r="J212" s="880"/>
      <c r="K212" s="880"/>
      <c r="L212" s="880"/>
      <c r="M212" s="880"/>
      <c r="N212" s="881"/>
    </row>
    <row r="213" spans="1:14" s="890" customFormat="1" ht="18" customHeight="1">
      <c r="A213" s="455">
        <v>179</v>
      </c>
      <c r="B213" s="884"/>
      <c r="C213" s="885"/>
      <c r="D213" s="483" t="s">
        <v>1091</v>
      </c>
      <c r="E213" s="887"/>
      <c r="F213" s="887"/>
      <c r="G213" s="888"/>
      <c r="H213" s="889"/>
      <c r="I213" s="1238">
        <f>SUM(J213:N213)</f>
        <v>9525</v>
      </c>
      <c r="J213" s="880"/>
      <c r="K213" s="880"/>
      <c r="L213" s="1245">
        <f>SUM(L211:L212)</f>
        <v>9525</v>
      </c>
      <c r="M213" s="880"/>
      <c r="N213" s="881"/>
    </row>
    <row r="214" spans="1:16" s="87" customFormat="1" ht="22.5" customHeight="1">
      <c r="A214" s="455">
        <v>180</v>
      </c>
      <c r="B214" s="451"/>
      <c r="C214" s="120">
        <v>43</v>
      </c>
      <c r="D214" s="450" t="s">
        <v>66</v>
      </c>
      <c r="E214" s="122">
        <v>4366</v>
      </c>
      <c r="F214" s="122">
        <v>4250</v>
      </c>
      <c r="G214" s="123">
        <v>1624</v>
      </c>
      <c r="H214" s="457" t="s">
        <v>23</v>
      </c>
      <c r="I214" s="1043"/>
      <c r="J214" s="1044"/>
      <c r="K214" s="1044"/>
      <c r="L214" s="1044"/>
      <c r="M214" s="1044"/>
      <c r="N214" s="1045"/>
      <c r="O214" s="446"/>
      <c r="P214" s="446"/>
    </row>
    <row r="215" spans="1:14" s="890" customFormat="1" ht="18" customHeight="1">
      <c r="A215" s="455">
        <v>181</v>
      </c>
      <c r="B215" s="884"/>
      <c r="C215" s="885"/>
      <c r="D215" s="886" t="s">
        <v>283</v>
      </c>
      <c r="E215" s="887"/>
      <c r="F215" s="887"/>
      <c r="G215" s="888"/>
      <c r="H215" s="889"/>
      <c r="I215" s="879">
        <f>SUM(J215:N215)</f>
        <v>5000</v>
      </c>
      <c r="J215" s="880"/>
      <c r="K215" s="880"/>
      <c r="L215" s="880">
        <v>5000</v>
      </c>
      <c r="M215" s="880"/>
      <c r="N215" s="881"/>
    </row>
    <row r="216" spans="1:14" s="890" customFormat="1" ht="18" customHeight="1">
      <c r="A216" s="455">
        <v>182</v>
      </c>
      <c r="B216" s="884"/>
      <c r="C216" s="885"/>
      <c r="D216" s="483" t="s">
        <v>938</v>
      </c>
      <c r="E216" s="887"/>
      <c r="F216" s="887"/>
      <c r="G216" s="888"/>
      <c r="H216" s="889"/>
      <c r="I216" s="1238">
        <f>SUM(J216:N216)</f>
        <v>7426</v>
      </c>
      <c r="J216" s="1245"/>
      <c r="K216" s="1245"/>
      <c r="L216" s="1245">
        <v>7426</v>
      </c>
      <c r="M216" s="880"/>
      <c r="N216" s="881"/>
    </row>
    <row r="217" spans="1:14" s="890" customFormat="1" ht="18" customHeight="1">
      <c r="A217" s="455">
        <v>183</v>
      </c>
      <c r="B217" s="884"/>
      <c r="C217" s="885"/>
      <c r="D217" s="1146" t="s">
        <v>725</v>
      </c>
      <c r="E217" s="887"/>
      <c r="F217" s="887"/>
      <c r="G217" s="888"/>
      <c r="H217" s="889"/>
      <c r="I217" s="1241">
        <f>SUM(J217:N217)</f>
        <v>0</v>
      </c>
      <c r="J217" s="880"/>
      <c r="K217" s="880"/>
      <c r="L217" s="1247"/>
      <c r="M217" s="880"/>
      <c r="N217" s="881"/>
    </row>
    <row r="218" spans="1:14" s="890" customFormat="1" ht="18" customHeight="1">
      <c r="A218" s="455">
        <v>184</v>
      </c>
      <c r="B218" s="884"/>
      <c r="C218" s="885"/>
      <c r="D218" s="483" t="s">
        <v>1091</v>
      </c>
      <c r="E218" s="887"/>
      <c r="F218" s="887"/>
      <c r="G218" s="888"/>
      <c r="H218" s="889"/>
      <c r="I218" s="1238">
        <f>SUM(J218:N218)</f>
        <v>7426</v>
      </c>
      <c r="J218" s="880"/>
      <c r="K218" s="880"/>
      <c r="L218" s="1245">
        <f>SUM(L216:L217)</f>
        <v>7426</v>
      </c>
      <c r="M218" s="880"/>
      <c r="N218" s="881"/>
    </row>
    <row r="219" spans="1:16" s="87" customFormat="1" ht="22.5" customHeight="1">
      <c r="A219" s="455">
        <v>185</v>
      </c>
      <c r="B219" s="451"/>
      <c r="C219" s="120">
        <v>44</v>
      </c>
      <c r="D219" s="450" t="s">
        <v>67</v>
      </c>
      <c r="E219" s="122">
        <f>SUM(E224,E229,E230,E231)</f>
        <v>6240</v>
      </c>
      <c r="F219" s="122">
        <f>SUM(F224,F229,F230,F231)</f>
        <v>9435</v>
      </c>
      <c r="G219" s="123">
        <f>SUM(G224,G229,G230,G231)</f>
        <v>0</v>
      </c>
      <c r="H219" s="457" t="s">
        <v>23</v>
      </c>
      <c r="I219" s="1043"/>
      <c r="J219" s="1044"/>
      <c r="K219" s="1044"/>
      <c r="L219" s="1044"/>
      <c r="M219" s="1044"/>
      <c r="N219" s="1045"/>
      <c r="O219" s="446"/>
      <c r="P219" s="446"/>
    </row>
    <row r="220" spans="1:14" s="890" customFormat="1" ht="18" customHeight="1">
      <c r="A220" s="455">
        <v>186</v>
      </c>
      <c r="B220" s="884"/>
      <c r="C220" s="885"/>
      <c r="D220" s="886" t="s">
        <v>283</v>
      </c>
      <c r="E220" s="887"/>
      <c r="F220" s="887"/>
      <c r="G220" s="888"/>
      <c r="H220" s="889"/>
      <c r="I220" s="879">
        <f>SUM(J220:N220)</f>
        <v>3100</v>
      </c>
      <c r="J220" s="883">
        <f>SUM(J225,J232)</f>
        <v>0</v>
      </c>
      <c r="K220" s="883">
        <f aca="true" t="shared" si="3" ref="K220:N221">SUM(K225,K232)</f>
        <v>0</v>
      </c>
      <c r="L220" s="883">
        <f t="shared" si="3"/>
        <v>0</v>
      </c>
      <c r="M220" s="883">
        <f t="shared" si="3"/>
        <v>0</v>
      </c>
      <c r="N220" s="1071">
        <f t="shared" si="3"/>
        <v>3100</v>
      </c>
    </row>
    <row r="221" spans="1:14" s="890" customFormat="1" ht="18" customHeight="1">
      <c r="A221" s="455">
        <v>187</v>
      </c>
      <c r="B221" s="884"/>
      <c r="C221" s="885"/>
      <c r="D221" s="483" t="s">
        <v>938</v>
      </c>
      <c r="E221" s="887"/>
      <c r="F221" s="887"/>
      <c r="G221" s="888"/>
      <c r="H221" s="889"/>
      <c r="I221" s="1238">
        <f>SUM(J221:N221)</f>
        <v>600</v>
      </c>
      <c r="J221" s="1250">
        <f>SUM(J226,J233)</f>
        <v>0</v>
      </c>
      <c r="K221" s="1250">
        <f t="shared" si="3"/>
        <v>0</v>
      </c>
      <c r="L221" s="1250">
        <f t="shared" si="3"/>
        <v>0</v>
      </c>
      <c r="M221" s="1250">
        <f t="shared" si="3"/>
        <v>0</v>
      </c>
      <c r="N221" s="1266">
        <f t="shared" si="3"/>
        <v>600</v>
      </c>
    </row>
    <row r="222" spans="1:14" s="890" customFormat="1" ht="18" customHeight="1">
      <c r="A222" s="455">
        <v>188</v>
      </c>
      <c r="B222" s="884"/>
      <c r="C222" s="885"/>
      <c r="D222" s="1146" t="s">
        <v>674</v>
      </c>
      <c r="E222" s="887"/>
      <c r="F222" s="887"/>
      <c r="G222" s="888"/>
      <c r="H222" s="889"/>
      <c r="I222" s="1241">
        <f>SUM(J222:N222)</f>
        <v>0</v>
      </c>
      <c r="J222" s="1252">
        <f>J227+J234</f>
        <v>0</v>
      </c>
      <c r="K222" s="1252">
        <f>K227+K234</f>
        <v>0</v>
      </c>
      <c r="L222" s="1252">
        <f>L227+L234</f>
        <v>0</v>
      </c>
      <c r="M222" s="1252">
        <f>M227+M234</f>
        <v>0</v>
      </c>
      <c r="N222" s="1267">
        <f>N227+N234</f>
        <v>0</v>
      </c>
    </row>
    <row r="223" spans="1:14" s="890" customFormat="1" ht="18" customHeight="1">
      <c r="A223" s="455">
        <v>189</v>
      </c>
      <c r="B223" s="884"/>
      <c r="C223" s="885"/>
      <c r="D223" s="483" t="s">
        <v>1091</v>
      </c>
      <c r="E223" s="887"/>
      <c r="F223" s="887"/>
      <c r="G223" s="888"/>
      <c r="H223" s="889"/>
      <c r="I223" s="1238">
        <f>SUM(J223:N223)</f>
        <v>600</v>
      </c>
      <c r="J223" s="1250">
        <f>SUM(J221:J222)</f>
        <v>0</v>
      </c>
      <c r="K223" s="1250">
        <f>SUM(K221:K222)</f>
        <v>0</v>
      </c>
      <c r="L223" s="1250">
        <f>SUM(L221:L222)</f>
        <v>0</v>
      </c>
      <c r="M223" s="1250">
        <f>SUM(M221:M222)</f>
        <v>0</v>
      </c>
      <c r="N223" s="1266">
        <f>SUM(N221:N222)</f>
        <v>600</v>
      </c>
    </row>
    <row r="224" spans="1:16" s="464" customFormat="1" ht="18" customHeight="1">
      <c r="A224" s="455">
        <v>190</v>
      </c>
      <c r="B224" s="129"/>
      <c r="C224" s="125"/>
      <c r="D224" s="344" t="s">
        <v>68</v>
      </c>
      <c r="E224" s="122"/>
      <c r="F224" s="130">
        <v>4250</v>
      </c>
      <c r="G224" s="131">
        <v>0</v>
      </c>
      <c r="H224" s="458"/>
      <c r="I224" s="882"/>
      <c r="J224" s="1044"/>
      <c r="K224" s="1044"/>
      <c r="L224" s="1044"/>
      <c r="M224" s="1044"/>
      <c r="N224" s="1042"/>
      <c r="P224" s="465"/>
    </row>
    <row r="225" spans="1:16" s="909" customFormat="1" ht="18" customHeight="1">
      <c r="A225" s="455">
        <v>191</v>
      </c>
      <c r="B225" s="897"/>
      <c r="C225" s="885"/>
      <c r="D225" s="907" t="s">
        <v>283</v>
      </c>
      <c r="E225" s="887"/>
      <c r="F225" s="899"/>
      <c r="G225" s="900"/>
      <c r="H225" s="901"/>
      <c r="I225" s="882">
        <f>SUM(J225:N225)</f>
        <v>2500</v>
      </c>
      <c r="J225" s="902"/>
      <c r="K225" s="902"/>
      <c r="L225" s="902"/>
      <c r="M225" s="902"/>
      <c r="N225" s="903">
        <v>2500</v>
      </c>
      <c r="P225" s="910"/>
    </row>
    <row r="226" spans="1:16" s="909" customFormat="1" ht="18" customHeight="1">
      <c r="A226" s="455">
        <v>192</v>
      </c>
      <c r="B226" s="897"/>
      <c r="C226" s="885"/>
      <c r="D226" s="1237" t="s">
        <v>938</v>
      </c>
      <c r="E226" s="887"/>
      <c r="F226" s="899"/>
      <c r="G226" s="900"/>
      <c r="H226" s="901"/>
      <c r="I226" s="882">
        <f>SUM(J226:N226)</f>
        <v>0</v>
      </c>
      <c r="J226" s="902"/>
      <c r="K226" s="902"/>
      <c r="L226" s="902"/>
      <c r="M226" s="902"/>
      <c r="N226" s="903">
        <v>0</v>
      </c>
      <c r="P226" s="910"/>
    </row>
    <row r="227" spans="1:16" s="909" customFormat="1" ht="18" customHeight="1">
      <c r="A227" s="455">
        <v>193</v>
      </c>
      <c r="B227" s="897"/>
      <c r="C227" s="885"/>
      <c r="D227" s="1237" t="s">
        <v>725</v>
      </c>
      <c r="E227" s="887"/>
      <c r="F227" s="899"/>
      <c r="G227" s="900"/>
      <c r="H227" s="901"/>
      <c r="I227" s="1241">
        <f>SUM(J227:N227)</f>
        <v>0</v>
      </c>
      <c r="J227" s="902"/>
      <c r="K227" s="902"/>
      <c r="L227" s="902"/>
      <c r="M227" s="902"/>
      <c r="N227" s="1246"/>
      <c r="P227" s="910"/>
    </row>
    <row r="228" spans="1:16" s="909" customFormat="1" ht="18" customHeight="1">
      <c r="A228" s="455">
        <v>194</v>
      </c>
      <c r="B228" s="897"/>
      <c r="C228" s="885"/>
      <c r="D228" s="1237" t="s">
        <v>1091</v>
      </c>
      <c r="E228" s="887"/>
      <c r="F228" s="899"/>
      <c r="G228" s="900"/>
      <c r="H228" s="901"/>
      <c r="I228" s="1240">
        <f>SUM(J228:N228)</f>
        <v>0</v>
      </c>
      <c r="J228" s="902"/>
      <c r="K228" s="902"/>
      <c r="L228" s="902"/>
      <c r="M228" s="902"/>
      <c r="N228" s="1249">
        <f>SUM(N226:N227)</f>
        <v>0</v>
      </c>
      <c r="P228" s="910"/>
    </row>
    <row r="229" spans="1:16" s="464" customFormat="1" ht="18" customHeight="1">
      <c r="A229" s="455">
        <v>195</v>
      </c>
      <c r="B229" s="129"/>
      <c r="C229" s="125"/>
      <c r="D229" s="344" t="s">
        <v>69</v>
      </c>
      <c r="E229" s="130">
        <v>5140</v>
      </c>
      <c r="F229" s="130">
        <v>4250</v>
      </c>
      <c r="G229" s="131">
        <v>0</v>
      </c>
      <c r="H229" s="458"/>
      <c r="I229" s="1043"/>
      <c r="J229" s="1044"/>
      <c r="K229" s="1044"/>
      <c r="L229" s="1044"/>
      <c r="M229" s="1044"/>
      <c r="N229" s="1045"/>
      <c r="P229" s="465"/>
    </row>
    <row r="230" spans="1:16" s="464" customFormat="1" ht="18" customHeight="1">
      <c r="A230" s="455">
        <v>196</v>
      </c>
      <c r="B230" s="129"/>
      <c r="C230" s="125"/>
      <c r="D230" s="344" t="s">
        <v>497</v>
      </c>
      <c r="E230" s="130">
        <v>500</v>
      </c>
      <c r="F230" s="130">
        <v>425</v>
      </c>
      <c r="G230" s="131">
        <v>0</v>
      </c>
      <c r="H230" s="458"/>
      <c r="I230" s="1043"/>
      <c r="J230" s="1044"/>
      <c r="K230" s="1044"/>
      <c r="L230" s="1044"/>
      <c r="M230" s="1044"/>
      <c r="N230" s="1045"/>
      <c r="P230" s="465"/>
    </row>
    <row r="231" spans="1:16" s="464" customFormat="1" ht="18" customHeight="1">
      <c r="A231" s="455">
        <v>197</v>
      </c>
      <c r="B231" s="129"/>
      <c r="C231" s="125"/>
      <c r="D231" s="344" t="s">
        <v>498</v>
      </c>
      <c r="E231" s="130">
        <v>600</v>
      </c>
      <c r="F231" s="130">
        <v>510</v>
      </c>
      <c r="G231" s="131">
        <v>0</v>
      </c>
      <c r="H231" s="458"/>
      <c r="I231" s="1043"/>
      <c r="J231" s="1044"/>
      <c r="K231" s="1044"/>
      <c r="L231" s="1044"/>
      <c r="M231" s="1044"/>
      <c r="N231" s="1045"/>
      <c r="P231" s="465"/>
    </row>
    <row r="232" spans="1:16" s="909" customFormat="1" ht="18" customHeight="1">
      <c r="A232" s="455">
        <v>198</v>
      </c>
      <c r="B232" s="897"/>
      <c r="C232" s="885"/>
      <c r="D232" s="907" t="s">
        <v>283</v>
      </c>
      <c r="E232" s="887"/>
      <c r="F232" s="899"/>
      <c r="G232" s="900"/>
      <c r="H232" s="901"/>
      <c r="I232" s="882">
        <f>SUM(J232:N232)</f>
        <v>600</v>
      </c>
      <c r="J232" s="902"/>
      <c r="K232" s="902"/>
      <c r="L232" s="902"/>
      <c r="M232" s="902"/>
      <c r="N232" s="903">
        <v>600</v>
      </c>
      <c r="P232" s="910"/>
    </row>
    <row r="233" spans="1:16" s="909" customFormat="1" ht="18" customHeight="1">
      <c r="A233" s="455">
        <v>199</v>
      </c>
      <c r="B233" s="897"/>
      <c r="C233" s="885"/>
      <c r="D233" s="1237" t="s">
        <v>938</v>
      </c>
      <c r="E233" s="887"/>
      <c r="F233" s="899"/>
      <c r="G233" s="900"/>
      <c r="H233" s="901"/>
      <c r="I233" s="1240">
        <f>SUM(J233:N233)</f>
        <v>600</v>
      </c>
      <c r="J233" s="902"/>
      <c r="K233" s="902"/>
      <c r="L233" s="902"/>
      <c r="M233" s="902"/>
      <c r="N233" s="1249">
        <v>600</v>
      </c>
      <c r="P233" s="910"/>
    </row>
    <row r="234" spans="1:16" s="909" customFormat="1" ht="18" customHeight="1">
      <c r="A234" s="455">
        <v>200</v>
      </c>
      <c r="B234" s="897"/>
      <c r="C234" s="885"/>
      <c r="D234" s="1237" t="s">
        <v>674</v>
      </c>
      <c r="E234" s="887"/>
      <c r="F234" s="899"/>
      <c r="G234" s="900"/>
      <c r="H234" s="901"/>
      <c r="I234" s="1241">
        <f>SUM(J234:N234)</f>
        <v>0</v>
      </c>
      <c r="J234" s="902"/>
      <c r="K234" s="902"/>
      <c r="L234" s="902"/>
      <c r="M234" s="902"/>
      <c r="N234" s="903"/>
      <c r="P234" s="910"/>
    </row>
    <row r="235" spans="1:16" s="909" customFormat="1" ht="18" customHeight="1">
      <c r="A235" s="455">
        <v>201</v>
      </c>
      <c r="B235" s="897"/>
      <c r="C235" s="885"/>
      <c r="D235" s="1237" t="s">
        <v>1091</v>
      </c>
      <c r="E235" s="887"/>
      <c r="F235" s="899"/>
      <c r="G235" s="900"/>
      <c r="H235" s="901"/>
      <c r="I235" s="1240">
        <f>SUM(J235:N235)</f>
        <v>600</v>
      </c>
      <c r="J235" s="902"/>
      <c r="K235" s="902"/>
      <c r="L235" s="902"/>
      <c r="M235" s="902"/>
      <c r="N235" s="1249">
        <f>SUM(N233:N234)</f>
        <v>600</v>
      </c>
      <c r="P235" s="910"/>
    </row>
    <row r="236" spans="1:16" s="87" customFormat="1" ht="22.5" customHeight="1">
      <c r="A236" s="455">
        <v>202</v>
      </c>
      <c r="B236" s="451"/>
      <c r="C236" s="120">
        <v>45</v>
      </c>
      <c r="D236" s="450" t="s">
        <v>324</v>
      </c>
      <c r="E236" s="122">
        <f>SUM(E241,E244,E249,E250)</f>
        <v>13522</v>
      </c>
      <c r="F236" s="122">
        <f>SUM(F241,F244,F249,F250)</f>
        <v>20060</v>
      </c>
      <c r="G236" s="123">
        <f>SUM(G241,G244,G249,G250)</f>
        <v>5555</v>
      </c>
      <c r="H236" s="457" t="s">
        <v>23</v>
      </c>
      <c r="I236" s="1043"/>
      <c r="J236" s="1044"/>
      <c r="K236" s="1044"/>
      <c r="L236" s="1044"/>
      <c r="M236" s="1044"/>
      <c r="N236" s="1045"/>
      <c r="O236" s="446"/>
      <c r="P236" s="446"/>
    </row>
    <row r="237" spans="1:14" s="890" customFormat="1" ht="18" customHeight="1">
      <c r="A237" s="455">
        <v>203</v>
      </c>
      <c r="B237" s="884"/>
      <c r="C237" s="885"/>
      <c r="D237" s="886" t="s">
        <v>283</v>
      </c>
      <c r="E237" s="887"/>
      <c r="F237" s="887"/>
      <c r="G237" s="888"/>
      <c r="H237" s="889"/>
      <c r="I237" s="879">
        <f>SUM(J237:N237)</f>
        <v>4200</v>
      </c>
      <c r="J237" s="883">
        <f>SUM(J245,J251)</f>
        <v>0</v>
      </c>
      <c r="K237" s="883">
        <f aca="true" t="shared" si="4" ref="K237:N238">SUM(K245,K251)</f>
        <v>0</v>
      </c>
      <c r="L237" s="883">
        <f t="shared" si="4"/>
        <v>100</v>
      </c>
      <c r="M237" s="883">
        <f t="shared" si="4"/>
        <v>0</v>
      </c>
      <c r="N237" s="1071">
        <f t="shared" si="4"/>
        <v>4100</v>
      </c>
    </row>
    <row r="238" spans="1:14" s="890" customFormat="1" ht="18" customHeight="1">
      <c r="A238" s="455">
        <v>204</v>
      </c>
      <c r="B238" s="884"/>
      <c r="C238" s="885"/>
      <c r="D238" s="1679" t="s">
        <v>938</v>
      </c>
      <c r="E238" s="887"/>
      <c r="F238" s="887"/>
      <c r="G238" s="888"/>
      <c r="H238" s="889"/>
      <c r="I238" s="1238">
        <f>SUM(J238:N238)</f>
        <v>4200</v>
      </c>
      <c r="J238" s="1250">
        <f>SUM(J246,J252)</f>
        <v>0</v>
      </c>
      <c r="K238" s="1250">
        <f t="shared" si="4"/>
        <v>0</v>
      </c>
      <c r="L238" s="1250">
        <f t="shared" si="4"/>
        <v>100</v>
      </c>
      <c r="M238" s="1250">
        <f t="shared" si="4"/>
        <v>0</v>
      </c>
      <c r="N238" s="1266">
        <f t="shared" si="4"/>
        <v>4100</v>
      </c>
    </row>
    <row r="239" spans="1:14" s="890" customFormat="1" ht="18" customHeight="1">
      <c r="A239" s="455">
        <v>205</v>
      </c>
      <c r="B239" s="884"/>
      <c r="C239" s="885"/>
      <c r="D239" s="1146" t="s">
        <v>674</v>
      </c>
      <c r="E239" s="887"/>
      <c r="F239" s="887"/>
      <c r="G239" s="888"/>
      <c r="H239" s="889"/>
      <c r="I239" s="1241">
        <f>SUM(J239:N239)</f>
        <v>-500</v>
      </c>
      <c r="J239" s="1252">
        <f>J247+J253+J242</f>
        <v>0</v>
      </c>
      <c r="K239" s="1252">
        <f>K247+K253+K242</f>
        <v>0</v>
      </c>
      <c r="L239" s="1252">
        <f>L247+L253+L242</f>
        <v>2000</v>
      </c>
      <c r="M239" s="1252">
        <f>M247+M253+M242</f>
        <v>0</v>
      </c>
      <c r="N239" s="1267">
        <f>N247+N253+N242</f>
        <v>-2500</v>
      </c>
    </row>
    <row r="240" spans="1:14" s="890" customFormat="1" ht="18" customHeight="1">
      <c r="A240" s="455">
        <v>206</v>
      </c>
      <c r="B240" s="884"/>
      <c r="C240" s="885"/>
      <c r="D240" s="483" t="s">
        <v>1091</v>
      </c>
      <c r="E240" s="887"/>
      <c r="F240" s="887"/>
      <c r="G240" s="888"/>
      <c r="H240" s="889"/>
      <c r="I240" s="1238">
        <f>SUM(J240:N240)</f>
        <v>3700</v>
      </c>
      <c r="J240" s="1250">
        <f>SUM(J238:J239)</f>
        <v>0</v>
      </c>
      <c r="K240" s="1250">
        <f>SUM(K238:K239)</f>
        <v>0</v>
      </c>
      <c r="L240" s="1250">
        <f>SUM(L238:L239)</f>
        <v>2100</v>
      </c>
      <c r="M240" s="1250">
        <f>SUM(M238:M239)</f>
        <v>0</v>
      </c>
      <c r="N240" s="1266">
        <f>SUM(N238:N239)</f>
        <v>1600</v>
      </c>
    </row>
    <row r="241" spans="1:16" s="464" customFormat="1" ht="18" customHeight="1">
      <c r="A241" s="455">
        <v>207</v>
      </c>
      <c r="B241" s="129"/>
      <c r="C241" s="125"/>
      <c r="D241" s="344" t="s">
        <v>259</v>
      </c>
      <c r="E241" s="130">
        <v>4000</v>
      </c>
      <c r="F241" s="130">
        <v>3400</v>
      </c>
      <c r="G241" s="131">
        <v>0</v>
      </c>
      <c r="H241" s="458"/>
      <c r="I241" s="882"/>
      <c r="J241" s="1041"/>
      <c r="K241" s="1041"/>
      <c r="L241" s="1041"/>
      <c r="M241" s="1041"/>
      <c r="N241" s="1042"/>
      <c r="P241" s="465"/>
    </row>
    <row r="242" spans="1:16" s="464" customFormat="1" ht="18" customHeight="1">
      <c r="A242" s="455">
        <v>208</v>
      </c>
      <c r="B242" s="129"/>
      <c r="C242" s="125"/>
      <c r="D242" s="1237" t="s">
        <v>689</v>
      </c>
      <c r="E242" s="130"/>
      <c r="F242" s="130"/>
      <c r="G242" s="131"/>
      <c r="H242" s="458"/>
      <c r="I242" s="1241">
        <f>SUM(J242:N242)</f>
        <v>2000</v>
      </c>
      <c r="J242" s="1041"/>
      <c r="K242" s="1041"/>
      <c r="L242" s="1247">
        <v>2000</v>
      </c>
      <c r="M242" s="1041"/>
      <c r="N242" s="1042"/>
      <c r="P242" s="465"/>
    </row>
    <row r="243" spans="1:16" s="464" customFormat="1" ht="18" customHeight="1">
      <c r="A243" s="455">
        <v>209</v>
      </c>
      <c r="B243" s="129"/>
      <c r="C243" s="125"/>
      <c r="D243" s="1237" t="s">
        <v>1091</v>
      </c>
      <c r="E243" s="130"/>
      <c r="F243" s="130"/>
      <c r="G243" s="131"/>
      <c r="H243" s="458"/>
      <c r="I243" s="1240">
        <f>SUM(J243:N243)</f>
        <v>2000</v>
      </c>
      <c r="J243" s="1041"/>
      <c r="K243" s="1041"/>
      <c r="L243" s="1248">
        <f>SUM(L242)</f>
        <v>2000</v>
      </c>
      <c r="M243" s="1041"/>
      <c r="N243" s="1042"/>
      <c r="P243" s="465"/>
    </row>
    <row r="244" spans="1:16" s="464" customFormat="1" ht="18" customHeight="1">
      <c r="A244" s="455">
        <v>210</v>
      </c>
      <c r="B244" s="129"/>
      <c r="C244" s="125"/>
      <c r="D244" s="344" t="s">
        <v>300</v>
      </c>
      <c r="E244" s="130">
        <v>5100</v>
      </c>
      <c r="F244" s="130">
        <v>11900</v>
      </c>
      <c r="G244" s="131">
        <v>5555</v>
      </c>
      <c r="H244" s="458"/>
      <c r="I244" s="882"/>
      <c r="J244" s="1044"/>
      <c r="K244" s="1044"/>
      <c r="L244" s="1044"/>
      <c r="M244" s="1044"/>
      <c r="N244" s="1045"/>
      <c r="P244" s="465"/>
    </row>
    <row r="245" spans="1:16" s="909" customFormat="1" ht="18" customHeight="1">
      <c r="A245" s="455">
        <v>211</v>
      </c>
      <c r="B245" s="897"/>
      <c r="C245" s="885"/>
      <c r="D245" s="907" t="s">
        <v>283</v>
      </c>
      <c r="E245" s="899"/>
      <c r="F245" s="899"/>
      <c r="G245" s="900"/>
      <c r="H245" s="901"/>
      <c r="I245" s="882">
        <f>SUM(J245:N245)</f>
        <v>2500</v>
      </c>
      <c r="J245" s="902"/>
      <c r="K245" s="902"/>
      <c r="L245" s="902"/>
      <c r="M245" s="902"/>
      <c r="N245" s="903">
        <v>2500</v>
      </c>
      <c r="P245" s="910"/>
    </row>
    <row r="246" spans="1:16" s="909" customFormat="1" ht="18" customHeight="1">
      <c r="A246" s="455">
        <v>212</v>
      </c>
      <c r="B246" s="897"/>
      <c r="C246" s="885"/>
      <c r="D246" s="1237" t="s">
        <v>938</v>
      </c>
      <c r="E246" s="899"/>
      <c r="F246" s="899"/>
      <c r="G246" s="900"/>
      <c r="H246" s="901"/>
      <c r="I246" s="1240">
        <f>SUM(J246:N246)</f>
        <v>2500</v>
      </c>
      <c r="J246" s="1248"/>
      <c r="K246" s="1248"/>
      <c r="L246" s="1248"/>
      <c r="M246" s="1248"/>
      <c r="N246" s="1249">
        <v>2500</v>
      </c>
      <c r="P246" s="910"/>
    </row>
    <row r="247" spans="1:16" s="909" customFormat="1" ht="18" customHeight="1">
      <c r="A247" s="455">
        <v>213</v>
      </c>
      <c r="B247" s="897"/>
      <c r="C247" s="885"/>
      <c r="D247" s="1237" t="s">
        <v>689</v>
      </c>
      <c r="E247" s="899"/>
      <c r="F247" s="899"/>
      <c r="G247" s="900"/>
      <c r="H247" s="901"/>
      <c r="I247" s="1241">
        <f>SUM(J247:N247)</f>
        <v>-2500</v>
      </c>
      <c r="J247" s="902"/>
      <c r="K247" s="902"/>
      <c r="L247" s="902"/>
      <c r="M247" s="902"/>
      <c r="N247" s="1246">
        <v>-2500</v>
      </c>
      <c r="P247" s="910"/>
    </row>
    <row r="248" spans="1:16" s="909" customFormat="1" ht="18" customHeight="1">
      <c r="A248" s="455">
        <v>214</v>
      </c>
      <c r="B248" s="897"/>
      <c r="C248" s="885"/>
      <c r="D248" s="1237" t="s">
        <v>1091</v>
      </c>
      <c r="E248" s="899"/>
      <c r="F248" s="899"/>
      <c r="G248" s="900"/>
      <c r="H248" s="901"/>
      <c r="I248" s="1240">
        <f>SUM(J248:N248)</f>
        <v>0</v>
      </c>
      <c r="J248" s="902"/>
      <c r="K248" s="902"/>
      <c r="L248" s="902"/>
      <c r="M248" s="902"/>
      <c r="N248" s="1249">
        <f>SUM(N246:N247)</f>
        <v>0</v>
      </c>
      <c r="P248" s="910"/>
    </row>
    <row r="249" spans="1:16" s="464" customFormat="1" ht="18" customHeight="1">
      <c r="A249" s="455">
        <v>215</v>
      </c>
      <c r="B249" s="129"/>
      <c r="C249" s="125"/>
      <c r="D249" s="344" t="s">
        <v>261</v>
      </c>
      <c r="E249" s="130">
        <v>2822</v>
      </c>
      <c r="F249" s="130">
        <v>3400</v>
      </c>
      <c r="G249" s="131">
        <v>0</v>
      </c>
      <c r="H249" s="458"/>
      <c r="I249" s="882"/>
      <c r="J249" s="1044"/>
      <c r="K249" s="1044"/>
      <c r="L249" s="1044"/>
      <c r="M249" s="1044"/>
      <c r="N249" s="1045"/>
      <c r="P249" s="465"/>
    </row>
    <row r="250" spans="1:16" s="464" customFormat="1" ht="18" customHeight="1">
      <c r="A250" s="455">
        <v>216</v>
      </c>
      <c r="B250" s="129"/>
      <c r="C250" s="125"/>
      <c r="D250" s="344" t="s">
        <v>260</v>
      </c>
      <c r="E250" s="130">
        <v>1600</v>
      </c>
      <c r="F250" s="130">
        <v>1360</v>
      </c>
      <c r="G250" s="131">
        <v>0</v>
      </c>
      <c r="H250" s="458"/>
      <c r="I250" s="882"/>
      <c r="J250" s="1044"/>
      <c r="K250" s="1044"/>
      <c r="L250" s="1044"/>
      <c r="M250" s="1044"/>
      <c r="N250" s="1045"/>
      <c r="P250" s="465"/>
    </row>
    <row r="251" spans="1:16" s="909" customFormat="1" ht="18" customHeight="1">
      <c r="A251" s="455">
        <v>217</v>
      </c>
      <c r="B251" s="897"/>
      <c r="C251" s="885"/>
      <c r="D251" s="907" t="s">
        <v>283</v>
      </c>
      <c r="E251" s="887"/>
      <c r="F251" s="899"/>
      <c r="G251" s="900"/>
      <c r="H251" s="901"/>
      <c r="I251" s="882">
        <f>SUM(J251:N251)</f>
        <v>1700</v>
      </c>
      <c r="J251" s="902"/>
      <c r="K251" s="902"/>
      <c r="L251" s="902">
        <v>100</v>
      </c>
      <c r="M251" s="902"/>
      <c r="N251" s="903">
        <v>1600</v>
      </c>
      <c r="P251" s="910"/>
    </row>
    <row r="252" spans="1:16" s="909" customFormat="1" ht="18" customHeight="1">
      <c r="A252" s="455">
        <v>218</v>
      </c>
      <c r="B252" s="897"/>
      <c r="C252" s="885"/>
      <c r="D252" s="1237" t="s">
        <v>938</v>
      </c>
      <c r="E252" s="887"/>
      <c r="F252" s="899"/>
      <c r="G252" s="900"/>
      <c r="H252" s="901"/>
      <c r="I252" s="1240">
        <f>SUM(J252:N252)</f>
        <v>1700</v>
      </c>
      <c r="J252" s="1248"/>
      <c r="K252" s="1248"/>
      <c r="L252" s="1248">
        <v>100</v>
      </c>
      <c r="M252" s="1248"/>
      <c r="N252" s="1249">
        <v>1600</v>
      </c>
      <c r="P252" s="910"/>
    </row>
    <row r="253" spans="1:16" s="909" customFormat="1" ht="18" customHeight="1">
      <c r="A253" s="455">
        <v>219</v>
      </c>
      <c r="B253" s="897"/>
      <c r="C253" s="885"/>
      <c r="D253" s="1237" t="s">
        <v>674</v>
      </c>
      <c r="E253" s="887"/>
      <c r="F253" s="899"/>
      <c r="G253" s="900"/>
      <c r="H253" s="901"/>
      <c r="I253" s="1241">
        <f>SUM(J253:N253)</f>
        <v>0</v>
      </c>
      <c r="J253" s="902"/>
      <c r="K253" s="902"/>
      <c r="L253" s="902"/>
      <c r="M253" s="902"/>
      <c r="N253" s="903"/>
      <c r="P253" s="910"/>
    </row>
    <row r="254" spans="1:16" s="909" customFormat="1" ht="18" customHeight="1">
      <c r="A254" s="455">
        <v>220</v>
      </c>
      <c r="B254" s="897"/>
      <c r="C254" s="885"/>
      <c r="D254" s="1237" t="s">
        <v>1091</v>
      </c>
      <c r="E254" s="887"/>
      <c r="F254" s="899"/>
      <c r="G254" s="900"/>
      <c r="H254" s="901"/>
      <c r="I254" s="1240">
        <f>SUM(J254:N254)</f>
        <v>1700</v>
      </c>
      <c r="J254" s="902"/>
      <c r="K254" s="902"/>
      <c r="L254" s="1248">
        <f>SUM(L252:L253)</f>
        <v>100</v>
      </c>
      <c r="M254" s="1248"/>
      <c r="N254" s="1249">
        <f>SUM(N252:N253)</f>
        <v>1600</v>
      </c>
      <c r="P254" s="910"/>
    </row>
    <row r="255" spans="1:16" s="115" customFormat="1" ht="22.5" customHeight="1">
      <c r="A255" s="455">
        <v>221</v>
      </c>
      <c r="B255" s="452"/>
      <c r="C255" s="120">
        <v>46</v>
      </c>
      <c r="D255" s="450" t="s">
        <v>356</v>
      </c>
      <c r="E255" s="122">
        <v>4667</v>
      </c>
      <c r="F255" s="130">
        <v>4250</v>
      </c>
      <c r="G255" s="131">
        <v>0</v>
      </c>
      <c r="H255" s="457" t="s">
        <v>23</v>
      </c>
      <c r="I255" s="882"/>
      <c r="J255" s="1041"/>
      <c r="K255" s="1041"/>
      <c r="L255" s="1041"/>
      <c r="M255" s="1041"/>
      <c r="N255" s="1042"/>
      <c r="P255" s="446"/>
    </row>
    <row r="256" spans="1:16" s="904" customFormat="1" ht="18" customHeight="1">
      <c r="A256" s="455">
        <v>222</v>
      </c>
      <c r="B256" s="897"/>
      <c r="C256" s="885"/>
      <c r="D256" s="886" t="s">
        <v>283</v>
      </c>
      <c r="E256" s="887"/>
      <c r="F256" s="899"/>
      <c r="G256" s="900"/>
      <c r="H256" s="901"/>
      <c r="I256" s="879">
        <f>SUM(J256:N256)</f>
        <v>5000</v>
      </c>
      <c r="J256" s="902"/>
      <c r="K256" s="902"/>
      <c r="L256" s="902"/>
      <c r="M256" s="902"/>
      <c r="N256" s="903">
        <v>5000</v>
      </c>
      <c r="P256" s="890"/>
    </row>
    <row r="257" spans="1:16" s="904" customFormat="1" ht="18" customHeight="1">
      <c r="A257" s="455">
        <v>223</v>
      </c>
      <c r="B257" s="897"/>
      <c r="C257" s="885"/>
      <c r="D257" s="1679" t="s">
        <v>938</v>
      </c>
      <c r="E257" s="887"/>
      <c r="F257" s="899"/>
      <c r="G257" s="900"/>
      <c r="H257" s="901"/>
      <c r="I257" s="1238">
        <f>SUM(J257:N257)</f>
        <v>5000</v>
      </c>
      <c r="J257" s="902"/>
      <c r="K257" s="902"/>
      <c r="L257" s="902"/>
      <c r="M257" s="902"/>
      <c r="N257" s="1249">
        <v>5000</v>
      </c>
      <c r="P257" s="890"/>
    </row>
    <row r="258" spans="1:16" s="904" customFormat="1" ht="18" customHeight="1">
      <c r="A258" s="455">
        <v>224</v>
      </c>
      <c r="B258" s="897"/>
      <c r="C258" s="885"/>
      <c r="D258" s="1146" t="s">
        <v>674</v>
      </c>
      <c r="E258" s="887"/>
      <c r="F258" s="899"/>
      <c r="G258" s="900"/>
      <c r="H258" s="901"/>
      <c r="I258" s="1241">
        <f>SUM(J258:N258)</f>
        <v>0</v>
      </c>
      <c r="J258" s="902"/>
      <c r="K258" s="902"/>
      <c r="L258" s="902"/>
      <c r="M258" s="902"/>
      <c r="N258" s="903"/>
      <c r="P258" s="890"/>
    </row>
    <row r="259" spans="1:16" s="904" customFormat="1" ht="18" customHeight="1">
      <c r="A259" s="455">
        <v>225</v>
      </c>
      <c r="B259" s="897"/>
      <c r="C259" s="885"/>
      <c r="D259" s="483" t="s">
        <v>1091</v>
      </c>
      <c r="E259" s="887"/>
      <c r="F259" s="899"/>
      <c r="G259" s="900"/>
      <c r="H259" s="901"/>
      <c r="I259" s="1238">
        <f>SUM(J259:N259)</f>
        <v>5000</v>
      </c>
      <c r="J259" s="902"/>
      <c r="K259" s="902"/>
      <c r="L259" s="902"/>
      <c r="M259" s="902"/>
      <c r="N259" s="1251">
        <f>SUM(N257:N258)</f>
        <v>5000</v>
      </c>
      <c r="P259" s="890"/>
    </row>
    <row r="260" spans="1:16" s="87" customFormat="1" ht="22.5" customHeight="1">
      <c r="A260" s="455">
        <v>226</v>
      </c>
      <c r="B260" s="451"/>
      <c r="C260" s="120">
        <v>47</v>
      </c>
      <c r="D260" s="450" t="s">
        <v>325</v>
      </c>
      <c r="E260" s="122">
        <v>938</v>
      </c>
      <c r="F260" s="122">
        <v>1700</v>
      </c>
      <c r="G260" s="123">
        <v>829</v>
      </c>
      <c r="H260" s="457" t="s">
        <v>22</v>
      </c>
      <c r="I260" s="882"/>
      <c r="J260" s="1044"/>
      <c r="K260" s="1044"/>
      <c r="L260" s="1044"/>
      <c r="M260" s="1044"/>
      <c r="N260" s="1045"/>
      <c r="O260" s="446"/>
      <c r="P260" s="446"/>
    </row>
    <row r="261" spans="1:14" s="890" customFormat="1" ht="18" customHeight="1">
      <c r="A261" s="455">
        <v>227</v>
      </c>
      <c r="B261" s="884"/>
      <c r="C261" s="885"/>
      <c r="D261" s="886" t="s">
        <v>283</v>
      </c>
      <c r="E261" s="887"/>
      <c r="F261" s="887"/>
      <c r="G261" s="888"/>
      <c r="H261" s="889"/>
      <c r="I261" s="879">
        <f>SUM(J261:N261)</f>
        <v>1000</v>
      </c>
      <c r="J261" s="880"/>
      <c r="K261" s="880"/>
      <c r="L261" s="880"/>
      <c r="M261" s="880">
        <v>1000</v>
      </c>
      <c r="N261" s="881"/>
    </row>
    <row r="262" spans="1:14" s="890" customFormat="1" ht="18" customHeight="1">
      <c r="A262" s="455">
        <v>228</v>
      </c>
      <c r="B262" s="884"/>
      <c r="C262" s="885"/>
      <c r="D262" s="1679" t="s">
        <v>938</v>
      </c>
      <c r="E262" s="887"/>
      <c r="F262" s="887"/>
      <c r="G262" s="888"/>
      <c r="H262" s="889"/>
      <c r="I262" s="1238">
        <f>SUM(J262:N262)</f>
        <v>1000</v>
      </c>
      <c r="J262" s="1245"/>
      <c r="K262" s="1245"/>
      <c r="L262" s="1245"/>
      <c r="M262" s="1245">
        <v>1000</v>
      </c>
      <c r="N262" s="881"/>
    </row>
    <row r="263" spans="1:14" s="890" customFormat="1" ht="18" customHeight="1">
      <c r="A263" s="455">
        <v>229</v>
      </c>
      <c r="B263" s="884"/>
      <c r="C263" s="885"/>
      <c r="D263" s="1146" t="s">
        <v>674</v>
      </c>
      <c r="E263" s="887"/>
      <c r="F263" s="887"/>
      <c r="G263" s="888"/>
      <c r="H263" s="889"/>
      <c r="I263" s="1241">
        <f>SUM(J263:N263)</f>
        <v>0</v>
      </c>
      <c r="J263" s="880"/>
      <c r="K263" s="880"/>
      <c r="L263" s="880"/>
      <c r="M263" s="880"/>
      <c r="N263" s="881"/>
    </row>
    <row r="264" spans="1:14" s="890" customFormat="1" ht="18" customHeight="1">
      <c r="A264" s="455">
        <v>230</v>
      </c>
      <c r="B264" s="884"/>
      <c r="C264" s="885"/>
      <c r="D264" s="483" t="s">
        <v>1091</v>
      </c>
      <c r="E264" s="887"/>
      <c r="F264" s="887"/>
      <c r="G264" s="888"/>
      <c r="H264" s="889"/>
      <c r="I264" s="1238">
        <f>SUM(J264:N264)</f>
        <v>1000</v>
      </c>
      <c r="J264" s="880"/>
      <c r="K264" s="880"/>
      <c r="L264" s="880"/>
      <c r="M264" s="1245">
        <f>SUM(M262:M263)</f>
        <v>1000</v>
      </c>
      <c r="N264" s="881"/>
    </row>
    <row r="265" spans="1:16" s="87" customFormat="1" ht="22.5" customHeight="1">
      <c r="A265" s="455">
        <v>231</v>
      </c>
      <c r="B265" s="451"/>
      <c r="C265" s="120">
        <v>48</v>
      </c>
      <c r="D265" s="450" t="s">
        <v>262</v>
      </c>
      <c r="E265" s="122"/>
      <c r="F265" s="122">
        <v>85</v>
      </c>
      <c r="G265" s="123">
        <v>0</v>
      </c>
      <c r="H265" s="457" t="s">
        <v>22</v>
      </c>
      <c r="I265" s="879"/>
      <c r="J265" s="1033"/>
      <c r="K265" s="1033"/>
      <c r="L265" s="1033"/>
      <c r="M265" s="1033"/>
      <c r="N265" s="1034"/>
      <c r="P265" s="446"/>
    </row>
    <row r="266" spans="1:14" s="890" customFormat="1" ht="18" customHeight="1">
      <c r="A266" s="455">
        <v>232</v>
      </c>
      <c r="B266" s="884"/>
      <c r="C266" s="885"/>
      <c r="D266" s="886" t="s">
        <v>283</v>
      </c>
      <c r="E266" s="887"/>
      <c r="F266" s="887"/>
      <c r="G266" s="888"/>
      <c r="H266" s="889"/>
      <c r="I266" s="879">
        <f>SUM(J266:N266)</f>
        <v>100</v>
      </c>
      <c r="J266" s="880"/>
      <c r="K266" s="880"/>
      <c r="L266" s="880"/>
      <c r="M266" s="880">
        <v>100</v>
      </c>
      <c r="N266" s="881"/>
    </row>
    <row r="267" spans="1:14" s="890" customFormat="1" ht="18" customHeight="1">
      <c r="A267" s="455">
        <v>233</v>
      </c>
      <c r="B267" s="884"/>
      <c r="C267" s="885"/>
      <c r="D267" s="1679" t="s">
        <v>938</v>
      </c>
      <c r="E267" s="887"/>
      <c r="F267" s="887"/>
      <c r="G267" s="888"/>
      <c r="H267" s="893"/>
      <c r="I267" s="1238">
        <f>SUM(J267:N267)</f>
        <v>100</v>
      </c>
      <c r="J267" s="1245"/>
      <c r="K267" s="1245"/>
      <c r="L267" s="1245"/>
      <c r="M267" s="1245">
        <v>100</v>
      </c>
      <c r="N267" s="881"/>
    </row>
    <row r="268" spans="1:14" s="890" customFormat="1" ht="18" customHeight="1">
      <c r="A268" s="455">
        <v>234</v>
      </c>
      <c r="B268" s="884"/>
      <c r="C268" s="885"/>
      <c r="D268" s="1146" t="s">
        <v>674</v>
      </c>
      <c r="E268" s="887"/>
      <c r="F268" s="887"/>
      <c r="G268" s="888"/>
      <c r="H268" s="893"/>
      <c r="I268" s="1241">
        <f>SUM(J268:N268)</f>
        <v>0</v>
      </c>
      <c r="J268" s="880"/>
      <c r="K268" s="880"/>
      <c r="L268" s="880"/>
      <c r="M268" s="880"/>
      <c r="N268" s="881"/>
    </row>
    <row r="269" spans="1:14" s="890" customFormat="1" ht="18" customHeight="1">
      <c r="A269" s="455">
        <v>235</v>
      </c>
      <c r="B269" s="884"/>
      <c r="C269" s="885"/>
      <c r="D269" s="483" t="s">
        <v>1091</v>
      </c>
      <c r="E269" s="887"/>
      <c r="F269" s="887"/>
      <c r="G269" s="888"/>
      <c r="H269" s="893"/>
      <c r="I269" s="1238">
        <f>SUM(J269:N269)</f>
        <v>100</v>
      </c>
      <c r="J269" s="880"/>
      <c r="K269" s="880"/>
      <c r="L269" s="880"/>
      <c r="M269" s="1245">
        <f>SUM(M267:M268)</f>
        <v>100</v>
      </c>
      <c r="N269" s="881"/>
    </row>
    <row r="270" spans="1:14" s="446" customFormat="1" ht="22.5" customHeight="1">
      <c r="A270" s="455">
        <v>236</v>
      </c>
      <c r="B270" s="448"/>
      <c r="C270" s="120">
        <v>49</v>
      </c>
      <c r="D270" s="449" t="s">
        <v>326</v>
      </c>
      <c r="E270" s="122"/>
      <c r="F270" s="122">
        <v>85</v>
      </c>
      <c r="G270" s="123">
        <v>0</v>
      </c>
      <c r="H270" s="459" t="s">
        <v>22</v>
      </c>
      <c r="I270" s="879"/>
      <c r="J270" s="1033"/>
      <c r="K270" s="1033"/>
      <c r="L270" s="1033"/>
      <c r="M270" s="1033"/>
      <c r="N270" s="1034"/>
    </row>
    <row r="271" spans="1:14" s="890" customFormat="1" ht="18" customHeight="1">
      <c r="A271" s="455">
        <v>237</v>
      </c>
      <c r="B271" s="884"/>
      <c r="C271" s="885"/>
      <c r="D271" s="886" t="s">
        <v>283</v>
      </c>
      <c r="E271" s="887"/>
      <c r="F271" s="887"/>
      <c r="G271" s="888"/>
      <c r="H271" s="893"/>
      <c r="I271" s="879">
        <f>SUM(J271:N271)</f>
        <v>85</v>
      </c>
      <c r="J271" s="880"/>
      <c r="K271" s="880"/>
      <c r="L271" s="880">
        <v>85</v>
      </c>
      <c r="M271" s="880"/>
      <c r="N271" s="881"/>
    </row>
    <row r="272" spans="1:14" s="890" customFormat="1" ht="18" customHeight="1">
      <c r="A272" s="455">
        <v>238</v>
      </c>
      <c r="B272" s="884"/>
      <c r="C272" s="885"/>
      <c r="D272" s="1679" t="s">
        <v>938</v>
      </c>
      <c r="E272" s="887"/>
      <c r="F272" s="887"/>
      <c r="G272" s="888"/>
      <c r="H272" s="893"/>
      <c r="I272" s="1238">
        <f>SUM(J272:N272)</f>
        <v>85</v>
      </c>
      <c r="J272" s="1245"/>
      <c r="K272" s="1245"/>
      <c r="L272" s="1245">
        <v>85</v>
      </c>
      <c r="M272" s="1245"/>
      <c r="N272" s="881"/>
    </row>
    <row r="273" spans="1:14" s="890" customFormat="1" ht="18" customHeight="1">
      <c r="A273" s="455">
        <v>239</v>
      </c>
      <c r="B273" s="884"/>
      <c r="C273" s="885"/>
      <c r="D273" s="1146" t="s">
        <v>674</v>
      </c>
      <c r="E273" s="887"/>
      <c r="F273" s="887"/>
      <c r="G273" s="888"/>
      <c r="H273" s="893"/>
      <c r="I273" s="1241">
        <f>SUM(J273:N273)</f>
        <v>0</v>
      </c>
      <c r="J273" s="880"/>
      <c r="K273" s="880"/>
      <c r="L273" s="880"/>
      <c r="M273" s="880"/>
      <c r="N273" s="881"/>
    </row>
    <row r="274" spans="1:14" s="890" customFormat="1" ht="18" customHeight="1">
      <c r="A274" s="455">
        <v>240</v>
      </c>
      <c r="B274" s="884"/>
      <c r="C274" s="885"/>
      <c r="D274" s="483" t="s">
        <v>1091</v>
      </c>
      <c r="E274" s="887"/>
      <c r="F274" s="887"/>
      <c r="G274" s="888"/>
      <c r="H274" s="893"/>
      <c r="I274" s="1238">
        <f>SUM(J274:N274)</f>
        <v>85</v>
      </c>
      <c r="J274" s="880"/>
      <c r="K274" s="880"/>
      <c r="L274" s="1245">
        <f>SUM(L272:L273)</f>
        <v>85</v>
      </c>
      <c r="M274" s="880"/>
      <c r="N274" s="881"/>
    </row>
    <row r="275" spans="1:16" s="976" customFormat="1" ht="22.5" customHeight="1">
      <c r="A275" s="455">
        <v>241</v>
      </c>
      <c r="B275" s="451"/>
      <c r="C275" s="120">
        <v>50</v>
      </c>
      <c r="D275" s="450" t="s">
        <v>263</v>
      </c>
      <c r="E275" s="122">
        <f>SUM(E280,E295,E300,E305,E310,E315,E320,E325)+E290+E285</f>
        <v>11293</v>
      </c>
      <c r="F275" s="122">
        <f>SUM(F280,F295,F300,F305,F310,F315,F320,F325)+F290+F285</f>
        <v>17553</v>
      </c>
      <c r="G275" s="122">
        <f>SUM(G280,G295,G300,G305,G310,G315,G320,G325)+G290+G285</f>
        <v>14479</v>
      </c>
      <c r="H275" s="457"/>
      <c r="I275" s="1038"/>
      <c r="J275" s="1039"/>
      <c r="K275" s="1039"/>
      <c r="L275" s="1039"/>
      <c r="M275" s="1039"/>
      <c r="N275" s="1040"/>
      <c r="O275" s="977"/>
      <c r="P275" s="977"/>
    </row>
    <row r="276" spans="1:14" s="890" customFormat="1" ht="18" customHeight="1">
      <c r="A276" s="455">
        <v>242</v>
      </c>
      <c r="B276" s="884"/>
      <c r="C276" s="885"/>
      <c r="D276" s="886" t="s">
        <v>283</v>
      </c>
      <c r="E276" s="887"/>
      <c r="F276" s="887"/>
      <c r="G276" s="888"/>
      <c r="H276" s="889"/>
      <c r="I276" s="879">
        <f>SUM(J276:N276)</f>
        <v>30260</v>
      </c>
      <c r="J276" s="880">
        <f aca="true" t="shared" si="5" ref="J276:N277">SUM(J281,J296,J301,J306,J311,J316,J321,J326)+J286+J291</f>
        <v>0</v>
      </c>
      <c r="K276" s="880">
        <f t="shared" si="5"/>
        <v>0</v>
      </c>
      <c r="L276" s="880">
        <f t="shared" si="5"/>
        <v>0</v>
      </c>
      <c r="M276" s="880">
        <f>SUM(M281,M296,M301,M306,M311,M316,M321,M326)+M286+M291</f>
        <v>30260</v>
      </c>
      <c r="N276" s="881">
        <f>SUM(N281,N296,N301,N306,N311,N316,N321,N326)+N286+N291</f>
        <v>0</v>
      </c>
    </row>
    <row r="277" spans="1:14" s="890" customFormat="1" ht="18" customHeight="1">
      <c r="A277" s="455">
        <v>243</v>
      </c>
      <c r="B277" s="884"/>
      <c r="C277" s="885"/>
      <c r="D277" s="1679" t="s">
        <v>938</v>
      </c>
      <c r="E277" s="887"/>
      <c r="F277" s="887"/>
      <c r="G277" s="888"/>
      <c r="H277" s="889"/>
      <c r="I277" s="1238">
        <f>SUM(J277:N277)</f>
        <v>41218</v>
      </c>
      <c r="J277" s="1245">
        <f t="shared" si="5"/>
        <v>0</v>
      </c>
      <c r="K277" s="1245">
        <f t="shared" si="5"/>
        <v>0</v>
      </c>
      <c r="L277" s="1245">
        <f t="shared" si="5"/>
        <v>0</v>
      </c>
      <c r="M277" s="1245">
        <f t="shared" si="5"/>
        <v>41218</v>
      </c>
      <c r="N277" s="1251">
        <f t="shared" si="5"/>
        <v>0</v>
      </c>
    </row>
    <row r="278" spans="1:14" s="890" customFormat="1" ht="18" customHeight="1">
      <c r="A278" s="455">
        <v>244</v>
      </c>
      <c r="B278" s="884"/>
      <c r="C278" s="885"/>
      <c r="D278" s="1146" t="s">
        <v>674</v>
      </c>
      <c r="E278" s="887"/>
      <c r="F278" s="887"/>
      <c r="G278" s="888"/>
      <c r="H278" s="889"/>
      <c r="I278" s="1241">
        <f>SUM(J278:N278)</f>
        <v>0</v>
      </c>
      <c r="J278" s="902">
        <f>J283+J288+J293+J298+J303+J308+J313+J318+J323+J328</f>
        <v>0</v>
      </c>
      <c r="K278" s="902">
        <f>K283+K288+K293+K298+K303+K308+K313+K318+K323+K328</f>
        <v>0</v>
      </c>
      <c r="L278" s="902">
        <f>L283+L288+L293+L298+L303+L308+L313+L318+L323+L328</f>
        <v>0</v>
      </c>
      <c r="M278" s="902">
        <f>M283+M288+M293+M298+M303+M308+M313+M318+M323+M328</f>
        <v>0</v>
      </c>
      <c r="N278" s="903">
        <f>N283+N288+N293+N298+N303+N308+N313+N318+N323+N328</f>
        <v>0</v>
      </c>
    </row>
    <row r="279" spans="1:14" s="890" customFormat="1" ht="18" customHeight="1">
      <c r="A279" s="455">
        <v>245</v>
      </c>
      <c r="B279" s="884"/>
      <c r="C279" s="885"/>
      <c r="D279" s="483" t="s">
        <v>1091</v>
      </c>
      <c r="E279" s="887"/>
      <c r="F279" s="887"/>
      <c r="G279" s="888"/>
      <c r="H279" s="889"/>
      <c r="I279" s="1238">
        <f>SUM(J279:N279)</f>
        <v>41218</v>
      </c>
      <c r="J279" s="1245">
        <f>SUM(J277:J278)</f>
        <v>0</v>
      </c>
      <c r="K279" s="1245">
        <f>SUM(K277:K278)</f>
        <v>0</v>
      </c>
      <c r="L279" s="1245">
        <f>SUM(L277:L278)</f>
        <v>0</v>
      </c>
      <c r="M279" s="1245">
        <f>SUM(M277:M278)</f>
        <v>41218</v>
      </c>
      <c r="N279" s="1251">
        <f>SUM(N277:N278)</f>
        <v>0</v>
      </c>
    </row>
    <row r="280" spans="1:16" s="464" customFormat="1" ht="18" customHeight="1">
      <c r="A280" s="455">
        <v>246</v>
      </c>
      <c r="B280" s="129"/>
      <c r="C280" s="125"/>
      <c r="D280" s="344" t="s">
        <v>267</v>
      </c>
      <c r="E280" s="130">
        <v>2021</v>
      </c>
      <c r="F280" s="130">
        <v>2125</v>
      </c>
      <c r="G280" s="131">
        <v>2152</v>
      </c>
      <c r="H280" s="458" t="s">
        <v>22</v>
      </c>
      <c r="I280" s="882"/>
      <c r="J280" s="1041"/>
      <c r="K280" s="1041"/>
      <c r="L280" s="1041"/>
      <c r="M280" s="1041"/>
      <c r="N280" s="1042"/>
      <c r="P280" s="465"/>
    </row>
    <row r="281" spans="1:16" s="909" customFormat="1" ht="18" customHeight="1">
      <c r="A281" s="455">
        <v>247</v>
      </c>
      <c r="B281" s="897"/>
      <c r="C281" s="885"/>
      <c r="D281" s="907" t="s">
        <v>283</v>
      </c>
      <c r="E281" s="899"/>
      <c r="F281" s="899"/>
      <c r="G281" s="900"/>
      <c r="H281" s="901"/>
      <c r="I281" s="882">
        <f>SUM(J281:N281)</f>
        <v>2500</v>
      </c>
      <c r="J281" s="902"/>
      <c r="K281" s="902"/>
      <c r="L281" s="902"/>
      <c r="M281" s="902">
        <v>2500</v>
      </c>
      <c r="N281" s="903"/>
      <c r="P281" s="910"/>
    </row>
    <row r="282" spans="1:16" s="909" customFormat="1" ht="18" customHeight="1">
      <c r="A282" s="455">
        <v>248</v>
      </c>
      <c r="B282" s="897"/>
      <c r="C282" s="885"/>
      <c r="D282" s="1237" t="s">
        <v>938</v>
      </c>
      <c r="E282" s="899"/>
      <c r="F282" s="899"/>
      <c r="G282" s="900"/>
      <c r="H282" s="901"/>
      <c r="I282" s="1240">
        <f>SUM(J282:N282)</f>
        <v>4508</v>
      </c>
      <c r="J282" s="1248"/>
      <c r="K282" s="1248"/>
      <c r="L282" s="1248"/>
      <c r="M282" s="1248">
        <v>4508</v>
      </c>
      <c r="N282" s="903"/>
      <c r="P282" s="910"/>
    </row>
    <row r="283" spans="1:16" s="909" customFormat="1" ht="18" customHeight="1">
      <c r="A283" s="455">
        <v>249</v>
      </c>
      <c r="B283" s="897"/>
      <c r="C283" s="885"/>
      <c r="D283" s="1237" t="s">
        <v>725</v>
      </c>
      <c r="E283" s="899"/>
      <c r="F283" s="899"/>
      <c r="G283" s="900"/>
      <c r="H283" s="901"/>
      <c r="I283" s="1241">
        <f>SUM(J283:N283)</f>
        <v>0</v>
      </c>
      <c r="J283" s="902"/>
      <c r="K283" s="902"/>
      <c r="L283" s="902"/>
      <c r="M283" s="1247"/>
      <c r="N283" s="903"/>
      <c r="P283" s="910"/>
    </row>
    <row r="284" spans="1:16" s="909" customFormat="1" ht="18" customHeight="1">
      <c r="A284" s="455">
        <v>250</v>
      </c>
      <c r="B284" s="897"/>
      <c r="C284" s="885"/>
      <c r="D284" s="1237" t="s">
        <v>1091</v>
      </c>
      <c r="E284" s="899"/>
      <c r="F284" s="899"/>
      <c r="G284" s="900"/>
      <c r="H284" s="901"/>
      <c r="I284" s="1240">
        <f>SUM(J284:N284)</f>
        <v>4508</v>
      </c>
      <c r="J284" s="902"/>
      <c r="K284" s="902"/>
      <c r="L284" s="902"/>
      <c r="M284" s="1248">
        <f>SUM(M282:M283)</f>
        <v>4508</v>
      </c>
      <c r="N284" s="903"/>
      <c r="P284" s="910"/>
    </row>
    <row r="285" spans="1:16" s="909" customFormat="1" ht="18" customHeight="1">
      <c r="A285" s="455">
        <v>251</v>
      </c>
      <c r="B285" s="897"/>
      <c r="C285" s="885"/>
      <c r="D285" s="345" t="s">
        <v>643</v>
      </c>
      <c r="E285" s="899"/>
      <c r="F285" s="130"/>
      <c r="G285" s="131">
        <v>3180</v>
      </c>
      <c r="H285" s="458" t="s">
        <v>23</v>
      </c>
      <c r="I285" s="882"/>
      <c r="J285" s="902"/>
      <c r="K285" s="902"/>
      <c r="L285" s="902"/>
      <c r="M285" s="902"/>
      <c r="N285" s="903"/>
      <c r="P285" s="910"/>
    </row>
    <row r="286" spans="1:16" s="909" customFormat="1" ht="18" customHeight="1">
      <c r="A286" s="455">
        <v>252</v>
      </c>
      <c r="B286" s="897"/>
      <c r="C286" s="885"/>
      <c r="D286" s="907" t="s">
        <v>283</v>
      </c>
      <c r="E286" s="899"/>
      <c r="F286" s="899"/>
      <c r="G286" s="900"/>
      <c r="H286" s="901"/>
      <c r="I286" s="882">
        <f>SUM(J286:N286)</f>
        <v>13500</v>
      </c>
      <c r="J286" s="902"/>
      <c r="K286" s="902"/>
      <c r="L286" s="902"/>
      <c r="M286" s="902">
        <v>13500</v>
      </c>
      <c r="N286" s="903"/>
      <c r="P286" s="910"/>
    </row>
    <row r="287" spans="1:16" s="909" customFormat="1" ht="18" customHeight="1">
      <c r="A287" s="455">
        <v>253</v>
      </c>
      <c r="B287" s="897"/>
      <c r="C287" s="885"/>
      <c r="D287" s="1237" t="s">
        <v>938</v>
      </c>
      <c r="E287" s="899"/>
      <c r="F287" s="899"/>
      <c r="G287" s="900"/>
      <c r="H287" s="901"/>
      <c r="I287" s="1240">
        <f>SUM(J287:N287)</f>
        <v>18820</v>
      </c>
      <c r="J287" s="1248"/>
      <c r="K287" s="1248"/>
      <c r="L287" s="1248"/>
      <c r="M287" s="1248">
        <v>18820</v>
      </c>
      <c r="N287" s="903"/>
      <c r="P287" s="910"/>
    </row>
    <row r="288" spans="1:16" s="909" customFormat="1" ht="18" customHeight="1">
      <c r="A288" s="455">
        <v>254</v>
      </c>
      <c r="B288" s="897"/>
      <c r="C288" s="885"/>
      <c r="D288" s="1237" t="s">
        <v>725</v>
      </c>
      <c r="E288" s="899"/>
      <c r="F288" s="899"/>
      <c r="G288" s="900"/>
      <c r="H288" s="901"/>
      <c r="I288" s="1241">
        <f>SUM(J288:N288)</f>
        <v>0</v>
      </c>
      <c r="J288" s="902"/>
      <c r="K288" s="902"/>
      <c r="L288" s="902"/>
      <c r="M288" s="1247"/>
      <c r="N288" s="903"/>
      <c r="P288" s="910"/>
    </row>
    <row r="289" spans="1:16" s="909" customFormat="1" ht="18" customHeight="1">
      <c r="A289" s="455">
        <v>255</v>
      </c>
      <c r="B289" s="897"/>
      <c r="C289" s="885"/>
      <c r="D289" s="1237" t="s">
        <v>1091</v>
      </c>
      <c r="E289" s="899"/>
      <c r="F289" s="899"/>
      <c r="G289" s="900"/>
      <c r="H289" s="901"/>
      <c r="I289" s="1240">
        <f>SUM(J289:N289)</f>
        <v>18820</v>
      </c>
      <c r="J289" s="902"/>
      <c r="K289" s="902"/>
      <c r="L289" s="902"/>
      <c r="M289" s="1248">
        <f>SUM(M287:M288)</f>
        <v>18820</v>
      </c>
      <c r="N289" s="903"/>
      <c r="P289" s="910"/>
    </row>
    <row r="290" spans="1:16" s="464" customFormat="1" ht="18" customHeight="1">
      <c r="A290" s="455">
        <v>256</v>
      </c>
      <c r="B290" s="129"/>
      <c r="C290" s="125"/>
      <c r="D290" s="345" t="s">
        <v>406</v>
      </c>
      <c r="E290" s="130">
        <v>302</v>
      </c>
      <c r="F290" s="130">
        <v>4675</v>
      </c>
      <c r="G290" s="131">
        <v>256</v>
      </c>
      <c r="H290" s="458" t="s">
        <v>23</v>
      </c>
      <c r="I290" s="882"/>
      <c r="J290" s="1041"/>
      <c r="K290" s="1041"/>
      <c r="L290" s="1041"/>
      <c r="M290" s="1041"/>
      <c r="N290" s="1042"/>
      <c r="P290" s="465"/>
    </row>
    <row r="291" spans="1:16" s="909" customFormat="1" ht="18" customHeight="1">
      <c r="A291" s="455">
        <v>257</v>
      </c>
      <c r="B291" s="897"/>
      <c r="C291" s="885"/>
      <c r="D291" s="907" t="s">
        <v>283</v>
      </c>
      <c r="E291" s="899"/>
      <c r="F291" s="899"/>
      <c r="G291" s="900"/>
      <c r="H291" s="901"/>
      <c r="I291" s="882">
        <f>SUM(J291:N291)</f>
        <v>1500</v>
      </c>
      <c r="J291" s="902"/>
      <c r="K291" s="902"/>
      <c r="L291" s="902"/>
      <c r="M291" s="902">
        <v>1500</v>
      </c>
      <c r="N291" s="903"/>
      <c r="P291" s="910"/>
    </row>
    <row r="292" spans="1:16" s="909" customFormat="1" ht="18" customHeight="1">
      <c r="A292" s="455">
        <v>258</v>
      </c>
      <c r="B292" s="897"/>
      <c r="C292" s="885"/>
      <c r="D292" s="1237" t="s">
        <v>938</v>
      </c>
      <c r="E292" s="899"/>
      <c r="F292" s="899"/>
      <c r="G292" s="900"/>
      <c r="H292" s="901"/>
      <c r="I292" s="1240">
        <f>SUM(J292:N292)</f>
        <v>4019</v>
      </c>
      <c r="J292" s="1248"/>
      <c r="K292" s="1248"/>
      <c r="L292" s="1248"/>
      <c r="M292" s="1248">
        <v>4019</v>
      </c>
      <c r="N292" s="903"/>
      <c r="P292" s="910"/>
    </row>
    <row r="293" spans="1:16" s="909" customFormat="1" ht="18" customHeight="1">
      <c r="A293" s="455">
        <v>259</v>
      </c>
      <c r="B293" s="897"/>
      <c r="C293" s="885"/>
      <c r="D293" s="1237" t="s">
        <v>725</v>
      </c>
      <c r="E293" s="899"/>
      <c r="F293" s="899"/>
      <c r="G293" s="900"/>
      <c r="H293" s="901"/>
      <c r="I293" s="1241">
        <f>SUM(J293:N293)</f>
        <v>0</v>
      </c>
      <c r="J293" s="902"/>
      <c r="K293" s="902"/>
      <c r="L293" s="902"/>
      <c r="M293" s="1247"/>
      <c r="N293" s="903"/>
      <c r="P293" s="910"/>
    </row>
    <row r="294" spans="1:16" s="909" customFormat="1" ht="18" customHeight="1">
      <c r="A294" s="455">
        <v>260</v>
      </c>
      <c r="B294" s="897"/>
      <c r="C294" s="885"/>
      <c r="D294" s="1237" t="s">
        <v>1091</v>
      </c>
      <c r="E294" s="899"/>
      <c r="F294" s="899"/>
      <c r="G294" s="900"/>
      <c r="H294" s="901"/>
      <c r="I294" s="1240">
        <f>SUM(J294:N294)</f>
        <v>4019</v>
      </c>
      <c r="J294" s="902"/>
      <c r="K294" s="902"/>
      <c r="L294" s="902"/>
      <c r="M294" s="1248">
        <f>SUM(M292:M293)</f>
        <v>4019</v>
      </c>
      <c r="N294" s="903"/>
      <c r="P294" s="910"/>
    </row>
    <row r="295" spans="1:16" s="464" customFormat="1" ht="18" customHeight="1">
      <c r="A295" s="455">
        <v>261</v>
      </c>
      <c r="B295" s="129"/>
      <c r="C295" s="125"/>
      <c r="D295" s="345" t="s">
        <v>327</v>
      </c>
      <c r="E295" s="130">
        <v>6288</v>
      </c>
      <c r="F295" s="130">
        <v>6800</v>
      </c>
      <c r="G295" s="131">
        <v>6639</v>
      </c>
      <c r="H295" s="458" t="s">
        <v>23</v>
      </c>
      <c r="I295" s="1043"/>
      <c r="J295" s="1044"/>
      <c r="K295" s="1044"/>
      <c r="L295" s="1044"/>
      <c r="M295" s="1044"/>
      <c r="N295" s="1045"/>
      <c r="P295" s="465"/>
    </row>
    <row r="296" spans="1:16" s="909" customFormat="1" ht="18" customHeight="1">
      <c r="A296" s="455">
        <v>262</v>
      </c>
      <c r="B296" s="897"/>
      <c r="C296" s="885"/>
      <c r="D296" s="907" t="s">
        <v>283</v>
      </c>
      <c r="E296" s="899"/>
      <c r="F296" s="899"/>
      <c r="G296" s="900"/>
      <c r="H296" s="901"/>
      <c r="I296" s="882">
        <f>SUM(J296:N296)</f>
        <v>8000</v>
      </c>
      <c r="J296" s="902"/>
      <c r="K296" s="902"/>
      <c r="L296" s="902"/>
      <c r="M296" s="902">
        <v>8000</v>
      </c>
      <c r="N296" s="903"/>
      <c r="P296" s="910"/>
    </row>
    <row r="297" spans="1:16" s="909" customFormat="1" ht="18" customHeight="1">
      <c r="A297" s="455">
        <v>263</v>
      </c>
      <c r="B297" s="897"/>
      <c r="C297" s="885"/>
      <c r="D297" s="1237" t="s">
        <v>938</v>
      </c>
      <c r="E297" s="899"/>
      <c r="F297" s="899"/>
      <c r="G297" s="900"/>
      <c r="H297" s="901"/>
      <c r="I297" s="1240">
        <f>SUM(J297:N297)</f>
        <v>9111</v>
      </c>
      <c r="J297" s="1248"/>
      <c r="K297" s="1248"/>
      <c r="L297" s="1248"/>
      <c r="M297" s="1248">
        <v>9111</v>
      </c>
      <c r="N297" s="903"/>
      <c r="P297" s="910"/>
    </row>
    <row r="298" spans="1:16" s="909" customFormat="1" ht="18" customHeight="1">
      <c r="A298" s="455">
        <v>264</v>
      </c>
      <c r="B298" s="897"/>
      <c r="C298" s="885"/>
      <c r="D298" s="1237" t="s">
        <v>725</v>
      </c>
      <c r="E298" s="899"/>
      <c r="F298" s="899"/>
      <c r="G298" s="900"/>
      <c r="H298" s="901"/>
      <c r="I298" s="1241">
        <f>SUM(J298:N298)</f>
        <v>0</v>
      </c>
      <c r="J298" s="902"/>
      <c r="K298" s="902"/>
      <c r="L298" s="902"/>
      <c r="M298" s="1247"/>
      <c r="N298" s="903"/>
      <c r="P298" s="910"/>
    </row>
    <row r="299" spans="1:16" s="909" customFormat="1" ht="18" customHeight="1">
      <c r="A299" s="455">
        <v>265</v>
      </c>
      <c r="B299" s="897"/>
      <c r="C299" s="885"/>
      <c r="D299" s="1237" t="s">
        <v>1091</v>
      </c>
      <c r="E299" s="899"/>
      <c r="F299" s="899"/>
      <c r="G299" s="900"/>
      <c r="H299" s="901"/>
      <c r="I299" s="1240">
        <f>SUM(J299:N299)</f>
        <v>9111</v>
      </c>
      <c r="J299" s="902"/>
      <c r="K299" s="902"/>
      <c r="L299" s="902"/>
      <c r="M299" s="1248">
        <f>SUM(M297:M298)</f>
        <v>9111</v>
      </c>
      <c r="N299" s="903"/>
      <c r="P299" s="910"/>
    </row>
    <row r="300" spans="1:16" s="464" customFormat="1" ht="18" customHeight="1">
      <c r="A300" s="455">
        <v>266</v>
      </c>
      <c r="B300" s="129"/>
      <c r="C300" s="125"/>
      <c r="D300" s="345" t="s">
        <v>328</v>
      </c>
      <c r="E300" s="130"/>
      <c r="F300" s="130">
        <v>85</v>
      </c>
      <c r="G300" s="131">
        <v>0</v>
      </c>
      <c r="H300" s="458" t="s">
        <v>23</v>
      </c>
      <c r="I300" s="1043"/>
      <c r="J300" s="1044"/>
      <c r="K300" s="1044"/>
      <c r="L300" s="1044"/>
      <c r="M300" s="1044"/>
      <c r="N300" s="1045"/>
      <c r="P300" s="465"/>
    </row>
    <row r="301" spans="1:16" s="909" customFormat="1" ht="18" customHeight="1">
      <c r="A301" s="455">
        <v>267</v>
      </c>
      <c r="B301" s="897"/>
      <c r="C301" s="885"/>
      <c r="D301" s="907" t="s">
        <v>283</v>
      </c>
      <c r="E301" s="899"/>
      <c r="F301" s="899"/>
      <c r="G301" s="900"/>
      <c r="H301" s="901"/>
      <c r="I301" s="882">
        <f>SUM(J301:N301)</f>
        <v>100</v>
      </c>
      <c r="J301" s="902"/>
      <c r="K301" s="902"/>
      <c r="L301" s="902"/>
      <c r="M301" s="902">
        <v>100</v>
      </c>
      <c r="N301" s="903"/>
      <c r="P301" s="910"/>
    </row>
    <row r="302" spans="1:16" s="909" customFormat="1" ht="18" customHeight="1">
      <c r="A302" s="455">
        <v>268</v>
      </c>
      <c r="B302" s="897"/>
      <c r="C302" s="885"/>
      <c r="D302" s="1237" t="s">
        <v>938</v>
      </c>
      <c r="E302" s="899"/>
      <c r="F302" s="899"/>
      <c r="G302" s="900"/>
      <c r="H302" s="901"/>
      <c r="I302" s="1240">
        <f>SUM(J302:N302)</f>
        <v>100</v>
      </c>
      <c r="J302" s="1248"/>
      <c r="K302" s="1248"/>
      <c r="L302" s="1248"/>
      <c r="M302" s="1248">
        <v>100</v>
      </c>
      <c r="N302" s="903"/>
      <c r="P302" s="910"/>
    </row>
    <row r="303" spans="1:16" s="909" customFormat="1" ht="18" customHeight="1">
      <c r="A303" s="455">
        <v>269</v>
      </c>
      <c r="B303" s="897"/>
      <c r="C303" s="885"/>
      <c r="D303" s="1237" t="s">
        <v>674</v>
      </c>
      <c r="E303" s="899"/>
      <c r="F303" s="899"/>
      <c r="G303" s="900"/>
      <c r="H303" s="901"/>
      <c r="I303" s="1241">
        <f>SUM(J303:N303)</f>
        <v>0</v>
      </c>
      <c r="J303" s="902"/>
      <c r="K303" s="902"/>
      <c r="L303" s="902"/>
      <c r="M303" s="902"/>
      <c r="N303" s="903"/>
      <c r="P303" s="910"/>
    </row>
    <row r="304" spans="1:16" s="909" customFormat="1" ht="18" customHeight="1">
      <c r="A304" s="455">
        <v>270</v>
      </c>
      <c r="B304" s="897"/>
      <c r="C304" s="885"/>
      <c r="D304" s="1237" t="s">
        <v>1091</v>
      </c>
      <c r="E304" s="899"/>
      <c r="F304" s="899"/>
      <c r="G304" s="900"/>
      <c r="H304" s="901"/>
      <c r="I304" s="1240">
        <f>SUM(J304:N304)</f>
        <v>100</v>
      </c>
      <c r="J304" s="902"/>
      <c r="K304" s="902"/>
      <c r="L304" s="902"/>
      <c r="M304" s="1248">
        <f>SUM(M302:M303)</f>
        <v>100</v>
      </c>
      <c r="N304" s="903"/>
      <c r="P304" s="910"/>
    </row>
    <row r="305" spans="1:16" s="464" customFormat="1" ht="18" customHeight="1">
      <c r="A305" s="455">
        <v>271</v>
      </c>
      <c r="B305" s="129"/>
      <c r="C305" s="125"/>
      <c r="D305" s="345" t="s">
        <v>329</v>
      </c>
      <c r="E305" s="130">
        <v>1320</v>
      </c>
      <c r="F305" s="130">
        <v>1700</v>
      </c>
      <c r="G305" s="131">
        <v>855</v>
      </c>
      <c r="H305" s="458" t="s">
        <v>23</v>
      </c>
      <c r="I305" s="1043"/>
      <c r="J305" s="1044"/>
      <c r="K305" s="1044"/>
      <c r="L305" s="1044"/>
      <c r="M305" s="1044"/>
      <c r="N305" s="1045"/>
      <c r="P305" s="465"/>
    </row>
    <row r="306" spans="1:16" s="909" customFormat="1" ht="18" customHeight="1">
      <c r="A306" s="455">
        <v>272</v>
      </c>
      <c r="B306" s="897"/>
      <c r="C306" s="885"/>
      <c r="D306" s="907" t="s">
        <v>283</v>
      </c>
      <c r="E306" s="899"/>
      <c r="F306" s="899"/>
      <c r="G306" s="900"/>
      <c r="H306" s="901"/>
      <c r="I306" s="882">
        <f>SUM(J306:N306)</f>
        <v>2000</v>
      </c>
      <c r="J306" s="902"/>
      <c r="K306" s="902"/>
      <c r="L306" s="902"/>
      <c r="M306" s="902">
        <v>2000</v>
      </c>
      <c r="N306" s="903"/>
      <c r="P306" s="910"/>
    </row>
    <row r="307" spans="1:16" s="909" customFormat="1" ht="18" customHeight="1">
      <c r="A307" s="455">
        <v>273</v>
      </c>
      <c r="B307" s="897"/>
      <c r="C307" s="885"/>
      <c r="D307" s="1237" t="s">
        <v>938</v>
      </c>
      <c r="E307" s="899"/>
      <c r="F307" s="899"/>
      <c r="G307" s="900"/>
      <c r="H307" s="901"/>
      <c r="I307" s="1240">
        <f>SUM(J307:N307)</f>
        <v>2000</v>
      </c>
      <c r="J307" s="1248"/>
      <c r="K307" s="1248"/>
      <c r="L307" s="1248"/>
      <c r="M307" s="1248">
        <v>2000</v>
      </c>
      <c r="N307" s="903"/>
      <c r="P307" s="910"/>
    </row>
    <row r="308" spans="1:16" s="909" customFormat="1" ht="18" customHeight="1">
      <c r="A308" s="455">
        <v>274</v>
      </c>
      <c r="B308" s="897"/>
      <c r="C308" s="885"/>
      <c r="D308" s="1237" t="s">
        <v>674</v>
      </c>
      <c r="E308" s="899"/>
      <c r="F308" s="899"/>
      <c r="G308" s="900"/>
      <c r="H308" s="901"/>
      <c r="I308" s="1241">
        <f>SUM(J308:N308)</f>
        <v>0</v>
      </c>
      <c r="J308" s="902"/>
      <c r="K308" s="902"/>
      <c r="L308" s="902"/>
      <c r="M308" s="902"/>
      <c r="N308" s="903"/>
      <c r="P308" s="910"/>
    </row>
    <row r="309" spans="1:16" s="909" customFormat="1" ht="18" customHeight="1">
      <c r="A309" s="455">
        <v>275</v>
      </c>
      <c r="B309" s="897"/>
      <c r="C309" s="885"/>
      <c r="D309" s="1237" t="s">
        <v>1091</v>
      </c>
      <c r="E309" s="899"/>
      <c r="F309" s="899"/>
      <c r="G309" s="900"/>
      <c r="H309" s="901"/>
      <c r="I309" s="1240">
        <f>SUM(J309:N309)</f>
        <v>2000</v>
      </c>
      <c r="J309" s="902"/>
      <c r="K309" s="902"/>
      <c r="L309" s="902"/>
      <c r="M309" s="1248">
        <f>SUM(M307:M308)</f>
        <v>2000</v>
      </c>
      <c r="N309" s="903"/>
      <c r="P309" s="910"/>
    </row>
    <row r="310" spans="1:16" s="464" customFormat="1" ht="18" customHeight="1">
      <c r="A310" s="455">
        <v>276</v>
      </c>
      <c r="B310" s="129"/>
      <c r="C310" s="125"/>
      <c r="D310" s="345" t="s">
        <v>330</v>
      </c>
      <c r="E310" s="130"/>
      <c r="F310" s="130">
        <v>43</v>
      </c>
      <c r="G310" s="131">
        <v>0</v>
      </c>
      <c r="H310" s="458" t="s">
        <v>23</v>
      </c>
      <c r="I310" s="1043"/>
      <c r="J310" s="1044"/>
      <c r="K310" s="1044"/>
      <c r="L310" s="1044"/>
      <c r="M310" s="1044"/>
      <c r="N310" s="1045"/>
      <c r="P310" s="465"/>
    </row>
    <row r="311" spans="1:16" s="909" customFormat="1" ht="18" customHeight="1">
      <c r="A311" s="455">
        <v>277</v>
      </c>
      <c r="B311" s="897"/>
      <c r="C311" s="885"/>
      <c r="D311" s="907" t="s">
        <v>283</v>
      </c>
      <c r="E311" s="899"/>
      <c r="F311" s="899"/>
      <c r="G311" s="900"/>
      <c r="H311" s="901"/>
      <c r="I311" s="882">
        <f>SUM(J311:N311)</f>
        <v>50</v>
      </c>
      <c r="J311" s="902"/>
      <c r="K311" s="902"/>
      <c r="L311" s="902"/>
      <c r="M311" s="902">
        <v>50</v>
      </c>
      <c r="N311" s="903"/>
      <c r="P311" s="910"/>
    </row>
    <row r="312" spans="1:16" s="909" customFormat="1" ht="18" customHeight="1">
      <c r="A312" s="455">
        <v>278</v>
      </c>
      <c r="B312" s="897"/>
      <c r="C312" s="885"/>
      <c r="D312" s="1237" t="s">
        <v>938</v>
      </c>
      <c r="E312" s="899"/>
      <c r="F312" s="899"/>
      <c r="G312" s="900"/>
      <c r="H312" s="901"/>
      <c r="I312" s="1240">
        <f>SUM(J312:N312)</f>
        <v>50</v>
      </c>
      <c r="J312" s="1248"/>
      <c r="K312" s="1248"/>
      <c r="L312" s="1248"/>
      <c r="M312" s="1248">
        <v>50</v>
      </c>
      <c r="N312" s="903"/>
      <c r="P312" s="910"/>
    </row>
    <row r="313" spans="1:16" s="909" customFormat="1" ht="18" customHeight="1">
      <c r="A313" s="455">
        <v>279</v>
      </c>
      <c r="B313" s="897"/>
      <c r="C313" s="885"/>
      <c r="D313" s="1237" t="s">
        <v>674</v>
      </c>
      <c r="E313" s="899"/>
      <c r="F313" s="899"/>
      <c r="G313" s="900"/>
      <c r="H313" s="901"/>
      <c r="I313" s="1241">
        <f>SUM(J313:N313)</f>
        <v>0</v>
      </c>
      <c r="J313" s="902"/>
      <c r="K313" s="902"/>
      <c r="L313" s="902"/>
      <c r="M313" s="902"/>
      <c r="N313" s="903"/>
      <c r="P313" s="910"/>
    </row>
    <row r="314" spans="1:16" s="909" customFormat="1" ht="18" customHeight="1">
      <c r="A314" s="455">
        <v>280</v>
      </c>
      <c r="B314" s="897"/>
      <c r="C314" s="885"/>
      <c r="D314" s="1237" t="s">
        <v>1091</v>
      </c>
      <c r="E314" s="899"/>
      <c r="F314" s="899"/>
      <c r="G314" s="900"/>
      <c r="H314" s="901"/>
      <c r="I314" s="1240">
        <f>SUM(J314:N314)</f>
        <v>50</v>
      </c>
      <c r="J314" s="902"/>
      <c r="K314" s="902"/>
      <c r="L314" s="902"/>
      <c r="M314" s="1248">
        <f>SUM(M312:M313)</f>
        <v>50</v>
      </c>
      <c r="N314" s="903"/>
      <c r="P314" s="910"/>
    </row>
    <row r="315" spans="1:16" s="464" customFormat="1" ht="18" customHeight="1">
      <c r="A315" s="455">
        <v>281</v>
      </c>
      <c r="B315" s="129"/>
      <c r="C315" s="125"/>
      <c r="D315" s="345" t="s">
        <v>331</v>
      </c>
      <c r="E315" s="130">
        <v>1320</v>
      </c>
      <c r="F315" s="130">
        <v>1275</v>
      </c>
      <c r="G315" s="131">
        <v>1365</v>
      </c>
      <c r="H315" s="458" t="s">
        <v>23</v>
      </c>
      <c r="I315" s="1043"/>
      <c r="J315" s="1044"/>
      <c r="K315" s="1044"/>
      <c r="L315" s="1044"/>
      <c r="M315" s="1044"/>
      <c r="N315" s="1045"/>
      <c r="P315" s="465"/>
    </row>
    <row r="316" spans="1:16" s="909" customFormat="1" ht="18" customHeight="1">
      <c r="A316" s="455">
        <v>282</v>
      </c>
      <c r="B316" s="897"/>
      <c r="C316" s="885"/>
      <c r="D316" s="907" t="s">
        <v>283</v>
      </c>
      <c r="E316" s="899"/>
      <c r="F316" s="899"/>
      <c r="G316" s="900"/>
      <c r="H316" s="901"/>
      <c r="I316" s="882">
        <f>SUM(J316:N316)</f>
        <v>1700</v>
      </c>
      <c r="J316" s="902"/>
      <c r="K316" s="902"/>
      <c r="L316" s="902"/>
      <c r="M316" s="902">
        <v>1700</v>
      </c>
      <c r="N316" s="903"/>
      <c r="P316" s="910"/>
    </row>
    <row r="317" spans="1:16" s="909" customFormat="1" ht="18" customHeight="1">
      <c r="A317" s="455">
        <v>283</v>
      </c>
      <c r="B317" s="897"/>
      <c r="C317" s="885"/>
      <c r="D317" s="1237" t="s">
        <v>938</v>
      </c>
      <c r="E317" s="899"/>
      <c r="F317" s="899"/>
      <c r="G317" s="900"/>
      <c r="H317" s="901"/>
      <c r="I317" s="1240">
        <f>SUM(J317:N317)</f>
        <v>1700</v>
      </c>
      <c r="J317" s="1248"/>
      <c r="K317" s="1248"/>
      <c r="L317" s="1248"/>
      <c r="M317" s="1248">
        <v>1700</v>
      </c>
      <c r="N317" s="903"/>
      <c r="P317" s="910"/>
    </row>
    <row r="318" spans="1:16" s="909" customFormat="1" ht="18" customHeight="1">
      <c r="A318" s="455">
        <v>284</v>
      </c>
      <c r="B318" s="897"/>
      <c r="C318" s="885"/>
      <c r="D318" s="1237" t="s">
        <v>674</v>
      </c>
      <c r="E318" s="899"/>
      <c r="F318" s="899"/>
      <c r="G318" s="900"/>
      <c r="H318" s="901"/>
      <c r="I318" s="1241">
        <f>SUM(J318:N318)</f>
        <v>0</v>
      </c>
      <c r="J318" s="902"/>
      <c r="K318" s="902"/>
      <c r="L318" s="902"/>
      <c r="M318" s="902"/>
      <c r="N318" s="903"/>
      <c r="P318" s="910"/>
    </row>
    <row r="319" spans="1:16" s="909" customFormat="1" ht="18" customHeight="1">
      <c r="A319" s="455">
        <v>285</v>
      </c>
      <c r="B319" s="897"/>
      <c r="C319" s="885"/>
      <c r="D319" s="1237" t="s">
        <v>1091</v>
      </c>
      <c r="E319" s="899"/>
      <c r="F319" s="899"/>
      <c r="G319" s="900"/>
      <c r="H319" s="901"/>
      <c r="I319" s="1240">
        <f>SUM(J319:N319)</f>
        <v>1700</v>
      </c>
      <c r="J319" s="902"/>
      <c r="K319" s="902"/>
      <c r="L319" s="902"/>
      <c r="M319" s="1248">
        <f>SUM(M317:M318)</f>
        <v>1700</v>
      </c>
      <c r="N319" s="903"/>
      <c r="P319" s="910"/>
    </row>
    <row r="320" spans="1:16" s="464" customFormat="1" ht="18" customHeight="1">
      <c r="A320" s="455">
        <v>286</v>
      </c>
      <c r="B320" s="129"/>
      <c r="C320" s="125"/>
      <c r="D320" s="345" t="s">
        <v>332</v>
      </c>
      <c r="E320" s="130"/>
      <c r="F320" s="130">
        <v>340</v>
      </c>
      <c r="G320" s="131">
        <v>0</v>
      </c>
      <c r="H320" s="458" t="s">
        <v>23</v>
      </c>
      <c r="I320" s="1043"/>
      <c r="J320" s="1044"/>
      <c r="K320" s="1044"/>
      <c r="L320" s="1044"/>
      <c r="M320" s="1044"/>
      <c r="N320" s="1045"/>
      <c r="P320" s="465"/>
    </row>
    <row r="321" spans="1:16" s="909" customFormat="1" ht="18" customHeight="1">
      <c r="A321" s="455">
        <v>287</v>
      </c>
      <c r="B321" s="897"/>
      <c r="C321" s="885"/>
      <c r="D321" s="907" t="s">
        <v>283</v>
      </c>
      <c r="E321" s="887"/>
      <c r="F321" s="899"/>
      <c r="G321" s="900"/>
      <c r="H321" s="901"/>
      <c r="I321" s="882">
        <f>SUM(J321:N321)</f>
        <v>400</v>
      </c>
      <c r="J321" s="902"/>
      <c r="K321" s="902"/>
      <c r="L321" s="902"/>
      <c r="M321" s="902">
        <v>400</v>
      </c>
      <c r="N321" s="903"/>
      <c r="P321" s="910"/>
    </row>
    <row r="322" spans="1:16" s="909" customFormat="1" ht="18" customHeight="1">
      <c r="A322" s="455">
        <v>288</v>
      </c>
      <c r="B322" s="897"/>
      <c r="C322" s="885"/>
      <c r="D322" s="1237" t="s">
        <v>938</v>
      </c>
      <c r="E322" s="887"/>
      <c r="F322" s="899"/>
      <c r="G322" s="900"/>
      <c r="H322" s="901"/>
      <c r="I322" s="1240">
        <f>SUM(J322:N322)</f>
        <v>400</v>
      </c>
      <c r="J322" s="1248"/>
      <c r="K322" s="1248"/>
      <c r="L322" s="1248"/>
      <c r="M322" s="1248">
        <v>400</v>
      </c>
      <c r="N322" s="903"/>
      <c r="P322" s="910"/>
    </row>
    <row r="323" spans="1:16" s="909" customFormat="1" ht="18" customHeight="1">
      <c r="A323" s="455">
        <v>289</v>
      </c>
      <c r="B323" s="897"/>
      <c r="C323" s="885"/>
      <c r="D323" s="1237" t="s">
        <v>674</v>
      </c>
      <c r="E323" s="887"/>
      <c r="F323" s="899"/>
      <c r="G323" s="900"/>
      <c r="H323" s="901"/>
      <c r="I323" s="1241">
        <f>SUM(J323:N323)</f>
        <v>0</v>
      </c>
      <c r="J323" s="902"/>
      <c r="K323" s="902"/>
      <c r="L323" s="902"/>
      <c r="M323" s="902"/>
      <c r="N323" s="903"/>
      <c r="P323" s="910"/>
    </row>
    <row r="324" spans="1:16" s="909" customFormat="1" ht="18" customHeight="1">
      <c r="A324" s="455">
        <v>290</v>
      </c>
      <c r="B324" s="897"/>
      <c r="C324" s="885"/>
      <c r="D324" s="1237" t="s">
        <v>1091</v>
      </c>
      <c r="E324" s="887"/>
      <c r="F324" s="899"/>
      <c r="G324" s="900"/>
      <c r="H324" s="901"/>
      <c r="I324" s="1240">
        <f>SUM(J324:N324)</f>
        <v>400</v>
      </c>
      <c r="J324" s="902"/>
      <c r="K324" s="902"/>
      <c r="L324" s="902"/>
      <c r="M324" s="1248">
        <f>SUM(M322:M323)</f>
        <v>400</v>
      </c>
      <c r="N324" s="903"/>
      <c r="P324" s="910"/>
    </row>
    <row r="325" spans="1:16" s="464" customFormat="1" ht="18" customHeight="1">
      <c r="A325" s="455">
        <v>291</v>
      </c>
      <c r="B325" s="129"/>
      <c r="C325" s="125"/>
      <c r="D325" s="345" t="s">
        <v>333</v>
      </c>
      <c r="E325" s="122">
        <v>42</v>
      </c>
      <c r="F325" s="130">
        <v>510</v>
      </c>
      <c r="G325" s="131">
        <v>32</v>
      </c>
      <c r="H325" s="458" t="s">
        <v>23</v>
      </c>
      <c r="I325" s="882"/>
      <c r="J325" s="1041"/>
      <c r="K325" s="1041"/>
      <c r="L325" s="1041"/>
      <c r="M325" s="1041"/>
      <c r="N325" s="1042"/>
      <c r="P325" s="465"/>
    </row>
    <row r="326" spans="1:16" s="909" customFormat="1" ht="18" customHeight="1">
      <c r="A326" s="455">
        <v>292</v>
      </c>
      <c r="B326" s="897"/>
      <c r="C326" s="885"/>
      <c r="D326" s="907" t="s">
        <v>283</v>
      </c>
      <c r="E326" s="887"/>
      <c r="F326" s="899"/>
      <c r="G326" s="900"/>
      <c r="H326" s="901"/>
      <c r="I326" s="882">
        <f>SUM(J326:N326)</f>
        <v>510</v>
      </c>
      <c r="J326" s="902"/>
      <c r="K326" s="902"/>
      <c r="L326" s="902"/>
      <c r="M326" s="902">
        <v>510</v>
      </c>
      <c r="N326" s="903"/>
      <c r="P326" s="910"/>
    </row>
    <row r="327" spans="1:16" s="909" customFormat="1" ht="18" customHeight="1">
      <c r="A327" s="455">
        <v>293</v>
      </c>
      <c r="B327" s="897"/>
      <c r="C327" s="885"/>
      <c r="D327" s="1237" t="s">
        <v>938</v>
      </c>
      <c r="E327" s="887"/>
      <c r="F327" s="899"/>
      <c r="G327" s="900"/>
      <c r="H327" s="901"/>
      <c r="I327" s="1240">
        <f>SUM(J327:N327)</f>
        <v>510</v>
      </c>
      <c r="J327" s="1248"/>
      <c r="K327" s="1248"/>
      <c r="L327" s="1248"/>
      <c r="M327" s="1248">
        <v>510</v>
      </c>
      <c r="N327" s="903"/>
      <c r="P327" s="910"/>
    </row>
    <row r="328" spans="1:16" s="909" customFormat="1" ht="18" customHeight="1">
      <c r="A328" s="455">
        <v>294</v>
      </c>
      <c r="B328" s="897"/>
      <c r="C328" s="885"/>
      <c r="D328" s="1237" t="s">
        <v>674</v>
      </c>
      <c r="E328" s="887"/>
      <c r="F328" s="899"/>
      <c r="G328" s="900"/>
      <c r="H328" s="901"/>
      <c r="I328" s="1241">
        <f>SUM(J328:N328)</f>
        <v>0</v>
      </c>
      <c r="J328" s="902"/>
      <c r="K328" s="902"/>
      <c r="L328" s="902"/>
      <c r="M328" s="902"/>
      <c r="N328" s="903"/>
      <c r="P328" s="910"/>
    </row>
    <row r="329" spans="1:16" s="909" customFormat="1" ht="18" customHeight="1">
      <c r="A329" s="455">
        <v>295</v>
      </c>
      <c r="B329" s="897"/>
      <c r="C329" s="885"/>
      <c r="D329" s="1237" t="s">
        <v>1091</v>
      </c>
      <c r="E329" s="887"/>
      <c r="F329" s="899"/>
      <c r="G329" s="900"/>
      <c r="H329" s="901"/>
      <c r="I329" s="1240">
        <f>SUM(J329:N329)</f>
        <v>510</v>
      </c>
      <c r="J329" s="902"/>
      <c r="K329" s="902"/>
      <c r="L329" s="902"/>
      <c r="M329" s="1248">
        <f>SUM(M327:M328)</f>
        <v>510</v>
      </c>
      <c r="N329" s="903"/>
      <c r="P329" s="910"/>
    </row>
    <row r="330" spans="1:16" s="3" customFormat="1" ht="22.5" customHeight="1">
      <c r="A330" s="455">
        <v>296</v>
      </c>
      <c r="B330" s="119"/>
      <c r="C330" s="120">
        <v>51</v>
      </c>
      <c r="D330" s="450" t="s">
        <v>70</v>
      </c>
      <c r="E330" s="122">
        <v>2941</v>
      </c>
      <c r="F330" s="122">
        <v>3825</v>
      </c>
      <c r="G330" s="123">
        <v>4817</v>
      </c>
      <c r="H330" s="457" t="s">
        <v>22</v>
      </c>
      <c r="I330" s="879"/>
      <c r="J330" s="1033"/>
      <c r="K330" s="1033"/>
      <c r="L330" s="1033"/>
      <c r="M330" s="1033"/>
      <c r="N330" s="1034"/>
      <c r="P330" s="8"/>
    </row>
    <row r="331" spans="1:14" s="890" customFormat="1" ht="18" customHeight="1">
      <c r="A331" s="455">
        <v>297</v>
      </c>
      <c r="B331" s="884"/>
      <c r="C331" s="885"/>
      <c r="D331" s="886" t="s">
        <v>283</v>
      </c>
      <c r="E331" s="887"/>
      <c r="F331" s="887"/>
      <c r="G331" s="888"/>
      <c r="H331" s="889"/>
      <c r="I331" s="879">
        <f>SUM(J331:N331)</f>
        <v>5000</v>
      </c>
      <c r="J331" s="880"/>
      <c r="K331" s="880"/>
      <c r="L331" s="880"/>
      <c r="M331" s="880">
        <v>5000</v>
      </c>
      <c r="N331" s="881"/>
    </row>
    <row r="332" spans="1:14" s="890" customFormat="1" ht="18" customHeight="1">
      <c r="A332" s="455">
        <v>298</v>
      </c>
      <c r="B332" s="884"/>
      <c r="C332" s="885"/>
      <c r="D332" s="1679" t="s">
        <v>938</v>
      </c>
      <c r="E332" s="887"/>
      <c r="F332" s="887"/>
      <c r="G332" s="888"/>
      <c r="H332" s="889"/>
      <c r="I332" s="1238">
        <f>SUM(J332:N332)</f>
        <v>5000</v>
      </c>
      <c r="J332" s="1245"/>
      <c r="K332" s="1245"/>
      <c r="L332" s="1245"/>
      <c r="M332" s="1245">
        <v>5000</v>
      </c>
      <c r="N332" s="881"/>
    </row>
    <row r="333" spans="1:14" s="890" customFormat="1" ht="18" customHeight="1">
      <c r="A333" s="455">
        <v>299</v>
      </c>
      <c r="B333" s="884"/>
      <c r="C333" s="885"/>
      <c r="D333" s="1146" t="s">
        <v>674</v>
      </c>
      <c r="E333" s="887"/>
      <c r="F333" s="887"/>
      <c r="G333" s="888"/>
      <c r="H333" s="889"/>
      <c r="I333" s="1241">
        <f>SUM(J333:N333)</f>
        <v>0</v>
      </c>
      <c r="J333" s="880"/>
      <c r="K333" s="880"/>
      <c r="L333" s="880"/>
      <c r="M333" s="880"/>
      <c r="N333" s="881"/>
    </row>
    <row r="334" spans="1:14" s="890" customFormat="1" ht="18" customHeight="1">
      <c r="A334" s="455">
        <v>300</v>
      </c>
      <c r="B334" s="884"/>
      <c r="C334" s="885"/>
      <c r="D334" s="483" t="s">
        <v>1091</v>
      </c>
      <c r="E334" s="887"/>
      <c r="F334" s="887"/>
      <c r="G334" s="888"/>
      <c r="H334" s="889"/>
      <c r="I334" s="1238">
        <f>SUM(J334:N334)</f>
        <v>5000</v>
      </c>
      <c r="J334" s="880"/>
      <c r="K334" s="880"/>
      <c r="L334" s="880"/>
      <c r="M334" s="1245">
        <f>SUM(M332:M333)</f>
        <v>5000</v>
      </c>
      <c r="N334" s="881"/>
    </row>
    <row r="335" spans="1:16" s="87" customFormat="1" ht="22.5" customHeight="1">
      <c r="A335" s="455">
        <v>301</v>
      </c>
      <c r="B335" s="451"/>
      <c r="C335" s="120">
        <v>52</v>
      </c>
      <c r="D335" s="450" t="s">
        <v>71</v>
      </c>
      <c r="E335" s="122">
        <v>9164</v>
      </c>
      <c r="F335" s="122">
        <v>7650</v>
      </c>
      <c r="G335" s="123">
        <v>2001</v>
      </c>
      <c r="H335" s="457" t="s">
        <v>23</v>
      </c>
      <c r="I335" s="879"/>
      <c r="J335" s="1033"/>
      <c r="K335" s="1033"/>
      <c r="L335" s="1033"/>
      <c r="M335" s="1033"/>
      <c r="N335" s="1034"/>
      <c r="P335" s="446"/>
    </row>
    <row r="336" spans="1:14" s="890" customFormat="1" ht="18" customHeight="1">
      <c r="A336" s="455">
        <v>302</v>
      </c>
      <c r="B336" s="884"/>
      <c r="C336" s="885"/>
      <c r="D336" s="886" t="s">
        <v>283</v>
      </c>
      <c r="E336" s="887"/>
      <c r="F336" s="887"/>
      <c r="G336" s="888"/>
      <c r="H336" s="889"/>
      <c r="I336" s="879">
        <f>SUM(J336:N336)</f>
        <v>5515</v>
      </c>
      <c r="J336" s="880">
        <v>5115</v>
      </c>
      <c r="K336" s="880">
        <v>400</v>
      </c>
      <c r="L336" s="880"/>
      <c r="M336" s="880"/>
      <c r="N336" s="881"/>
    </row>
    <row r="337" spans="1:14" s="890" customFormat="1" ht="18" customHeight="1">
      <c r="A337" s="455">
        <v>303</v>
      </c>
      <c r="B337" s="884"/>
      <c r="C337" s="885"/>
      <c r="D337" s="1679" t="s">
        <v>938</v>
      </c>
      <c r="E337" s="887"/>
      <c r="F337" s="887"/>
      <c r="G337" s="888"/>
      <c r="H337" s="889"/>
      <c r="I337" s="1238">
        <f>SUM(J337:N337)</f>
        <v>5515</v>
      </c>
      <c r="J337" s="1245">
        <v>5115</v>
      </c>
      <c r="K337" s="1245">
        <v>400</v>
      </c>
      <c r="L337" s="880"/>
      <c r="M337" s="880"/>
      <c r="N337" s="881"/>
    </row>
    <row r="338" spans="1:14" s="890" customFormat="1" ht="18" customHeight="1">
      <c r="A338" s="455">
        <v>304</v>
      </c>
      <c r="B338" s="884"/>
      <c r="C338" s="885"/>
      <c r="D338" s="1146" t="s">
        <v>674</v>
      </c>
      <c r="E338" s="887"/>
      <c r="F338" s="887"/>
      <c r="G338" s="888"/>
      <c r="H338" s="889"/>
      <c r="I338" s="1241">
        <f>SUM(J338:N338)</f>
        <v>0</v>
      </c>
      <c r="J338" s="880"/>
      <c r="K338" s="880"/>
      <c r="L338" s="880"/>
      <c r="M338" s="880"/>
      <c r="N338" s="881"/>
    </row>
    <row r="339" spans="1:14" s="890" customFormat="1" ht="18" customHeight="1">
      <c r="A339" s="455">
        <v>305</v>
      </c>
      <c r="B339" s="884"/>
      <c r="C339" s="885"/>
      <c r="D339" s="483" t="s">
        <v>1091</v>
      </c>
      <c r="E339" s="887"/>
      <c r="F339" s="887"/>
      <c r="G339" s="888"/>
      <c r="H339" s="889"/>
      <c r="I339" s="1238">
        <f>SUM(J339:N339)</f>
        <v>5515</v>
      </c>
      <c r="J339" s="1245">
        <f>SUM(J337:J338)</f>
        <v>5115</v>
      </c>
      <c r="K339" s="1245">
        <f>SUM(K337:K338)</f>
        <v>400</v>
      </c>
      <c r="L339" s="880"/>
      <c r="M339" s="880"/>
      <c r="N339" s="881"/>
    </row>
    <row r="340" spans="1:16" s="87" customFormat="1" ht="22.5" customHeight="1">
      <c r="A340" s="455">
        <v>306</v>
      </c>
      <c r="B340" s="451"/>
      <c r="C340" s="120">
        <v>53</v>
      </c>
      <c r="D340" s="450" t="s">
        <v>252</v>
      </c>
      <c r="E340" s="122">
        <v>753</v>
      </c>
      <c r="F340" s="122">
        <v>1560</v>
      </c>
      <c r="G340" s="123">
        <v>1117</v>
      </c>
      <c r="H340" s="457" t="s">
        <v>23</v>
      </c>
      <c r="I340" s="879"/>
      <c r="J340" s="1033"/>
      <c r="K340" s="1033"/>
      <c r="L340" s="1033"/>
      <c r="M340" s="1033"/>
      <c r="N340" s="1034"/>
      <c r="P340" s="446"/>
    </row>
    <row r="341" spans="1:14" s="890" customFormat="1" ht="18" customHeight="1">
      <c r="A341" s="455">
        <v>307</v>
      </c>
      <c r="B341" s="884"/>
      <c r="C341" s="885"/>
      <c r="D341" s="886" t="s">
        <v>283</v>
      </c>
      <c r="E341" s="887"/>
      <c r="F341" s="887"/>
      <c r="G341" s="888"/>
      <c r="H341" s="889"/>
      <c r="I341" s="879">
        <f>SUM(J341:N341)</f>
        <v>2080</v>
      </c>
      <c r="J341" s="880">
        <v>1800</v>
      </c>
      <c r="K341" s="880">
        <v>280</v>
      </c>
      <c r="L341" s="880"/>
      <c r="M341" s="880"/>
      <c r="N341" s="881"/>
    </row>
    <row r="342" spans="1:14" s="890" customFormat="1" ht="18" customHeight="1">
      <c r="A342" s="455">
        <v>308</v>
      </c>
      <c r="B342" s="884"/>
      <c r="C342" s="885"/>
      <c r="D342" s="1679" t="s">
        <v>938</v>
      </c>
      <c r="E342" s="887"/>
      <c r="F342" s="887"/>
      <c r="G342" s="888"/>
      <c r="H342" s="889"/>
      <c r="I342" s="1238">
        <f>SUM(J342:N342)</f>
        <v>2080</v>
      </c>
      <c r="J342" s="1245">
        <v>1800</v>
      </c>
      <c r="K342" s="1245">
        <v>280</v>
      </c>
      <c r="L342" s="880"/>
      <c r="M342" s="880"/>
      <c r="N342" s="881"/>
    </row>
    <row r="343" spans="1:14" s="890" customFormat="1" ht="18" customHeight="1">
      <c r="A343" s="455">
        <v>309</v>
      </c>
      <c r="B343" s="884"/>
      <c r="C343" s="885"/>
      <c r="D343" s="1146" t="s">
        <v>674</v>
      </c>
      <c r="E343" s="887"/>
      <c r="F343" s="887"/>
      <c r="G343" s="888"/>
      <c r="H343" s="889"/>
      <c r="I343" s="1241">
        <f>SUM(J343:N343)</f>
        <v>0</v>
      </c>
      <c r="J343" s="880"/>
      <c r="K343" s="880"/>
      <c r="L343" s="880"/>
      <c r="M343" s="880"/>
      <c r="N343" s="881"/>
    </row>
    <row r="344" spans="1:14" s="890" customFormat="1" ht="18" customHeight="1">
      <c r="A344" s="455">
        <v>310</v>
      </c>
      <c r="B344" s="884"/>
      <c r="C344" s="885"/>
      <c r="D344" s="483" t="s">
        <v>1091</v>
      </c>
      <c r="E344" s="887"/>
      <c r="F344" s="887"/>
      <c r="G344" s="888"/>
      <c r="H344" s="889"/>
      <c r="I344" s="1238">
        <f>SUM(J344:N344)</f>
        <v>2080</v>
      </c>
      <c r="J344" s="1245">
        <f>SUM(J342:J343)</f>
        <v>1800</v>
      </c>
      <c r="K344" s="1245">
        <f>SUM(K342:K343)</f>
        <v>280</v>
      </c>
      <c r="L344" s="880"/>
      <c r="M344" s="880"/>
      <c r="N344" s="881"/>
    </row>
    <row r="345" spans="1:16" s="87" customFormat="1" ht="22.5" customHeight="1">
      <c r="A345" s="455">
        <v>311</v>
      </c>
      <c r="B345" s="451"/>
      <c r="C345" s="120">
        <v>54</v>
      </c>
      <c r="D345" s="450" t="s">
        <v>72</v>
      </c>
      <c r="E345" s="122">
        <v>0</v>
      </c>
      <c r="F345" s="122">
        <v>85</v>
      </c>
      <c r="G345" s="123">
        <v>0</v>
      </c>
      <c r="H345" s="457" t="s">
        <v>23</v>
      </c>
      <c r="I345" s="879"/>
      <c r="J345" s="1033"/>
      <c r="K345" s="1033"/>
      <c r="L345" s="1033"/>
      <c r="M345" s="1033"/>
      <c r="N345" s="1034"/>
      <c r="P345" s="446"/>
    </row>
    <row r="346" spans="1:14" s="890" customFormat="1" ht="18" customHeight="1">
      <c r="A346" s="455">
        <v>312</v>
      </c>
      <c r="B346" s="884"/>
      <c r="C346" s="885"/>
      <c r="D346" s="886" t="s">
        <v>283</v>
      </c>
      <c r="E346" s="887"/>
      <c r="F346" s="887"/>
      <c r="G346" s="888"/>
      <c r="H346" s="889"/>
      <c r="I346" s="879">
        <f>SUM(J346:N346)</f>
        <v>100</v>
      </c>
      <c r="J346" s="880"/>
      <c r="K346" s="880"/>
      <c r="L346" s="880"/>
      <c r="M346" s="880">
        <v>100</v>
      </c>
      <c r="N346" s="881"/>
    </row>
    <row r="347" spans="1:14" s="890" customFormat="1" ht="18" customHeight="1">
      <c r="A347" s="455">
        <v>313</v>
      </c>
      <c r="B347" s="884"/>
      <c r="C347" s="885"/>
      <c r="D347" s="1679" t="s">
        <v>938</v>
      </c>
      <c r="E347" s="887"/>
      <c r="F347" s="887"/>
      <c r="G347" s="888"/>
      <c r="H347" s="889"/>
      <c r="I347" s="1238">
        <f>SUM(J347:N347)</f>
        <v>100</v>
      </c>
      <c r="J347" s="1245"/>
      <c r="K347" s="1245"/>
      <c r="L347" s="1245"/>
      <c r="M347" s="1245">
        <v>100</v>
      </c>
      <c r="N347" s="881"/>
    </row>
    <row r="348" spans="1:14" s="890" customFormat="1" ht="18" customHeight="1">
      <c r="A348" s="455">
        <v>314</v>
      </c>
      <c r="B348" s="884"/>
      <c r="C348" s="885"/>
      <c r="D348" s="1146" t="s">
        <v>674</v>
      </c>
      <c r="E348" s="887"/>
      <c r="F348" s="887"/>
      <c r="G348" s="888"/>
      <c r="H348" s="889"/>
      <c r="I348" s="1241">
        <f>SUM(J348:N348)</f>
        <v>0</v>
      </c>
      <c r="J348" s="880"/>
      <c r="K348" s="880"/>
      <c r="L348" s="880"/>
      <c r="M348" s="880"/>
      <c r="N348" s="881"/>
    </row>
    <row r="349" spans="1:14" s="890" customFormat="1" ht="18" customHeight="1">
      <c r="A349" s="455">
        <v>315</v>
      </c>
      <c r="B349" s="884"/>
      <c r="C349" s="885"/>
      <c r="D349" s="483" t="s">
        <v>1091</v>
      </c>
      <c r="E349" s="887"/>
      <c r="F349" s="887"/>
      <c r="G349" s="888"/>
      <c r="H349" s="889"/>
      <c r="I349" s="1238">
        <f>SUM(J349:N349)</f>
        <v>100</v>
      </c>
      <c r="J349" s="880"/>
      <c r="K349" s="880"/>
      <c r="L349" s="880"/>
      <c r="M349" s="1245">
        <f>SUM(M347:M348)</f>
        <v>100</v>
      </c>
      <c r="N349" s="881"/>
    </row>
    <row r="350" spans="1:16" s="87" customFormat="1" ht="22.5" customHeight="1">
      <c r="A350" s="455">
        <v>316</v>
      </c>
      <c r="B350" s="451"/>
      <c r="C350" s="120">
        <v>55</v>
      </c>
      <c r="D350" s="450" t="s">
        <v>268</v>
      </c>
      <c r="E350" s="122">
        <v>6000</v>
      </c>
      <c r="F350" s="122">
        <v>5100</v>
      </c>
      <c r="G350" s="123">
        <v>6000</v>
      </c>
      <c r="H350" s="457" t="s">
        <v>22</v>
      </c>
      <c r="I350" s="879"/>
      <c r="J350" s="1033"/>
      <c r="K350" s="1033"/>
      <c r="L350" s="1033"/>
      <c r="M350" s="1033"/>
      <c r="N350" s="1034"/>
      <c r="P350" s="446"/>
    </row>
    <row r="351" spans="1:14" s="890" customFormat="1" ht="18" customHeight="1">
      <c r="A351" s="455">
        <v>317</v>
      </c>
      <c r="B351" s="884"/>
      <c r="C351" s="885"/>
      <c r="D351" s="886" t="s">
        <v>283</v>
      </c>
      <c r="E351" s="887"/>
      <c r="F351" s="887"/>
      <c r="G351" s="888"/>
      <c r="H351" s="889"/>
      <c r="I351" s="879">
        <f>SUM(J351:N351)</f>
        <v>6000</v>
      </c>
      <c r="J351" s="880"/>
      <c r="K351" s="880"/>
      <c r="L351" s="880">
        <v>6000</v>
      </c>
      <c r="M351" s="880"/>
      <c r="N351" s="881"/>
    </row>
    <row r="352" spans="1:14" s="890" customFormat="1" ht="18" customHeight="1">
      <c r="A352" s="455">
        <v>318</v>
      </c>
      <c r="B352" s="884"/>
      <c r="C352" s="885"/>
      <c r="D352" s="1679" t="s">
        <v>938</v>
      </c>
      <c r="E352" s="887"/>
      <c r="F352" s="887"/>
      <c r="G352" s="888"/>
      <c r="H352" s="889"/>
      <c r="I352" s="1238">
        <f>SUM(J352:N352)</f>
        <v>6000</v>
      </c>
      <c r="J352" s="1245"/>
      <c r="K352" s="1245"/>
      <c r="L352" s="1245">
        <v>6000</v>
      </c>
      <c r="M352" s="880"/>
      <c r="N352" s="881"/>
    </row>
    <row r="353" spans="1:14" s="890" customFormat="1" ht="18" customHeight="1">
      <c r="A353" s="455">
        <v>319</v>
      </c>
      <c r="B353" s="884"/>
      <c r="C353" s="885"/>
      <c r="D353" s="1146" t="s">
        <v>674</v>
      </c>
      <c r="E353" s="887"/>
      <c r="F353" s="887"/>
      <c r="G353" s="888"/>
      <c r="H353" s="889"/>
      <c r="I353" s="1241">
        <f>SUM(J353:N353)</f>
        <v>0</v>
      </c>
      <c r="J353" s="880"/>
      <c r="K353" s="880"/>
      <c r="L353" s="880"/>
      <c r="M353" s="880"/>
      <c r="N353" s="881"/>
    </row>
    <row r="354" spans="1:14" s="890" customFormat="1" ht="18" customHeight="1">
      <c r="A354" s="455">
        <v>320</v>
      </c>
      <c r="B354" s="884"/>
      <c r="C354" s="885"/>
      <c r="D354" s="483" t="s">
        <v>1091</v>
      </c>
      <c r="E354" s="887"/>
      <c r="F354" s="887"/>
      <c r="G354" s="888"/>
      <c r="H354" s="889"/>
      <c r="I354" s="1238">
        <f>SUM(J354:N354)</f>
        <v>6000</v>
      </c>
      <c r="J354" s="880"/>
      <c r="K354" s="880"/>
      <c r="L354" s="1245">
        <f>SUM(L352:L353)</f>
        <v>6000</v>
      </c>
      <c r="M354" s="880"/>
      <c r="N354" s="881"/>
    </row>
    <row r="355" spans="1:16" s="87" customFormat="1" ht="22.5" customHeight="1">
      <c r="A355" s="455">
        <v>321</v>
      </c>
      <c r="B355" s="451"/>
      <c r="C355" s="120">
        <v>56</v>
      </c>
      <c r="D355" s="450" t="s">
        <v>281</v>
      </c>
      <c r="E355" s="122">
        <v>12000</v>
      </c>
      <c r="F355" s="122">
        <v>10200</v>
      </c>
      <c r="G355" s="123">
        <v>10200</v>
      </c>
      <c r="H355" s="457" t="s">
        <v>22</v>
      </c>
      <c r="I355" s="879"/>
      <c r="J355" s="1033"/>
      <c r="K355" s="1033"/>
      <c r="L355" s="1033"/>
      <c r="M355" s="1033"/>
      <c r="N355" s="1034"/>
      <c r="P355" s="446"/>
    </row>
    <row r="356" spans="1:14" s="890" customFormat="1" ht="18" customHeight="1">
      <c r="A356" s="455">
        <v>322</v>
      </c>
      <c r="B356" s="884"/>
      <c r="C356" s="885"/>
      <c r="D356" s="886" t="s">
        <v>283</v>
      </c>
      <c r="E356" s="887"/>
      <c r="F356" s="887"/>
      <c r="G356" s="888"/>
      <c r="H356" s="889"/>
      <c r="I356" s="879">
        <f>SUM(J356:N356)</f>
        <v>12000</v>
      </c>
      <c r="J356" s="880"/>
      <c r="K356" s="880"/>
      <c r="L356" s="880"/>
      <c r="M356" s="880"/>
      <c r="N356" s="881">
        <v>12000</v>
      </c>
    </row>
    <row r="357" spans="1:14" s="890" customFormat="1" ht="18" customHeight="1">
      <c r="A357" s="455">
        <v>323</v>
      </c>
      <c r="B357" s="884"/>
      <c r="C357" s="885"/>
      <c r="D357" s="1679" t="s">
        <v>938</v>
      </c>
      <c r="E357" s="887"/>
      <c r="F357" s="887"/>
      <c r="G357" s="888"/>
      <c r="H357" s="889"/>
      <c r="I357" s="1238">
        <f>SUM(J357:N357)</f>
        <v>12000</v>
      </c>
      <c r="J357" s="1245"/>
      <c r="K357" s="1245"/>
      <c r="L357" s="1245"/>
      <c r="M357" s="1245"/>
      <c r="N357" s="1251">
        <v>12000</v>
      </c>
    </row>
    <row r="358" spans="1:14" s="890" customFormat="1" ht="18" customHeight="1">
      <c r="A358" s="455">
        <v>324</v>
      </c>
      <c r="B358" s="884"/>
      <c r="C358" s="885"/>
      <c r="D358" s="1146" t="s">
        <v>674</v>
      </c>
      <c r="E358" s="887"/>
      <c r="F358" s="887"/>
      <c r="G358" s="888"/>
      <c r="H358" s="889"/>
      <c r="I358" s="1241">
        <f>SUM(J358:N358)</f>
        <v>0</v>
      </c>
      <c r="J358" s="880"/>
      <c r="K358" s="880"/>
      <c r="L358" s="880"/>
      <c r="M358" s="880"/>
      <c r="N358" s="881"/>
    </row>
    <row r="359" spans="1:14" s="890" customFormat="1" ht="18" customHeight="1">
      <c r="A359" s="455">
        <v>325</v>
      </c>
      <c r="B359" s="884"/>
      <c r="C359" s="885"/>
      <c r="D359" s="483" t="s">
        <v>1091</v>
      </c>
      <c r="E359" s="887"/>
      <c r="F359" s="887"/>
      <c r="G359" s="888"/>
      <c r="H359" s="889"/>
      <c r="I359" s="1238">
        <f>SUM(J359:N359)</f>
        <v>12000</v>
      </c>
      <c r="J359" s="880"/>
      <c r="K359" s="880"/>
      <c r="L359" s="880"/>
      <c r="M359" s="880"/>
      <c r="N359" s="1251">
        <f>SUM(N357:N358)</f>
        <v>12000</v>
      </c>
    </row>
    <row r="360" spans="1:16" s="87" customFormat="1" ht="22.5" customHeight="1">
      <c r="A360" s="455">
        <v>326</v>
      </c>
      <c r="B360" s="451"/>
      <c r="C360" s="120">
        <v>57</v>
      </c>
      <c r="D360" s="450" t="s">
        <v>73</v>
      </c>
      <c r="E360" s="122">
        <v>60000</v>
      </c>
      <c r="F360" s="122">
        <v>60000</v>
      </c>
      <c r="G360" s="123">
        <v>60000</v>
      </c>
      <c r="H360" s="457" t="s">
        <v>22</v>
      </c>
      <c r="I360" s="879"/>
      <c r="J360" s="1033"/>
      <c r="K360" s="1033"/>
      <c r="L360" s="1033"/>
      <c r="M360" s="1033"/>
      <c r="N360" s="1034"/>
      <c r="P360" s="446"/>
    </row>
    <row r="361" spans="1:14" s="890" customFormat="1" ht="18" customHeight="1">
      <c r="A361" s="455">
        <v>327</v>
      </c>
      <c r="B361" s="884"/>
      <c r="C361" s="885"/>
      <c r="D361" s="886" t="s">
        <v>283</v>
      </c>
      <c r="E361" s="887"/>
      <c r="F361" s="887"/>
      <c r="G361" s="888"/>
      <c r="H361" s="889"/>
      <c r="I361" s="879">
        <f>SUM(J361:N361)</f>
        <v>60000</v>
      </c>
      <c r="J361" s="880"/>
      <c r="K361" s="880"/>
      <c r="L361" s="880"/>
      <c r="M361" s="880"/>
      <c r="N361" s="881">
        <v>60000</v>
      </c>
    </row>
    <row r="362" spans="1:14" s="890" customFormat="1" ht="18" customHeight="1">
      <c r="A362" s="455">
        <v>328</v>
      </c>
      <c r="B362" s="884"/>
      <c r="C362" s="885"/>
      <c r="D362" s="1679" t="s">
        <v>938</v>
      </c>
      <c r="E362" s="887"/>
      <c r="F362" s="887"/>
      <c r="G362" s="888"/>
      <c r="H362" s="889"/>
      <c r="I362" s="1238">
        <f>SUM(J362:N362)</f>
        <v>60000</v>
      </c>
      <c r="J362" s="1245"/>
      <c r="K362" s="1245"/>
      <c r="L362" s="1245"/>
      <c r="M362" s="1245"/>
      <c r="N362" s="1251">
        <v>60000</v>
      </c>
    </row>
    <row r="363" spans="1:14" s="890" customFormat="1" ht="18" customHeight="1">
      <c r="A363" s="455">
        <v>329</v>
      </c>
      <c r="B363" s="884"/>
      <c r="C363" s="885"/>
      <c r="D363" s="1146" t="s">
        <v>674</v>
      </c>
      <c r="E363" s="887"/>
      <c r="F363" s="887"/>
      <c r="G363" s="888"/>
      <c r="H363" s="889"/>
      <c r="I363" s="1241">
        <f>SUM(J363:N363)</f>
        <v>0</v>
      </c>
      <c r="J363" s="880"/>
      <c r="K363" s="880"/>
      <c r="L363" s="880"/>
      <c r="M363" s="880"/>
      <c r="N363" s="881"/>
    </row>
    <row r="364" spans="1:14" s="890" customFormat="1" ht="18" customHeight="1">
      <c r="A364" s="455">
        <v>330</v>
      </c>
      <c r="B364" s="884"/>
      <c r="C364" s="885"/>
      <c r="D364" s="483" t="s">
        <v>1091</v>
      </c>
      <c r="E364" s="887"/>
      <c r="F364" s="887"/>
      <c r="G364" s="888"/>
      <c r="H364" s="889"/>
      <c r="I364" s="1238">
        <f>SUM(J364:N364)</f>
        <v>60000</v>
      </c>
      <c r="J364" s="880"/>
      <c r="K364" s="880"/>
      <c r="L364" s="880"/>
      <c r="M364" s="880"/>
      <c r="N364" s="1251">
        <f>SUM(N362:N363)</f>
        <v>60000</v>
      </c>
    </row>
    <row r="365" spans="1:16" s="87" customFormat="1" ht="22.5" customHeight="1">
      <c r="A365" s="455">
        <v>331</v>
      </c>
      <c r="B365" s="451"/>
      <c r="C365" s="120">
        <v>58</v>
      </c>
      <c r="D365" s="450" t="s">
        <v>367</v>
      </c>
      <c r="E365" s="122">
        <v>458587</v>
      </c>
      <c r="F365" s="122">
        <v>454892</v>
      </c>
      <c r="G365" s="123">
        <v>569174</v>
      </c>
      <c r="H365" s="457" t="s">
        <v>22</v>
      </c>
      <c r="I365" s="879"/>
      <c r="J365" s="1033"/>
      <c r="K365" s="1033"/>
      <c r="L365" s="1033"/>
      <c r="M365" s="1033"/>
      <c r="N365" s="1034"/>
      <c r="P365" s="446"/>
    </row>
    <row r="366" spans="1:14" s="890" customFormat="1" ht="18" customHeight="1">
      <c r="A366" s="455">
        <v>332</v>
      </c>
      <c r="B366" s="884"/>
      <c r="C366" s="885"/>
      <c r="D366" s="886" t="s">
        <v>283</v>
      </c>
      <c r="E366" s="887"/>
      <c r="F366" s="887"/>
      <c r="G366" s="888"/>
      <c r="H366" s="889"/>
      <c r="I366" s="879">
        <f>SUM(J366:N366)</f>
        <v>504713</v>
      </c>
      <c r="J366" s="880"/>
      <c r="K366" s="880"/>
      <c r="L366" s="880"/>
      <c r="M366" s="880"/>
      <c r="N366" s="881">
        <v>504713</v>
      </c>
    </row>
    <row r="367" spans="1:14" s="890" customFormat="1" ht="18" customHeight="1">
      <c r="A367" s="455">
        <v>333</v>
      </c>
      <c r="B367" s="884"/>
      <c r="C367" s="885"/>
      <c r="D367" s="1679" t="s">
        <v>938</v>
      </c>
      <c r="E367" s="887"/>
      <c r="F367" s="887"/>
      <c r="G367" s="888"/>
      <c r="H367" s="889"/>
      <c r="I367" s="1238">
        <f>SUM(J367:N367)</f>
        <v>551802</v>
      </c>
      <c r="J367" s="1245"/>
      <c r="K367" s="1245"/>
      <c r="L367" s="1245"/>
      <c r="M367" s="1245"/>
      <c r="N367" s="1251">
        <v>551802</v>
      </c>
    </row>
    <row r="368" spans="1:14" s="890" customFormat="1" ht="18" customHeight="1">
      <c r="A368" s="455">
        <v>334</v>
      </c>
      <c r="B368" s="884"/>
      <c r="C368" s="885"/>
      <c r="D368" s="1146" t="s">
        <v>941</v>
      </c>
      <c r="E368" s="887"/>
      <c r="F368" s="887"/>
      <c r="G368" s="888"/>
      <c r="H368" s="889"/>
      <c r="I368" s="1241">
        <f>SUM(J368:N368)</f>
        <v>20520</v>
      </c>
      <c r="J368" s="880"/>
      <c r="K368" s="880"/>
      <c r="L368" s="880"/>
      <c r="M368" s="880"/>
      <c r="N368" s="1246">
        <v>20520</v>
      </c>
    </row>
    <row r="369" spans="1:14" s="890" customFormat="1" ht="18" customHeight="1">
      <c r="A369" s="455">
        <v>335</v>
      </c>
      <c r="B369" s="884"/>
      <c r="C369" s="885"/>
      <c r="D369" s="1146" t="s">
        <v>940</v>
      </c>
      <c r="E369" s="887"/>
      <c r="F369" s="887"/>
      <c r="G369" s="888"/>
      <c r="H369" s="889"/>
      <c r="I369" s="1241">
        <f>SUM(J369:N369)</f>
        <v>2384</v>
      </c>
      <c r="J369" s="880"/>
      <c r="K369" s="880"/>
      <c r="L369" s="880"/>
      <c r="M369" s="880"/>
      <c r="N369" s="1246">
        <v>2384</v>
      </c>
    </row>
    <row r="370" spans="1:14" s="890" customFormat="1" ht="18" customHeight="1">
      <c r="A370" s="455">
        <v>336</v>
      </c>
      <c r="B370" s="884"/>
      <c r="C370" s="885"/>
      <c r="D370" s="483" t="s">
        <v>1091</v>
      </c>
      <c r="E370" s="887"/>
      <c r="F370" s="887"/>
      <c r="G370" s="888"/>
      <c r="H370" s="889"/>
      <c r="I370" s="1238">
        <f>SUM(J370:N370)</f>
        <v>574706</v>
      </c>
      <c r="J370" s="880"/>
      <c r="K370" s="880"/>
      <c r="L370" s="880"/>
      <c r="M370" s="880"/>
      <c r="N370" s="1251">
        <f>SUM(N367:N369)</f>
        <v>574706</v>
      </c>
    </row>
    <row r="371" spans="1:16" s="87" customFormat="1" ht="22.5" customHeight="1">
      <c r="A371" s="455">
        <v>337</v>
      </c>
      <c r="B371" s="451"/>
      <c r="C371" s="120">
        <v>59</v>
      </c>
      <c r="D371" s="450" t="s">
        <v>298</v>
      </c>
      <c r="E371" s="122">
        <v>68585</v>
      </c>
      <c r="F371" s="122">
        <v>98406</v>
      </c>
      <c r="G371" s="123">
        <v>90437</v>
      </c>
      <c r="H371" s="457" t="s">
        <v>22</v>
      </c>
      <c r="I371" s="879"/>
      <c r="J371" s="1033"/>
      <c r="K371" s="1033"/>
      <c r="L371" s="1033"/>
      <c r="M371" s="1033"/>
      <c r="N371" s="1034"/>
      <c r="P371" s="446"/>
    </row>
    <row r="372" spans="1:14" s="890" customFormat="1" ht="18" customHeight="1">
      <c r="A372" s="455">
        <v>338</v>
      </c>
      <c r="B372" s="884"/>
      <c r="C372" s="885"/>
      <c r="D372" s="886" t="s">
        <v>283</v>
      </c>
      <c r="E372" s="887"/>
      <c r="F372" s="887"/>
      <c r="G372" s="888"/>
      <c r="H372" s="889"/>
      <c r="I372" s="879">
        <f>SUM(J372:N372)</f>
        <v>99619</v>
      </c>
      <c r="J372" s="880"/>
      <c r="K372" s="880"/>
      <c r="L372" s="880">
        <v>99619</v>
      </c>
      <c r="M372" s="880"/>
      <c r="N372" s="881"/>
    </row>
    <row r="373" spans="1:14" s="890" customFormat="1" ht="18" customHeight="1">
      <c r="A373" s="455">
        <v>339</v>
      </c>
      <c r="B373" s="884"/>
      <c r="C373" s="885"/>
      <c r="D373" s="1679" t="s">
        <v>938</v>
      </c>
      <c r="E373" s="887"/>
      <c r="F373" s="887"/>
      <c r="G373" s="888"/>
      <c r="H373" s="889"/>
      <c r="I373" s="1238">
        <f>SUM(J373:N373)</f>
        <v>107588</v>
      </c>
      <c r="J373" s="1245"/>
      <c r="K373" s="1245"/>
      <c r="L373" s="1245">
        <v>107588</v>
      </c>
      <c r="M373" s="880"/>
      <c r="N373" s="881"/>
    </row>
    <row r="374" spans="1:14" s="890" customFormat="1" ht="18" customHeight="1">
      <c r="A374" s="455">
        <v>340</v>
      </c>
      <c r="B374" s="884"/>
      <c r="C374" s="885"/>
      <c r="D374" s="1146" t="s">
        <v>725</v>
      </c>
      <c r="E374" s="887"/>
      <c r="F374" s="887"/>
      <c r="G374" s="888"/>
      <c r="H374" s="889"/>
      <c r="I374" s="1241">
        <f>SUM(J374:N374)</f>
        <v>0</v>
      </c>
      <c r="J374" s="880"/>
      <c r="K374" s="880"/>
      <c r="L374" s="1247"/>
      <c r="M374" s="880"/>
      <c r="N374" s="881"/>
    </row>
    <row r="375" spans="1:14" s="890" customFormat="1" ht="18" customHeight="1">
      <c r="A375" s="455">
        <v>341</v>
      </c>
      <c r="B375" s="884"/>
      <c r="C375" s="885"/>
      <c r="D375" s="483" t="s">
        <v>1091</v>
      </c>
      <c r="E375" s="887"/>
      <c r="F375" s="887"/>
      <c r="G375" s="888"/>
      <c r="H375" s="889"/>
      <c r="I375" s="1238">
        <f>SUM(J375:N375)</f>
        <v>107588</v>
      </c>
      <c r="J375" s="880"/>
      <c r="K375" s="880"/>
      <c r="L375" s="1245">
        <f>SUM(L373:L374)</f>
        <v>107588</v>
      </c>
      <c r="M375" s="880"/>
      <c r="N375" s="881"/>
    </row>
    <row r="376" spans="1:14" s="8" customFormat="1" ht="22.5" customHeight="1">
      <c r="A376" s="455">
        <v>342</v>
      </c>
      <c r="B376" s="124"/>
      <c r="C376" s="120">
        <v>60</v>
      </c>
      <c r="D376" s="449" t="s">
        <v>354</v>
      </c>
      <c r="E376" s="122">
        <v>2180</v>
      </c>
      <c r="F376" s="122">
        <v>3264</v>
      </c>
      <c r="G376" s="123">
        <v>2348</v>
      </c>
      <c r="H376" s="457" t="s">
        <v>23</v>
      </c>
      <c r="I376" s="879"/>
      <c r="J376" s="1033"/>
      <c r="K376" s="1033"/>
      <c r="L376" s="1033"/>
      <c r="M376" s="1033"/>
      <c r="N376" s="1034"/>
    </row>
    <row r="377" spans="1:14" s="890" customFormat="1" ht="18" customHeight="1">
      <c r="A377" s="455">
        <v>343</v>
      </c>
      <c r="B377" s="884"/>
      <c r="C377" s="885"/>
      <c r="D377" s="886" t="s">
        <v>283</v>
      </c>
      <c r="E377" s="887"/>
      <c r="F377" s="887"/>
      <c r="G377" s="888"/>
      <c r="H377" s="889"/>
      <c r="I377" s="879">
        <f>SUM(J377:N377)</f>
        <v>3840</v>
      </c>
      <c r="J377" s="880"/>
      <c r="K377" s="880"/>
      <c r="L377" s="880">
        <v>3840</v>
      </c>
      <c r="M377" s="880"/>
      <c r="N377" s="881"/>
    </row>
    <row r="378" spans="1:14" s="890" customFormat="1" ht="18" customHeight="1">
      <c r="A378" s="455">
        <v>344</v>
      </c>
      <c r="B378" s="884"/>
      <c r="C378" s="885"/>
      <c r="D378" s="1679" t="s">
        <v>938</v>
      </c>
      <c r="E378" s="887"/>
      <c r="F378" s="887"/>
      <c r="G378" s="888"/>
      <c r="H378" s="889"/>
      <c r="I378" s="1238">
        <f>SUM(J378:N378)</f>
        <v>3840</v>
      </c>
      <c r="J378" s="1245"/>
      <c r="K378" s="1245"/>
      <c r="L378" s="1245">
        <v>3840</v>
      </c>
      <c r="M378" s="880"/>
      <c r="N378" s="881"/>
    </row>
    <row r="379" spans="1:14" s="890" customFormat="1" ht="18" customHeight="1">
      <c r="A379" s="455">
        <v>345</v>
      </c>
      <c r="B379" s="884"/>
      <c r="C379" s="885"/>
      <c r="D379" s="1146" t="s">
        <v>674</v>
      </c>
      <c r="E379" s="887"/>
      <c r="F379" s="887"/>
      <c r="G379" s="888"/>
      <c r="H379" s="889"/>
      <c r="I379" s="1241">
        <f>SUM(J379:N379)</f>
        <v>0</v>
      </c>
      <c r="J379" s="880"/>
      <c r="K379" s="880"/>
      <c r="L379" s="880"/>
      <c r="M379" s="880"/>
      <c r="N379" s="881"/>
    </row>
    <row r="380" spans="1:14" s="890" customFormat="1" ht="18" customHeight="1">
      <c r="A380" s="455">
        <v>346</v>
      </c>
      <c r="B380" s="884"/>
      <c r="C380" s="885"/>
      <c r="D380" s="483" t="s">
        <v>1091</v>
      </c>
      <c r="E380" s="887"/>
      <c r="F380" s="887"/>
      <c r="G380" s="888"/>
      <c r="H380" s="889"/>
      <c r="I380" s="1238">
        <f>SUM(J380:N380)</f>
        <v>3840</v>
      </c>
      <c r="J380" s="880"/>
      <c r="K380" s="880"/>
      <c r="L380" s="1245">
        <f>SUM(L378:L379)</f>
        <v>3840</v>
      </c>
      <c r="M380" s="880"/>
      <c r="N380" s="881"/>
    </row>
    <row r="381" spans="1:14" s="8" customFormat="1" ht="22.5" customHeight="1">
      <c r="A381" s="455">
        <v>347</v>
      </c>
      <c r="B381" s="124"/>
      <c r="C381" s="120">
        <v>61</v>
      </c>
      <c r="D381" s="449" t="s">
        <v>355</v>
      </c>
      <c r="E381" s="122">
        <v>0</v>
      </c>
      <c r="F381" s="122">
        <v>3400</v>
      </c>
      <c r="G381" s="123">
        <v>0</v>
      </c>
      <c r="H381" s="457" t="s">
        <v>23</v>
      </c>
      <c r="I381" s="879"/>
      <c r="J381" s="1033"/>
      <c r="K381" s="1033"/>
      <c r="L381" s="1033"/>
      <c r="M381" s="1033"/>
      <c r="N381" s="1034"/>
    </row>
    <row r="382" spans="1:16" s="3" customFormat="1" ht="22.5" customHeight="1">
      <c r="A382" s="455">
        <v>348</v>
      </c>
      <c r="B382" s="119"/>
      <c r="C382" s="120">
        <v>62</v>
      </c>
      <c r="D382" s="450" t="s">
        <v>74</v>
      </c>
      <c r="E382" s="122">
        <v>1700</v>
      </c>
      <c r="F382" s="122">
        <v>1445</v>
      </c>
      <c r="G382" s="123">
        <v>1445</v>
      </c>
      <c r="H382" s="457" t="s">
        <v>23</v>
      </c>
      <c r="I382" s="879"/>
      <c r="J382" s="1033"/>
      <c r="K382" s="1033"/>
      <c r="L382" s="1033"/>
      <c r="M382" s="1033"/>
      <c r="N382" s="1034"/>
      <c r="P382" s="8"/>
    </row>
    <row r="383" spans="1:14" s="890" customFormat="1" ht="18" customHeight="1">
      <c r="A383" s="455">
        <v>349</v>
      </c>
      <c r="B383" s="884"/>
      <c r="C383" s="885"/>
      <c r="D383" s="886" t="s">
        <v>283</v>
      </c>
      <c r="E383" s="887"/>
      <c r="F383" s="887"/>
      <c r="G383" s="888"/>
      <c r="H383" s="889"/>
      <c r="I383" s="879">
        <f>SUM(J383:N383)</f>
        <v>1700</v>
      </c>
      <c r="J383" s="880"/>
      <c r="K383" s="880"/>
      <c r="L383" s="880">
        <v>1700</v>
      </c>
      <c r="M383" s="880"/>
      <c r="N383" s="881"/>
    </row>
    <row r="384" spans="1:14" s="890" customFormat="1" ht="18" customHeight="1">
      <c r="A384" s="455">
        <v>350</v>
      </c>
      <c r="B384" s="884"/>
      <c r="C384" s="885"/>
      <c r="D384" s="1679" t="s">
        <v>938</v>
      </c>
      <c r="E384" s="887"/>
      <c r="F384" s="887"/>
      <c r="G384" s="888"/>
      <c r="H384" s="889"/>
      <c r="I384" s="1238">
        <f>SUM(J384:N384)</f>
        <v>1700</v>
      </c>
      <c r="J384" s="1245"/>
      <c r="K384" s="1245"/>
      <c r="L384" s="1245">
        <v>1700</v>
      </c>
      <c r="M384" s="880"/>
      <c r="N384" s="881"/>
    </row>
    <row r="385" spans="1:14" s="890" customFormat="1" ht="18" customHeight="1">
      <c r="A385" s="455">
        <v>351</v>
      </c>
      <c r="B385" s="884"/>
      <c r="C385" s="885"/>
      <c r="D385" s="1146" t="s">
        <v>674</v>
      </c>
      <c r="E385" s="887"/>
      <c r="F385" s="887"/>
      <c r="G385" s="888"/>
      <c r="H385" s="889"/>
      <c r="I385" s="1241">
        <f>SUM(J385:N385)</f>
        <v>0</v>
      </c>
      <c r="J385" s="880"/>
      <c r="K385" s="880"/>
      <c r="L385" s="880"/>
      <c r="M385" s="880"/>
      <c r="N385" s="881"/>
    </row>
    <row r="386" spans="1:14" s="890" customFormat="1" ht="18" customHeight="1">
      <c r="A386" s="455">
        <v>352</v>
      </c>
      <c r="B386" s="884"/>
      <c r="C386" s="885"/>
      <c r="D386" s="483" t="s">
        <v>1091</v>
      </c>
      <c r="E386" s="887"/>
      <c r="F386" s="887"/>
      <c r="G386" s="888"/>
      <c r="H386" s="889"/>
      <c r="I386" s="1238">
        <f>SUM(J386:N386)</f>
        <v>1700</v>
      </c>
      <c r="J386" s="880"/>
      <c r="K386" s="880"/>
      <c r="L386" s="1245">
        <f>SUM(L384:L385)</f>
        <v>1700</v>
      </c>
      <c r="M386" s="880"/>
      <c r="N386" s="881"/>
    </row>
    <row r="387" spans="1:16" s="3" customFormat="1" ht="22.5" customHeight="1">
      <c r="A387" s="455">
        <v>353</v>
      </c>
      <c r="B387" s="119"/>
      <c r="C387" s="120">
        <v>63</v>
      </c>
      <c r="D387" s="450" t="s">
        <v>334</v>
      </c>
      <c r="E387" s="122"/>
      <c r="F387" s="122">
        <v>850</v>
      </c>
      <c r="G387" s="123">
        <v>0</v>
      </c>
      <c r="H387" s="457" t="s">
        <v>23</v>
      </c>
      <c r="I387" s="879"/>
      <c r="J387" s="1033"/>
      <c r="K387" s="1033"/>
      <c r="L387" s="1033"/>
      <c r="M387" s="1033"/>
      <c r="N387" s="1034"/>
      <c r="P387" s="8"/>
    </row>
    <row r="388" spans="1:14" s="890" customFormat="1" ht="18" customHeight="1">
      <c r="A388" s="455">
        <v>354</v>
      </c>
      <c r="B388" s="884"/>
      <c r="C388" s="885"/>
      <c r="D388" s="886" t="s">
        <v>283</v>
      </c>
      <c r="E388" s="887"/>
      <c r="F388" s="887"/>
      <c r="G388" s="888"/>
      <c r="H388" s="889"/>
      <c r="I388" s="879">
        <f>SUM(J388:N388)</f>
        <v>1000</v>
      </c>
      <c r="J388" s="880"/>
      <c r="K388" s="880"/>
      <c r="L388" s="880"/>
      <c r="M388" s="880"/>
      <c r="N388" s="881">
        <v>1000</v>
      </c>
    </row>
    <row r="389" spans="1:14" s="890" customFormat="1" ht="18" customHeight="1">
      <c r="A389" s="455">
        <v>355</v>
      </c>
      <c r="B389" s="884"/>
      <c r="C389" s="885"/>
      <c r="D389" s="1679" t="s">
        <v>938</v>
      </c>
      <c r="E389" s="887"/>
      <c r="F389" s="887"/>
      <c r="G389" s="888"/>
      <c r="H389" s="889"/>
      <c r="I389" s="1238">
        <f>SUM(J389:N389)</f>
        <v>1000</v>
      </c>
      <c r="J389" s="1245"/>
      <c r="K389" s="1245"/>
      <c r="L389" s="1245"/>
      <c r="M389" s="1245"/>
      <c r="N389" s="1251">
        <v>1000</v>
      </c>
    </row>
    <row r="390" spans="1:14" s="890" customFormat="1" ht="18" customHeight="1">
      <c r="A390" s="455">
        <v>356</v>
      </c>
      <c r="B390" s="884"/>
      <c r="C390" s="885"/>
      <c r="D390" s="1146" t="s">
        <v>674</v>
      </c>
      <c r="E390" s="887"/>
      <c r="F390" s="887"/>
      <c r="G390" s="888"/>
      <c r="H390" s="889"/>
      <c r="I390" s="1241">
        <f>SUM(J390:N390)</f>
        <v>0</v>
      </c>
      <c r="J390" s="880"/>
      <c r="K390" s="880"/>
      <c r="L390" s="880"/>
      <c r="M390" s="880"/>
      <c r="N390" s="881"/>
    </row>
    <row r="391" spans="1:14" s="890" customFormat="1" ht="18" customHeight="1">
      <c r="A391" s="455">
        <v>357</v>
      </c>
      <c r="B391" s="884"/>
      <c r="C391" s="885"/>
      <c r="D391" s="483" t="s">
        <v>1091</v>
      </c>
      <c r="E391" s="887"/>
      <c r="F391" s="887"/>
      <c r="G391" s="888"/>
      <c r="H391" s="889"/>
      <c r="I391" s="1238">
        <f>SUM(J391:N391)</f>
        <v>1000</v>
      </c>
      <c r="J391" s="880"/>
      <c r="K391" s="880"/>
      <c r="L391" s="880"/>
      <c r="M391" s="880"/>
      <c r="N391" s="1251">
        <f>SUM(N389:N390)</f>
        <v>1000</v>
      </c>
    </row>
    <row r="392" spans="1:16" s="3" customFormat="1" ht="22.5" customHeight="1">
      <c r="A392" s="455">
        <v>358</v>
      </c>
      <c r="B392" s="119"/>
      <c r="C392" s="120">
        <v>64</v>
      </c>
      <c r="D392" s="450" t="s">
        <v>75</v>
      </c>
      <c r="E392" s="122">
        <v>1000</v>
      </c>
      <c r="F392" s="122">
        <v>850</v>
      </c>
      <c r="G392" s="123">
        <v>710</v>
      </c>
      <c r="H392" s="457" t="s">
        <v>23</v>
      </c>
      <c r="I392" s="879"/>
      <c r="J392" s="1033"/>
      <c r="K392" s="1033"/>
      <c r="L392" s="1033"/>
      <c r="M392" s="1033"/>
      <c r="N392" s="1034"/>
      <c r="P392" s="8"/>
    </row>
    <row r="393" spans="1:14" s="890" customFormat="1" ht="18" customHeight="1">
      <c r="A393" s="455">
        <v>359</v>
      </c>
      <c r="B393" s="884"/>
      <c r="C393" s="885"/>
      <c r="D393" s="886" t="s">
        <v>283</v>
      </c>
      <c r="E393" s="887"/>
      <c r="F393" s="887"/>
      <c r="G393" s="888"/>
      <c r="H393" s="889"/>
      <c r="I393" s="879">
        <f>SUM(J393:N393)</f>
        <v>1000</v>
      </c>
      <c r="J393" s="880"/>
      <c r="K393" s="880"/>
      <c r="L393" s="880">
        <v>1000</v>
      </c>
      <c r="M393" s="880"/>
      <c r="N393" s="881"/>
    </row>
    <row r="394" spans="1:14" s="890" customFormat="1" ht="18" customHeight="1">
      <c r="A394" s="455">
        <v>360</v>
      </c>
      <c r="B394" s="884"/>
      <c r="C394" s="885"/>
      <c r="D394" s="1679" t="s">
        <v>938</v>
      </c>
      <c r="E394" s="887"/>
      <c r="F394" s="887"/>
      <c r="G394" s="888"/>
      <c r="H394" s="889"/>
      <c r="I394" s="1238">
        <f>SUM(J394:N394)</f>
        <v>1000</v>
      </c>
      <c r="J394" s="1245"/>
      <c r="K394" s="1245"/>
      <c r="L394" s="1245">
        <v>1000</v>
      </c>
      <c r="M394" s="880"/>
      <c r="N394" s="881"/>
    </row>
    <row r="395" spans="1:14" s="890" customFormat="1" ht="18" customHeight="1">
      <c r="A395" s="455">
        <v>361</v>
      </c>
      <c r="B395" s="884"/>
      <c r="C395" s="885"/>
      <c r="D395" s="1146" t="s">
        <v>674</v>
      </c>
      <c r="E395" s="887"/>
      <c r="F395" s="887"/>
      <c r="G395" s="888"/>
      <c r="H395" s="889"/>
      <c r="I395" s="1241">
        <f>SUM(J395:N395)</f>
        <v>0</v>
      </c>
      <c r="J395" s="880"/>
      <c r="K395" s="880"/>
      <c r="L395" s="880"/>
      <c r="M395" s="880"/>
      <c r="N395" s="881"/>
    </row>
    <row r="396" spans="1:14" s="890" customFormat="1" ht="18" customHeight="1">
      <c r="A396" s="455">
        <v>362</v>
      </c>
      <c r="B396" s="884"/>
      <c r="C396" s="885"/>
      <c r="D396" s="483" t="s">
        <v>1091</v>
      </c>
      <c r="E396" s="887"/>
      <c r="F396" s="887"/>
      <c r="G396" s="888"/>
      <c r="H396" s="889"/>
      <c r="I396" s="1238">
        <f>SUM(J396:N396)</f>
        <v>1000</v>
      </c>
      <c r="J396" s="880"/>
      <c r="K396" s="880"/>
      <c r="L396" s="1245">
        <f>SUM(L394:L395)</f>
        <v>1000</v>
      </c>
      <c r="M396" s="880"/>
      <c r="N396" s="881"/>
    </row>
    <row r="397" spans="1:14" s="8" customFormat="1" ht="22.5" customHeight="1">
      <c r="A397" s="455">
        <v>363</v>
      </c>
      <c r="B397" s="124"/>
      <c r="C397" s="120">
        <v>65</v>
      </c>
      <c r="D397" s="450" t="s">
        <v>499</v>
      </c>
      <c r="E397" s="122"/>
      <c r="F397" s="122">
        <v>1275</v>
      </c>
      <c r="G397" s="123">
        <v>1275</v>
      </c>
      <c r="H397" s="457" t="s">
        <v>23</v>
      </c>
      <c r="I397" s="879"/>
      <c r="J397" s="1033"/>
      <c r="K397" s="1033"/>
      <c r="L397" s="1033"/>
      <c r="M397" s="1033"/>
      <c r="N397" s="1034"/>
    </row>
    <row r="398" spans="1:16" s="3" customFormat="1" ht="22.5" customHeight="1">
      <c r="A398" s="455">
        <v>364</v>
      </c>
      <c r="B398" s="119"/>
      <c r="C398" s="120">
        <v>66</v>
      </c>
      <c r="D398" s="450" t="s">
        <v>76</v>
      </c>
      <c r="E398" s="122">
        <v>5500</v>
      </c>
      <c r="F398" s="122">
        <v>5500</v>
      </c>
      <c r="G398" s="123">
        <v>5500</v>
      </c>
      <c r="H398" s="457" t="s">
        <v>22</v>
      </c>
      <c r="I398" s="879"/>
      <c r="J398" s="1033"/>
      <c r="K398" s="1033"/>
      <c r="L398" s="1033"/>
      <c r="M398" s="1033"/>
      <c r="N398" s="1034"/>
      <c r="P398" s="8"/>
    </row>
    <row r="399" spans="1:14" s="890" customFormat="1" ht="18" customHeight="1">
      <c r="A399" s="455">
        <v>365</v>
      </c>
      <c r="B399" s="884"/>
      <c r="C399" s="885"/>
      <c r="D399" s="886" t="s">
        <v>283</v>
      </c>
      <c r="E399" s="887"/>
      <c r="F399" s="887"/>
      <c r="G399" s="888"/>
      <c r="H399" s="889"/>
      <c r="I399" s="879">
        <f>SUM(J399:N399)</f>
        <v>5500</v>
      </c>
      <c r="J399" s="880"/>
      <c r="K399" s="880"/>
      <c r="L399" s="880">
        <v>5500</v>
      </c>
      <c r="M399" s="880"/>
      <c r="N399" s="881"/>
    </row>
    <row r="400" spans="1:14" s="890" customFormat="1" ht="18" customHeight="1">
      <c r="A400" s="455">
        <v>366</v>
      </c>
      <c r="B400" s="884"/>
      <c r="C400" s="885"/>
      <c r="D400" s="1679" t="s">
        <v>938</v>
      </c>
      <c r="E400" s="887"/>
      <c r="F400" s="887"/>
      <c r="G400" s="888"/>
      <c r="H400" s="889"/>
      <c r="I400" s="1238">
        <f>SUM(J400:N400)</f>
        <v>5500</v>
      </c>
      <c r="J400" s="880"/>
      <c r="K400" s="880"/>
      <c r="L400" s="1245">
        <v>5500</v>
      </c>
      <c r="M400" s="880"/>
      <c r="N400" s="881"/>
    </row>
    <row r="401" spans="1:14" s="890" customFormat="1" ht="18" customHeight="1">
      <c r="A401" s="455">
        <v>367</v>
      </c>
      <c r="B401" s="884"/>
      <c r="C401" s="885"/>
      <c r="D401" s="1146" t="s">
        <v>674</v>
      </c>
      <c r="E401" s="887"/>
      <c r="F401" s="887"/>
      <c r="G401" s="888"/>
      <c r="H401" s="889"/>
      <c r="I401" s="1241">
        <f>SUM(J401:N401)</f>
        <v>0</v>
      </c>
      <c r="J401" s="880"/>
      <c r="K401" s="880"/>
      <c r="L401" s="880"/>
      <c r="M401" s="880"/>
      <c r="N401" s="881"/>
    </row>
    <row r="402" spans="1:14" s="890" customFormat="1" ht="18" customHeight="1">
      <c r="A402" s="455">
        <v>368</v>
      </c>
      <c r="B402" s="884"/>
      <c r="C402" s="885"/>
      <c r="D402" s="483" t="s">
        <v>1091</v>
      </c>
      <c r="E402" s="887"/>
      <c r="F402" s="887"/>
      <c r="G402" s="888"/>
      <c r="H402" s="889"/>
      <c r="I402" s="1238">
        <f>SUM(J402:N402)</f>
        <v>5500</v>
      </c>
      <c r="J402" s="880"/>
      <c r="K402" s="880"/>
      <c r="L402" s="1245">
        <f>SUM(L400:L401)</f>
        <v>5500</v>
      </c>
      <c r="M402" s="880"/>
      <c r="N402" s="881"/>
    </row>
    <row r="403" spans="1:16" s="3" customFormat="1" ht="22.5" customHeight="1">
      <c r="A403" s="455">
        <v>369</v>
      </c>
      <c r="B403" s="119"/>
      <c r="C403" s="120">
        <v>67</v>
      </c>
      <c r="D403" s="450" t="s">
        <v>77</v>
      </c>
      <c r="E403" s="122">
        <v>4800</v>
      </c>
      <c r="F403" s="122">
        <v>5200</v>
      </c>
      <c r="G403" s="123">
        <v>5160</v>
      </c>
      <c r="H403" s="457" t="s">
        <v>22</v>
      </c>
      <c r="I403" s="879"/>
      <c r="J403" s="1033"/>
      <c r="K403" s="1033"/>
      <c r="L403" s="1033"/>
      <c r="M403" s="1033"/>
      <c r="N403" s="1034"/>
      <c r="P403" s="8"/>
    </row>
    <row r="404" spans="1:14" s="890" customFormat="1" ht="18" customHeight="1">
      <c r="A404" s="455">
        <v>370</v>
      </c>
      <c r="B404" s="884"/>
      <c r="C404" s="885"/>
      <c r="D404" s="886" t="s">
        <v>283</v>
      </c>
      <c r="E404" s="887"/>
      <c r="F404" s="887"/>
      <c r="G404" s="888"/>
      <c r="H404" s="889"/>
      <c r="I404" s="879">
        <f>SUM(J404:N404)</f>
        <v>5280</v>
      </c>
      <c r="J404" s="880"/>
      <c r="K404" s="880"/>
      <c r="L404" s="880">
        <v>5280</v>
      </c>
      <c r="M404" s="880"/>
      <c r="N404" s="881"/>
    </row>
    <row r="405" spans="1:14" s="890" customFormat="1" ht="18" customHeight="1">
      <c r="A405" s="455">
        <v>371</v>
      </c>
      <c r="B405" s="884"/>
      <c r="C405" s="885"/>
      <c r="D405" s="1679" t="s">
        <v>938</v>
      </c>
      <c r="E405" s="887"/>
      <c r="F405" s="887"/>
      <c r="G405" s="888"/>
      <c r="H405" s="889"/>
      <c r="I405" s="1238">
        <f>SUM(J405:N405)</f>
        <v>5280</v>
      </c>
      <c r="J405" s="1245"/>
      <c r="K405" s="1245"/>
      <c r="L405" s="1245">
        <v>5280</v>
      </c>
      <c r="M405" s="880"/>
      <c r="N405" s="881"/>
    </row>
    <row r="406" spans="1:14" s="890" customFormat="1" ht="18" customHeight="1">
      <c r="A406" s="455">
        <v>372</v>
      </c>
      <c r="B406" s="884"/>
      <c r="C406" s="885"/>
      <c r="D406" s="1146" t="s">
        <v>674</v>
      </c>
      <c r="E406" s="887"/>
      <c r="F406" s="887"/>
      <c r="G406" s="888"/>
      <c r="H406" s="889"/>
      <c r="I406" s="1241">
        <f>SUM(J406:N406)</f>
        <v>0</v>
      </c>
      <c r="J406" s="880"/>
      <c r="K406" s="880"/>
      <c r="L406" s="880"/>
      <c r="M406" s="880"/>
      <c r="N406" s="881"/>
    </row>
    <row r="407" spans="1:14" s="890" customFormat="1" ht="18" customHeight="1">
      <c r="A407" s="455">
        <v>373</v>
      </c>
      <c r="B407" s="884"/>
      <c r="C407" s="885"/>
      <c r="D407" s="483" t="s">
        <v>1091</v>
      </c>
      <c r="E407" s="887"/>
      <c r="F407" s="887"/>
      <c r="G407" s="888"/>
      <c r="H407" s="889"/>
      <c r="I407" s="1238">
        <f>SUM(J407:N407)</f>
        <v>5280</v>
      </c>
      <c r="J407" s="880"/>
      <c r="K407" s="880"/>
      <c r="L407" s="1245">
        <f>SUM(L405:L406)</f>
        <v>5280</v>
      </c>
      <c r="M407" s="880"/>
      <c r="N407" s="881"/>
    </row>
    <row r="408" spans="1:16" s="3" customFormat="1" ht="22.5" customHeight="1">
      <c r="A408" s="455">
        <v>374</v>
      </c>
      <c r="B408" s="119"/>
      <c r="C408" s="120">
        <v>68</v>
      </c>
      <c r="D408" s="450" t="s">
        <v>78</v>
      </c>
      <c r="E408" s="122">
        <v>1763</v>
      </c>
      <c r="F408" s="122">
        <v>2418</v>
      </c>
      <c r="G408" s="123">
        <v>5177</v>
      </c>
      <c r="H408" s="457" t="s">
        <v>23</v>
      </c>
      <c r="I408" s="879"/>
      <c r="J408" s="1033"/>
      <c r="K408" s="1033"/>
      <c r="L408" s="1033"/>
      <c r="M408" s="1033"/>
      <c r="N408" s="1034"/>
      <c r="P408" s="8"/>
    </row>
    <row r="409" spans="1:14" s="890" customFormat="1" ht="18" customHeight="1">
      <c r="A409" s="455">
        <v>375</v>
      </c>
      <c r="B409" s="884"/>
      <c r="C409" s="885"/>
      <c r="D409" s="886" t="s">
        <v>283</v>
      </c>
      <c r="E409" s="887"/>
      <c r="F409" s="887"/>
      <c r="G409" s="888"/>
      <c r="H409" s="889"/>
      <c r="I409" s="879">
        <f>SUM(J409:N409)</f>
        <v>2945</v>
      </c>
      <c r="J409" s="880"/>
      <c r="K409" s="880"/>
      <c r="L409" s="880">
        <v>2945</v>
      </c>
      <c r="M409" s="880"/>
      <c r="N409" s="881"/>
    </row>
    <row r="410" spans="1:14" s="890" customFormat="1" ht="18" customHeight="1">
      <c r="A410" s="455">
        <v>376</v>
      </c>
      <c r="B410" s="884"/>
      <c r="C410" s="885"/>
      <c r="D410" s="1679" t="s">
        <v>938</v>
      </c>
      <c r="E410" s="887"/>
      <c r="F410" s="887"/>
      <c r="G410" s="888"/>
      <c r="H410" s="889"/>
      <c r="I410" s="1238">
        <f>SUM(J410:N410)</f>
        <v>3686</v>
      </c>
      <c r="J410" s="1245"/>
      <c r="K410" s="1245"/>
      <c r="L410" s="1245">
        <v>3686</v>
      </c>
      <c r="M410" s="880"/>
      <c r="N410" s="881"/>
    </row>
    <row r="411" spans="1:14" s="890" customFormat="1" ht="18" customHeight="1">
      <c r="A411" s="455">
        <v>377</v>
      </c>
      <c r="B411" s="884"/>
      <c r="C411" s="885"/>
      <c r="D411" s="1146" t="s">
        <v>725</v>
      </c>
      <c r="E411" s="887"/>
      <c r="F411" s="887"/>
      <c r="G411" s="888"/>
      <c r="H411" s="889"/>
      <c r="I411" s="1241">
        <f>SUM(J411:N411)</f>
        <v>0</v>
      </c>
      <c r="J411" s="880"/>
      <c r="K411" s="880"/>
      <c r="L411" s="1247"/>
      <c r="M411" s="880"/>
      <c r="N411" s="881"/>
    </row>
    <row r="412" spans="1:14" s="890" customFormat="1" ht="18" customHeight="1">
      <c r="A412" s="455">
        <v>378</v>
      </c>
      <c r="B412" s="884"/>
      <c r="C412" s="885"/>
      <c r="D412" s="483" t="s">
        <v>1091</v>
      </c>
      <c r="E412" s="887"/>
      <c r="F412" s="887"/>
      <c r="G412" s="888"/>
      <c r="H412" s="889"/>
      <c r="I412" s="1238">
        <f>SUM(J412:N412)</f>
        <v>3686</v>
      </c>
      <c r="J412" s="880"/>
      <c r="K412" s="880"/>
      <c r="L412" s="1245">
        <f>SUM(L410:L411)</f>
        <v>3686</v>
      </c>
      <c r="M412" s="880"/>
      <c r="N412" s="881"/>
    </row>
    <row r="413" spans="1:16" s="3" customFormat="1" ht="22.5" customHeight="1">
      <c r="A413" s="455">
        <v>379</v>
      </c>
      <c r="B413" s="119"/>
      <c r="C413" s="120">
        <v>69</v>
      </c>
      <c r="D413" s="450" t="s">
        <v>79</v>
      </c>
      <c r="E413" s="122">
        <v>197049</v>
      </c>
      <c r="F413" s="122">
        <v>255180</v>
      </c>
      <c r="G413" s="123">
        <v>202279</v>
      </c>
      <c r="H413" s="457" t="s">
        <v>22</v>
      </c>
      <c r="I413" s="879"/>
      <c r="J413" s="1033"/>
      <c r="K413" s="1033"/>
      <c r="L413" s="1033"/>
      <c r="M413" s="1033"/>
      <c r="N413" s="1034"/>
      <c r="P413" s="8"/>
    </row>
    <row r="414" spans="1:14" s="890" customFormat="1" ht="18" customHeight="1">
      <c r="A414" s="455">
        <v>380</v>
      </c>
      <c r="B414" s="884"/>
      <c r="C414" s="885"/>
      <c r="D414" s="886" t="s">
        <v>283</v>
      </c>
      <c r="E414" s="887"/>
      <c r="F414" s="887"/>
      <c r="G414" s="888"/>
      <c r="H414" s="889"/>
      <c r="I414" s="879">
        <f>SUM(J414:N414)</f>
        <v>261840</v>
      </c>
      <c r="J414" s="880">
        <v>148380</v>
      </c>
      <c r="K414" s="880">
        <v>22576</v>
      </c>
      <c r="L414" s="880">
        <v>90884</v>
      </c>
      <c r="M414" s="880"/>
      <c r="N414" s="881"/>
    </row>
    <row r="415" spans="1:14" s="890" customFormat="1" ht="18" customHeight="1">
      <c r="A415" s="455">
        <v>381</v>
      </c>
      <c r="B415" s="884"/>
      <c r="C415" s="885"/>
      <c r="D415" s="1679" t="s">
        <v>938</v>
      </c>
      <c r="E415" s="887"/>
      <c r="F415" s="887"/>
      <c r="G415" s="888"/>
      <c r="H415" s="889"/>
      <c r="I415" s="1238">
        <f>SUM(J415:N415)</f>
        <v>321185</v>
      </c>
      <c r="J415" s="1245">
        <v>186820</v>
      </c>
      <c r="K415" s="1245">
        <v>35257</v>
      </c>
      <c r="L415" s="1245">
        <f>101108-2000</f>
        <v>99108</v>
      </c>
      <c r="M415" s="880"/>
      <c r="N415" s="881"/>
    </row>
    <row r="416" spans="1:14" s="890" customFormat="1" ht="18" customHeight="1">
      <c r="A416" s="455">
        <v>382</v>
      </c>
      <c r="B416" s="884"/>
      <c r="C416" s="885"/>
      <c r="D416" s="1146" t="s">
        <v>725</v>
      </c>
      <c r="E416" s="887"/>
      <c r="F416" s="887"/>
      <c r="G416" s="888"/>
      <c r="H416" s="889"/>
      <c r="I416" s="1241">
        <f>SUM(J416:N416)</f>
        <v>0</v>
      </c>
      <c r="J416" s="1247"/>
      <c r="K416" s="1247"/>
      <c r="L416" s="1247"/>
      <c r="M416" s="880"/>
      <c r="N416" s="881"/>
    </row>
    <row r="417" spans="1:14" s="890" customFormat="1" ht="18" customHeight="1">
      <c r="A417" s="455">
        <v>383</v>
      </c>
      <c r="B417" s="884"/>
      <c r="C417" s="885"/>
      <c r="D417" s="483" t="s">
        <v>1091</v>
      </c>
      <c r="E417" s="887"/>
      <c r="F417" s="887"/>
      <c r="G417" s="888"/>
      <c r="H417" s="889"/>
      <c r="I417" s="1238">
        <f>SUM(J417:N417)</f>
        <v>321185</v>
      </c>
      <c r="J417" s="1245">
        <f>SUM(J415:J416)</f>
        <v>186820</v>
      </c>
      <c r="K417" s="1245">
        <f>SUM(K415:K416)</f>
        <v>35257</v>
      </c>
      <c r="L417" s="1245">
        <f>SUM(L415:L416)</f>
        <v>99108</v>
      </c>
      <c r="M417" s="880"/>
      <c r="N417" s="881"/>
    </row>
    <row r="418" spans="1:14" s="8" customFormat="1" ht="22.5" customHeight="1">
      <c r="A418" s="455">
        <v>384</v>
      </c>
      <c r="B418" s="124"/>
      <c r="C418" s="120">
        <v>70</v>
      </c>
      <c r="D418" s="449" t="s">
        <v>335</v>
      </c>
      <c r="E418" s="122">
        <v>180</v>
      </c>
      <c r="F418" s="122">
        <v>180</v>
      </c>
      <c r="G418" s="123">
        <v>180</v>
      </c>
      <c r="H418" s="457" t="s">
        <v>22</v>
      </c>
      <c r="I418" s="879"/>
      <c r="J418" s="1033"/>
      <c r="K418" s="1033"/>
      <c r="L418" s="1033"/>
      <c r="M418" s="1033"/>
      <c r="N418" s="1034"/>
    </row>
    <row r="419" spans="1:14" s="890" customFormat="1" ht="18" customHeight="1">
      <c r="A419" s="455">
        <v>385</v>
      </c>
      <c r="B419" s="884"/>
      <c r="C419" s="885"/>
      <c r="D419" s="886" t="s">
        <v>283</v>
      </c>
      <c r="E419" s="887"/>
      <c r="F419" s="887"/>
      <c r="G419" s="888"/>
      <c r="H419" s="889"/>
      <c r="I419" s="879">
        <f>SUM(J419:N419)</f>
        <v>180</v>
      </c>
      <c r="J419" s="880"/>
      <c r="K419" s="880"/>
      <c r="L419" s="880">
        <v>180</v>
      </c>
      <c r="M419" s="880"/>
      <c r="N419" s="881"/>
    </row>
    <row r="420" spans="1:14" s="890" customFormat="1" ht="18" customHeight="1">
      <c r="A420" s="455">
        <v>386</v>
      </c>
      <c r="B420" s="884"/>
      <c r="C420" s="885"/>
      <c r="D420" s="1679" t="s">
        <v>938</v>
      </c>
      <c r="E420" s="887"/>
      <c r="F420" s="887"/>
      <c r="G420" s="888"/>
      <c r="H420" s="889"/>
      <c r="I420" s="1238">
        <f>SUM(J420:N420)</f>
        <v>180</v>
      </c>
      <c r="J420" s="1245"/>
      <c r="K420" s="1245"/>
      <c r="L420" s="1245">
        <v>180</v>
      </c>
      <c r="M420" s="880"/>
      <c r="N420" s="881"/>
    </row>
    <row r="421" spans="1:14" s="890" customFormat="1" ht="18" customHeight="1">
      <c r="A421" s="455">
        <v>387</v>
      </c>
      <c r="B421" s="884"/>
      <c r="C421" s="885"/>
      <c r="D421" s="1146" t="s">
        <v>674</v>
      </c>
      <c r="E421" s="887"/>
      <c r="F421" s="887"/>
      <c r="G421" s="888"/>
      <c r="H421" s="889"/>
      <c r="I421" s="1241">
        <f>SUM(J421:N421)</f>
        <v>0</v>
      </c>
      <c r="J421" s="880"/>
      <c r="K421" s="880"/>
      <c r="L421" s="880"/>
      <c r="M421" s="880"/>
      <c r="N421" s="881"/>
    </row>
    <row r="422" spans="1:14" s="890" customFormat="1" ht="18" customHeight="1">
      <c r="A422" s="455">
        <v>388</v>
      </c>
      <c r="B422" s="884"/>
      <c r="C422" s="885"/>
      <c r="D422" s="483" t="s">
        <v>1091</v>
      </c>
      <c r="E422" s="887"/>
      <c r="F422" s="887"/>
      <c r="G422" s="888"/>
      <c r="H422" s="889"/>
      <c r="I422" s="1238">
        <f>SUM(J422:N422)</f>
        <v>180</v>
      </c>
      <c r="J422" s="880"/>
      <c r="K422" s="880"/>
      <c r="L422" s="1245">
        <f>SUM(L420:L421)</f>
        <v>180</v>
      </c>
      <c r="M422" s="880"/>
      <c r="N422" s="881"/>
    </row>
    <row r="423" spans="1:16" s="3" customFormat="1" ht="22.5" customHeight="1">
      <c r="A423" s="455">
        <v>389</v>
      </c>
      <c r="B423" s="119"/>
      <c r="C423" s="120">
        <v>71</v>
      </c>
      <c r="D423" s="450" t="s">
        <v>80</v>
      </c>
      <c r="E423" s="122">
        <v>14161</v>
      </c>
      <c r="F423" s="122">
        <v>54536</v>
      </c>
      <c r="G423" s="123">
        <v>16203</v>
      </c>
      <c r="H423" s="457" t="s">
        <v>22</v>
      </c>
      <c r="I423" s="879"/>
      <c r="J423" s="1033"/>
      <c r="K423" s="1033"/>
      <c r="L423" s="1033"/>
      <c r="M423" s="1033"/>
      <c r="N423" s="1034"/>
      <c r="P423" s="8"/>
    </row>
    <row r="424" spans="1:14" s="890" customFormat="1" ht="18" customHeight="1">
      <c r="A424" s="455">
        <v>390</v>
      </c>
      <c r="B424" s="908"/>
      <c r="C424" s="885"/>
      <c r="D424" s="886" t="s">
        <v>283</v>
      </c>
      <c r="E424" s="891"/>
      <c r="F424" s="891"/>
      <c r="G424" s="892"/>
      <c r="H424" s="893"/>
      <c r="I424" s="879">
        <f>SUM(J424:N424)</f>
        <v>62975</v>
      </c>
      <c r="J424" s="894"/>
      <c r="K424" s="894"/>
      <c r="L424" s="894">
        <v>5000</v>
      </c>
      <c r="M424" s="894"/>
      <c r="N424" s="895">
        <f>55000+12700-9425-300</f>
        <v>57975</v>
      </c>
    </row>
    <row r="425" spans="1:14" s="890" customFormat="1" ht="18" customHeight="1">
      <c r="A425" s="455">
        <v>391</v>
      </c>
      <c r="B425" s="908"/>
      <c r="C425" s="885"/>
      <c r="D425" s="1679" t="s">
        <v>938</v>
      </c>
      <c r="E425" s="891"/>
      <c r="F425" s="891"/>
      <c r="G425" s="892"/>
      <c r="H425" s="893"/>
      <c r="I425" s="1238">
        <f>SUM(J425:N425)</f>
        <v>530594</v>
      </c>
      <c r="J425" s="1239"/>
      <c r="K425" s="1239"/>
      <c r="L425" s="1239">
        <v>5000</v>
      </c>
      <c r="M425" s="1239"/>
      <c r="N425" s="1242">
        <v>525594</v>
      </c>
    </row>
    <row r="426" spans="1:14" s="890" customFormat="1" ht="18" customHeight="1">
      <c r="A426" s="455">
        <v>392</v>
      </c>
      <c r="B426" s="908"/>
      <c r="C426" s="885"/>
      <c r="D426" s="1146" t="s">
        <v>992</v>
      </c>
      <c r="E426" s="891"/>
      <c r="F426" s="891"/>
      <c r="G426" s="892"/>
      <c r="H426" s="893"/>
      <c r="I426" s="1241">
        <f>SUM(J426:N426)</f>
        <v>140745</v>
      </c>
      <c r="J426" s="894"/>
      <c r="K426" s="894"/>
      <c r="L426" s="894"/>
      <c r="M426" s="894"/>
      <c r="N426" s="1471">
        <f>80745+60000</f>
        <v>140745</v>
      </c>
    </row>
    <row r="427" spans="1:14" s="890" customFormat="1" ht="33.75" customHeight="1">
      <c r="A427" s="455">
        <v>393</v>
      </c>
      <c r="B427" s="908"/>
      <c r="C427" s="885"/>
      <c r="D427" s="1755" t="s">
        <v>943</v>
      </c>
      <c r="E427" s="891"/>
      <c r="F427" s="891"/>
      <c r="G427" s="892"/>
      <c r="H427" s="893"/>
      <c r="I427" s="1845">
        <f>SUM(J427:N427)</f>
        <v>-38974</v>
      </c>
      <c r="J427" s="894"/>
      <c r="K427" s="894"/>
      <c r="L427" s="894"/>
      <c r="M427" s="894"/>
      <c r="N427" s="1844">
        <v>-38974</v>
      </c>
    </row>
    <row r="428" spans="1:14" s="890" customFormat="1" ht="19.5" customHeight="1">
      <c r="A428" s="455">
        <v>394</v>
      </c>
      <c r="B428" s="908"/>
      <c r="C428" s="885"/>
      <c r="D428" s="1755" t="s">
        <v>966</v>
      </c>
      <c r="E428" s="891"/>
      <c r="F428" s="891"/>
      <c r="G428" s="892"/>
      <c r="H428" s="893"/>
      <c r="I428" s="1845">
        <f>SUM(J428:N428)</f>
        <v>-13690</v>
      </c>
      <c r="J428" s="894"/>
      <c r="K428" s="894"/>
      <c r="L428" s="894"/>
      <c r="M428" s="894"/>
      <c r="N428" s="1844">
        <v>-13690</v>
      </c>
    </row>
    <row r="429" spans="1:14" s="890" customFormat="1" ht="18" customHeight="1">
      <c r="A429" s="455">
        <v>395</v>
      </c>
      <c r="B429" s="908"/>
      <c r="C429" s="885"/>
      <c r="D429" s="483" t="s">
        <v>1091</v>
      </c>
      <c r="E429" s="891"/>
      <c r="F429" s="891"/>
      <c r="G429" s="892"/>
      <c r="H429" s="893"/>
      <c r="I429" s="1238">
        <f>SUM(J429:N429)</f>
        <v>618675</v>
      </c>
      <c r="J429" s="894"/>
      <c r="K429" s="894"/>
      <c r="L429" s="1239">
        <f>SUM(L425:L427)</f>
        <v>5000</v>
      </c>
      <c r="M429" s="1239"/>
      <c r="N429" s="1242">
        <f>SUM(N425:N428)</f>
        <v>613675</v>
      </c>
    </row>
    <row r="430" spans="1:16" s="3" customFormat="1" ht="22.5" customHeight="1">
      <c r="A430" s="455">
        <v>396</v>
      </c>
      <c r="B430" s="119"/>
      <c r="C430" s="120">
        <v>72</v>
      </c>
      <c r="D430" s="450" t="s">
        <v>81</v>
      </c>
      <c r="E430" s="122">
        <v>164182</v>
      </c>
      <c r="F430" s="122">
        <v>158489</v>
      </c>
      <c r="G430" s="123">
        <v>119740</v>
      </c>
      <c r="H430" s="457" t="s">
        <v>22</v>
      </c>
      <c r="I430" s="879"/>
      <c r="J430" s="1033"/>
      <c r="K430" s="1033"/>
      <c r="L430" s="1033"/>
      <c r="M430" s="1033"/>
      <c r="N430" s="1034"/>
      <c r="P430" s="8"/>
    </row>
    <row r="431" spans="1:14" s="890" customFormat="1" ht="18" customHeight="1">
      <c r="A431" s="455">
        <v>397</v>
      </c>
      <c r="B431" s="884"/>
      <c r="C431" s="885"/>
      <c r="D431" s="886" t="s">
        <v>283</v>
      </c>
      <c r="E431" s="887"/>
      <c r="F431" s="887"/>
      <c r="G431" s="888"/>
      <c r="H431" s="889"/>
      <c r="I431" s="879">
        <f>SUM(J431:N431)</f>
        <v>138289</v>
      </c>
      <c r="J431" s="880"/>
      <c r="K431" s="880"/>
      <c r="L431" s="880">
        <f>151789-13500</f>
        <v>138289</v>
      </c>
      <c r="M431" s="880"/>
      <c r="N431" s="881"/>
    </row>
    <row r="432" spans="1:14" s="890" customFormat="1" ht="18" customHeight="1">
      <c r="A432" s="455">
        <v>398</v>
      </c>
      <c r="B432" s="884"/>
      <c r="C432" s="885"/>
      <c r="D432" s="1679" t="s">
        <v>938</v>
      </c>
      <c r="E432" s="887"/>
      <c r="F432" s="887"/>
      <c r="G432" s="888"/>
      <c r="H432" s="889"/>
      <c r="I432" s="1238">
        <f>SUM(J432:N432)</f>
        <v>197321</v>
      </c>
      <c r="J432" s="1245"/>
      <c r="K432" s="1245"/>
      <c r="L432" s="1245">
        <v>197321</v>
      </c>
      <c r="M432" s="880"/>
      <c r="N432" s="881"/>
    </row>
    <row r="433" spans="1:14" s="890" customFormat="1" ht="18" customHeight="1">
      <c r="A433" s="455">
        <v>399</v>
      </c>
      <c r="B433" s="884"/>
      <c r="C433" s="885"/>
      <c r="D433" s="1146" t="s">
        <v>725</v>
      </c>
      <c r="E433" s="887"/>
      <c r="F433" s="887"/>
      <c r="G433" s="888"/>
      <c r="H433" s="889"/>
      <c r="I433" s="1241">
        <f>SUM(J433:N433)</f>
        <v>0</v>
      </c>
      <c r="J433" s="880"/>
      <c r="K433" s="880"/>
      <c r="L433" s="1247"/>
      <c r="M433" s="880"/>
      <c r="N433" s="881"/>
    </row>
    <row r="434" spans="1:14" s="890" customFormat="1" ht="18" customHeight="1">
      <c r="A434" s="455">
        <v>400</v>
      </c>
      <c r="B434" s="884"/>
      <c r="C434" s="885"/>
      <c r="D434" s="483" t="s">
        <v>1091</v>
      </c>
      <c r="E434" s="887"/>
      <c r="F434" s="887"/>
      <c r="G434" s="888"/>
      <c r="H434" s="889"/>
      <c r="I434" s="1238">
        <f>SUM(J434:N434)</f>
        <v>197321</v>
      </c>
      <c r="J434" s="880"/>
      <c r="K434" s="880"/>
      <c r="L434" s="1245">
        <f>SUM(L432:L433)</f>
        <v>197321</v>
      </c>
      <c r="M434" s="880"/>
      <c r="N434" s="881"/>
    </row>
    <row r="435" spans="1:16" s="3" customFormat="1" ht="22.5" customHeight="1">
      <c r="A435" s="455">
        <v>401</v>
      </c>
      <c r="B435" s="119"/>
      <c r="C435" s="120">
        <v>73</v>
      </c>
      <c r="D435" s="450" t="s">
        <v>82</v>
      </c>
      <c r="E435" s="122">
        <v>13955</v>
      </c>
      <c r="F435" s="122">
        <v>40583</v>
      </c>
      <c r="G435" s="123">
        <v>14245</v>
      </c>
      <c r="H435" s="457" t="s">
        <v>23</v>
      </c>
      <c r="I435" s="879"/>
      <c r="J435" s="1033"/>
      <c r="K435" s="1033"/>
      <c r="L435" s="1033"/>
      <c r="M435" s="1033"/>
      <c r="N435" s="1034"/>
      <c r="P435" s="8"/>
    </row>
    <row r="436" spans="1:14" s="890" customFormat="1" ht="18" customHeight="1">
      <c r="A436" s="455">
        <v>402</v>
      </c>
      <c r="B436" s="884"/>
      <c r="C436" s="885"/>
      <c r="D436" s="886" t="s">
        <v>283</v>
      </c>
      <c r="E436" s="887"/>
      <c r="F436" s="887"/>
      <c r="G436" s="888"/>
      <c r="H436" s="889"/>
      <c r="I436" s="879">
        <f>SUM(J436:N436)</f>
        <v>51870</v>
      </c>
      <c r="J436" s="880"/>
      <c r="K436" s="880"/>
      <c r="L436" s="880">
        <v>51870</v>
      </c>
      <c r="M436" s="880"/>
      <c r="N436" s="881"/>
    </row>
    <row r="437" spans="1:14" s="890" customFormat="1" ht="18" customHeight="1">
      <c r="A437" s="455">
        <v>403</v>
      </c>
      <c r="B437" s="884"/>
      <c r="C437" s="885"/>
      <c r="D437" s="1679" t="s">
        <v>938</v>
      </c>
      <c r="E437" s="887"/>
      <c r="F437" s="887"/>
      <c r="G437" s="888"/>
      <c r="H437" s="889"/>
      <c r="I437" s="1238">
        <f>SUM(J437:N437)</f>
        <v>51870</v>
      </c>
      <c r="J437" s="1245"/>
      <c r="K437" s="1245"/>
      <c r="L437" s="1245">
        <v>51870</v>
      </c>
      <c r="M437" s="880"/>
      <c r="N437" s="881"/>
    </row>
    <row r="438" spans="1:14" s="890" customFormat="1" ht="18" customHeight="1">
      <c r="A438" s="455">
        <v>404</v>
      </c>
      <c r="B438" s="884"/>
      <c r="C438" s="885"/>
      <c r="D438" s="1146" t="s">
        <v>674</v>
      </c>
      <c r="E438" s="887"/>
      <c r="F438" s="887"/>
      <c r="G438" s="888"/>
      <c r="H438" s="889"/>
      <c r="I438" s="1241">
        <f>SUM(J438:N438)</f>
        <v>0</v>
      </c>
      <c r="J438" s="880"/>
      <c r="K438" s="880"/>
      <c r="L438" s="880"/>
      <c r="M438" s="880"/>
      <c r="N438" s="881"/>
    </row>
    <row r="439" spans="1:14" s="890" customFormat="1" ht="18" customHeight="1">
      <c r="A439" s="455">
        <v>405</v>
      </c>
      <c r="B439" s="884"/>
      <c r="C439" s="885"/>
      <c r="D439" s="483" t="s">
        <v>1091</v>
      </c>
      <c r="E439" s="887"/>
      <c r="F439" s="887"/>
      <c r="G439" s="888"/>
      <c r="H439" s="889"/>
      <c r="I439" s="1238">
        <f>SUM(J439:N439)</f>
        <v>51870</v>
      </c>
      <c r="J439" s="880"/>
      <c r="K439" s="880"/>
      <c r="L439" s="1245">
        <f>SUM(L437:L438)</f>
        <v>51870</v>
      </c>
      <c r="M439" s="880"/>
      <c r="N439" s="881"/>
    </row>
    <row r="440" spans="1:14" s="8" customFormat="1" ht="22.5" customHeight="1">
      <c r="A440" s="455">
        <v>406</v>
      </c>
      <c r="B440" s="124"/>
      <c r="C440" s="120">
        <v>74</v>
      </c>
      <c r="D440" s="449" t="s">
        <v>336</v>
      </c>
      <c r="E440" s="122">
        <v>306766</v>
      </c>
      <c r="F440" s="122">
        <v>394879</v>
      </c>
      <c r="G440" s="123">
        <v>301687</v>
      </c>
      <c r="H440" s="457" t="s">
        <v>22</v>
      </c>
      <c r="I440" s="879"/>
      <c r="J440" s="1033"/>
      <c r="K440" s="1033"/>
      <c r="L440" s="1033"/>
      <c r="M440" s="1033"/>
      <c r="N440" s="1034"/>
    </row>
    <row r="441" spans="1:14" s="890" customFormat="1" ht="18" customHeight="1">
      <c r="A441" s="455">
        <v>407</v>
      </c>
      <c r="B441" s="884"/>
      <c r="C441" s="885"/>
      <c r="D441" s="886" t="s">
        <v>283</v>
      </c>
      <c r="E441" s="887"/>
      <c r="F441" s="887"/>
      <c r="G441" s="888"/>
      <c r="H441" s="889"/>
      <c r="I441" s="879">
        <f>SUM(J441:N441)</f>
        <v>1618046</v>
      </c>
      <c r="J441" s="880"/>
      <c r="K441" s="880"/>
      <c r="L441" s="880"/>
      <c r="M441" s="880"/>
      <c r="N441" s="881">
        <v>1618046</v>
      </c>
    </row>
    <row r="442" spans="1:14" s="890" customFormat="1" ht="18" customHeight="1">
      <c r="A442" s="455">
        <v>408</v>
      </c>
      <c r="B442" s="884"/>
      <c r="C442" s="885"/>
      <c r="D442" s="1679" t="s">
        <v>938</v>
      </c>
      <c r="E442" s="887"/>
      <c r="F442" s="887"/>
      <c r="G442" s="888"/>
      <c r="H442" s="889"/>
      <c r="I442" s="1238">
        <f>SUM(J442:N442)</f>
        <v>1618046</v>
      </c>
      <c r="J442" s="1245"/>
      <c r="K442" s="1245"/>
      <c r="L442" s="1245"/>
      <c r="M442" s="1245"/>
      <c r="N442" s="1251">
        <v>1618046</v>
      </c>
    </row>
    <row r="443" spans="1:14" s="890" customFormat="1" ht="18" customHeight="1">
      <c r="A443" s="455">
        <v>409</v>
      </c>
      <c r="B443" s="884"/>
      <c r="C443" s="885"/>
      <c r="D443" s="1146" t="s">
        <v>674</v>
      </c>
      <c r="E443" s="887"/>
      <c r="F443" s="887"/>
      <c r="G443" s="888"/>
      <c r="H443" s="889"/>
      <c r="I443" s="1241">
        <f>SUM(J443:N443)</f>
        <v>0</v>
      </c>
      <c r="J443" s="880"/>
      <c r="K443" s="880"/>
      <c r="L443" s="880"/>
      <c r="M443" s="880"/>
      <c r="N443" s="881"/>
    </row>
    <row r="444" spans="1:14" s="890" customFormat="1" ht="18" customHeight="1">
      <c r="A444" s="455">
        <v>410</v>
      </c>
      <c r="B444" s="884"/>
      <c r="C444" s="885"/>
      <c r="D444" s="483" t="s">
        <v>1091</v>
      </c>
      <c r="E444" s="887"/>
      <c r="F444" s="887"/>
      <c r="G444" s="888"/>
      <c r="H444" s="889"/>
      <c r="I444" s="1238">
        <f>SUM(J444:N444)</f>
        <v>1618046</v>
      </c>
      <c r="J444" s="880"/>
      <c r="K444" s="880"/>
      <c r="L444" s="880"/>
      <c r="M444" s="880"/>
      <c r="N444" s="1251">
        <f>SUM(N442:N443)</f>
        <v>1618046</v>
      </c>
    </row>
    <row r="445" spans="1:16" s="3" customFormat="1" ht="22.5" customHeight="1">
      <c r="A445" s="455">
        <v>411</v>
      </c>
      <c r="B445" s="119"/>
      <c r="C445" s="120">
        <v>75</v>
      </c>
      <c r="D445" s="450" t="s">
        <v>83</v>
      </c>
      <c r="E445" s="122">
        <v>15000</v>
      </c>
      <c r="F445" s="122">
        <v>12750</v>
      </c>
      <c r="G445" s="123">
        <v>12750</v>
      </c>
      <c r="H445" s="457" t="s">
        <v>23</v>
      </c>
      <c r="I445" s="879"/>
      <c r="J445" s="1033"/>
      <c r="K445" s="1033"/>
      <c r="L445" s="1033"/>
      <c r="M445" s="1033"/>
      <c r="N445" s="1034"/>
      <c r="P445" s="8"/>
    </row>
    <row r="446" spans="1:14" s="890" customFormat="1" ht="18" customHeight="1">
      <c r="A446" s="455">
        <v>412</v>
      </c>
      <c r="B446" s="884"/>
      <c r="C446" s="885"/>
      <c r="D446" s="886" t="s">
        <v>283</v>
      </c>
      <c r="E446" s="887"/>
      <c r="F446" s="887"/>
      <c r="G446" s="888"/>
      <c r="H446" s="889"/>
      <c r="I446" s="879">
        <f>SUM(J446:N446)</f>
        <v>7500</v>
      </c>
      <c r="J446" s="880"/>
      <c r="K446" s="880"/>
      <c r="L446" s="880"/>
      <c r="M446" s="880"/>
      <c r="N446" s="881">
        <v>7500</v>
      </c>
    </row>
    <row r="447" spans="1:14" s="890" customFormat="1" ht="18" customHeight="1">
      <c r="A447" s="455">
        <v>413</v>
      </c>
      <c r="B447" s="884"/>
      <c r="C447" s="885"/>
      <c r="D447" s="1679" t="s">
        <v>938</v>
      </c>
      <c r="E447" s="887"/>
      <c r="F447" s="887"/>
      <c r="G447" s="888"/>
      <c r="H447" s="889"/>
      <c r="I447" s="1238">
        <f>SUM(J447:N447)</f>
        <v>7000</v>
      </c>
      <c r="J447" s="1245"/>
      <c r="K447" s="1245"/>
      <c r="L447" s="1245"/>
      <c r="M447" s="1245"/>
      <c r="N447" s="1251">
        <v>7000</v>
      </c>
    </row>
    <row r="448" spans="1:14" s="890" customFormat="1" ht="18" customHeight="1">
      <c r="A448" s="455">
        <v>414</v>
      </c>
      <c r="B448" s="884"/>
      <c r="C448" s="885"/>
      <c r="D448" s="1146" t="s">
        <v>725</v>
      </c>
      <c r="E448" s="887"/>
      <c r="F448" s="887"/>
      <c r="G448" s="888"/>
      <c r="H448" s="889"/>
      <c r="I448" s="1241">
        <f>SUM(J448:N448)</f>
        <v>0</v>
      </c>
      <c r="J448" s="880"/>
      <c r="K448" s="880"/>
      <c r="L448" s="880"/>
      <c r="M448" s="880"/>
      <c r="N448" s="1246"/>
    </row>
    <row r="449" spans="1:14" s="890" customFormat="1" ht="18" customHeight="1">
      <c r="A449" s="455">
        <v>415</v>
      </c>
      <c r="B449" s="884"/>
      <c r="C449" s="885"/>
      <c r="D449" s="483" t="s">
        <v>1091</v>
      </c>
      <c r="E449" s="887"/>
      <c r="F449" s="887"/>
      <c r="G449" s="888"/>
      <c r="H449" s="889"/>
      <c r="I449" s="1238">
        <f>SUM(J449:N449)</f>
        <v>7000</v>
      </c>
      <c r="J449" s="880"/>
      <c r="K449" s="880"/>
      <c r="L449" s="880"/>
      <c r="M449" s="880"/>
      <c r="N449" s="1251">
        <f>SUM(N447:N448)</f>
        <v>7000</v>
      </c>
    </row>
    <row r="450" spans="1:16" s="3" customFormat="1" ht="22.5" customHeight="1">
      <c r="A450" s="455">
        <v>416</v>
      </c>
      <c r="B450" s="119"/>
      <c r="C450" s="120">
        <v>76</v>
      </c>
      <c r="D450" s="450" t="s">
        <v>86</v>
      </c>
      <c r="E450" s="122">
        <v>70468</v>
      </c>
      <c r="F450" s="122">
        <v>29500</v>
      </c>
      <c r="G450" s="123">
        <v>58150</v>
      </c>
      <c r="H450" s="457" t="s">
        <v>23</v>
      </c>
      <c r="I450" s="879"/>
      <c r="J450" s="1033"/>
      <c r="K450" s="1033"/>
      <c r="L450" s="1033"/>
      <c r="M450" s="1033"/>
      <c r="N450" s="1034"/>
      <c r="P450" s="8"/>
    </row>
    <row r="451" spans="1:14" s="890" customFormat="1" ht="18" customHeight="1">
      <c r="A451" s="455">
        <v>417</v>
      </c>
      <c r="B451" s="884"/>
      <c r="C451" s="885"/>
      <c r="D451" s="886" t="s">
        <v>283</v>
      </c>
      <c r="E451" s="887"/>
      <c r="F451" s="887"/>
      <c r="G451" s="888"/>
      <c r="H451" s="889"/>
      <c r="I451" s="879">
        <f>SUM(J451:N451)</f>
        <v>28000</v>
      </c>
      <c r="J451" s="880"/>
      <c r="K451" s="880"/>
      <c r="L451" s="880"/>
      <c r="M451" s="880"/>
      <c r="N451" s="881">
        <v>28000</v>
      </c>
    </row>
    <row r="452" spans="1:14" s="890" customFormat="1" ht="18" customHeight="1">
      <c r="A452" s="455">
        <v>418</v>
      </c>
      <c r="B452" s="884"/>
      <c r="C452" s="885"/>
      <c r="D452" s="1679" t="s">
        <v>938</v>
      </c>
      <c r="E452" s="887"/>
      <c r="F452" s="887"/>
      <c r="G452" s="888"/>
      <c r="H452" s="889"/>
      <c r="I452" s="1238">
        <f>SUM(J452:N452)</f>
        <v>28000</v>
      </c>
      <c r="J452" s="1245"/>
      <c r="K452" s="1245"/>
      <c r="L452" s="1245"/>
      <c r="M452" s="1245"/>
      <c r="N452" s="1251">
        <v>28000</v>
      </c>
    </row>
    <row r="453" spans="1:14" s="890" customFormat="1" ht="18" customHeight="1">
      <c r="A453" s="455">
        <v>419</v>
      </c>
      <c r="B453" s="884"/>
      <c r="C453" s="885"/>
      <c r="D453" s="1146" t="s">
        <v>674</v>
      </c>
      <c r="E453" s="887"/>
      <c r="F453" s="887"/>
      <c r="G453" s="888"/>
      <c r="H453" s="889"/>
      <c r="I453" s="1241">
        <f>SUM(J453:N453)</f>
        <v>0</v>
      </c>
      <c r="J453" s="880"/>
      <c r="K453" s="880"/>
      <c r="L453" s="880"/>
      <c r="M453" s="880"/>
      <c r="N453" s="881"/>
    </row>
    <row r="454" spans="1:14" s="890" customFormat="1" ht="18" customHeight="1">
      <c r="A454" s="455">
        <v>420</v>
      </c>
      <c r="B454" s="884"/>
      <c r="C454" s="885"/>
      <c r="D454" s="483" t="s">
        <v>1091</v>
      </c>
      <c r="E454" s="887"/>
      <c r="F454" s="887"/>
      <c r="G454" s="888"/>
      <c r="H454" s="889"/>
      <c r="I454" s="1238">
        <f>SUM(J454:N454)</f>
        <v>28000</v>
      </c>
      <c r="J454" s="880"/>
      <c r="K454" s="880"/>
      <c r="L454" s="880"/>
      <c r="M454" s="880"/>
      <c r="N454" s="1251">
        <f>SUM(N452:N453)</f>
        <v>28000</v>
      </c>
    </row>
    <row r="455" spans="1:16" s="3" customFormat="1" ht="22.5" customHeight="1">
      <c r="A455" s="455">
        <v>421</v>
      </c>
      <c r="B455" s="119"/>
      <c r="C455" s="120">
        <v>77</v>
      </c>
      <c r="D455" s="450" t="s">
        <v>87</v>
      </c>
      <c r="E455" s="122">
        <v>128000</v>
      </c>
      <c r="F455" s="122">
        <v>103000</v>
      </c>
      <c r="G455" s="123">
        <v>103000</v>
      </c>
      <c r="H455" s="457" t="s">
        <v>23</v>
      </c>
      <c r="I455" s="879"/>
      <c r="J455" s="1033"/>
      <c r="K455" s="1033"/>
      <c r="L455" s="1033"/>
      <c r="M455" s="1033"/>
      <c r="N455" s="1034"/>
      <c r="P455" s="8"/>
    </row>
    <row r="456" spans="1:16" s="3" customFormat="1" ht="22.5" customHeight="1">
      <c r="A456" s="455">
        <v>422</v>
      </c>
      <c r="B456" s="119"/>
      <c r="C456" s="120">
        <v>78</v>
      </c>
      <c r="D456" s="450" t="s">
        <v>88</v>
      </c>
      <c r="E456" s="122"/>
      <c r="F456" s="122">
        <v>174944</v>
      </c>
      <c r="G456" s="123">
        <v>0</v>
      </c>
      <c r="H456" s="457" t="s">
        <v>23</v>
      </c>
      <c r="I456" s="879"/>
      <c r="J456" s="1033"/>
      <c r="K456" s="1033"/>
      <c r="L456" s="1033"/>
      <c r="M456" s="1033"/>
      <c r="N456" s="1034"/>
      <c r="P456" s="8"/>
    </row>
    <row r="457" spans="1:16" s="3" customFormat="1" ht="22.5" customHeight="1">
      <c r="A457" s="455">
        <v>423</v>
      </c>
      <c r="B457" s="119"/>
      <c r="C457" s="120">
        <v>79</v>
      </c>
      <c r="D457" s="450" t="s">
        <v>89</v>
      </c>
      <c r="E457" s="122">
        <v>22000</v>
      </c>
      <c r="F457" s="122">
        <v>22000</v>
      </c>
      <c r="G457" s="123">
        <v>22000</v>
      </c>
      <c r="H457" s="457" t="s">
        <v>23</v>
      </c>
      <c r="I457" s="879"/>
      <c r="J457" s="1033"/>
      <c r="K457" s="1033"/>
      <c r="L457" s="1033"/>
      <c r="M457" s="1033"/>
      <c r="N457" s="1034"/>
      <c r="P457" s="8"/>
    </row>
    <row r="458" spans="1:14" s="890" customFormat="1" ht="18" customHeight="1">
      <c r="A458" s="455">
        <v>424</v>
      </c>
      <c r="B458" s="884"/>
      <c r="C458" s="885"/>
      <c r="D458" s="886" t="s">
        <v>283</v>
      </c>
      <c r="E458" s="887"/>
      <c r="F458" s="887"/>
      <c r="G458" s="888"/>
      <c r="H458" s="889"/>
      <c r="I458" s="879">
        <f>SUM(J458:N458)</f>
        <v>22000</v>
      </c>
      <c r="J458" s="880"/>
      <c r="K458" s="880"/>
      <c r="L458" s="880">
        <v>22000</v>
      </c>
      <c r="M458" s="880"/>
      <c r="N458" s="881"/>
    </row>
    <row r="459" spans="1:14" s="890" customFormat="1" ht="18" customHeight="1">
      <c r="A459" s="455">
        <v>425</v>
      </c>
      <c r="B459" s="884"/>
      <c r="C459" s="885"/>
      <c r="D459" s="1679" t="s">
        <v>938</v>
      </c>
      <c r="E459" s="887"/>
      <c r="F459" s="887"/>
      <c r="G459" s="888"/>
      <c r="H459" s="889"/>
      <c r="I459" s="1238">
        <f>SUM(J459:N459)</f>
        <v>22000</v>
      </c>
      <c r="J459" s="1245"/>
      <c r="K459" s="1245"/>
      <c r="L459" s="1245">
        <v>22000</v>
      </c>
      <c r="M459" s="880"/>
      <c r="N459" s="881"/>
    </row>
    <row r="460" spans="1:14" s="890" customFormat="1" ht="18" customHeight="1">
      <c r="A460" s="455">
        <v>426</v>
      </c>
      <c r="B460" s="884"/>
      <c r="C460" s="885"/>
      <c r="D460" s="1146" t="s">
        <v>674</v>
      </c>
      <c r="E460" s="887"/>
      <c r="F460" s="887"/>
      <c r="G460" s="888"/>
      <c r="H460" s="889"/>
      <c r="I460" s="1241">
        <f>SUM(J460:N460)</f>
        <v>0</v>
      </c>
      <c r="J460" s="880"/>
      <c r="K460" s="880"/>
      <c r="L460" s="880"/>
      <c r="M460" s="880"/>
      <c r="N460" s="881"/>
    </row>
    <row r="461" spans="1:14" s="890" customFormat="1" ht="18" customHeight="1">
      <c r="A461" s="455">
        <v>427</v>
      </c>
      <c r="B461" s="884"/>
      <c r="C461" s="885"/>
      <c r="D461" s="483" t="s">
        <v>1091</v>
      </c>
      <c r="E461" s="887"/>
      <c r="F461" s="887"/>
      <c r="G461" s="888"/>
      <c r="H461" s="889"/>
      <c r="I461" s="1238">
        <f>SUM(J461:N461)</f>
        <v>22000</v>
      </c>
      <c r="J461" s="880"/>
      <c r="K461" s="880"/>
      <c r="L461" s="1245">
        <f>SUM(L459:L460)</f>
        <v>22000</v>
      </c>
      <c r="M461" s="880"/>
      <c r="N461" s="881"/>
    </row>
    <row r="462" spans="1:16" s="3" customFormat="1" ht="22.5" customHeight="1">
      <c r="A462" s="455">
        <v>428</v>
      </c>
      <c r="B462" s="119"/>
      <c r="C462" s="120">
        <v>80</v>
      </c>
      <c r="D462" s="450" t="s">
        <v>238</v>
      </c>
      <c r="E462" s="122">
        <v>38100</v>
      </c>
      <c r="F462" s="122">
        <v>38100</v>
      </c>
      <c r="G462" s="123">
        <v>38100</v>
      </c>
      <c r="H462" s="457" t="s">
        <v>23</v>
      </c>
      <c r="I462" s="879"/>
      <c r="J462" s="1033"/>
      <c r="K462" s="1033"/>
      <c r="L462" s="1033"/>
      <c r="M462" s="1033"/>
      <c r="N462" s="1034"/>
      <c r="P462" s="8"/>
    </row>
    <row r="463" spans="1:14" s="890" customFormat="1" ht="18" customHeight="1">
      <c r="A463" s="455">
        <v>429</v>
      </c>
      <c r="B463" s="884"/>
      <c r="C463" s="885"/>
      <c r="D463" s="886" t="s">
        <v>283</v>
      </c>
      <c r="E463" s="887"/>
      <c r="F463" s="887"/>
      <c r="G463" s="888"/>
      <c r="H463" s="889"/>
      <c r="I463" s="879">
        <f>SUM(J463:N463)</f>
        <v>38100</v>
      </c>
      <c r="J463" s="880"/>
      <c r="K463" s="880"/>
      <c r="L463" s="880">
        <v>38100</v>
      </c>
      <c r="M463" s="880"/>
      <c r="N463" s="881"/>
    </row>
    <row r="464" spans="1:14" s="890" customFormat="1" ht="18" customHeight="1">
      <c r="A464" s="455">
        <v>430</v>
      </c>
      <c r="B464" s="884"/>
      <c r="C464" s="885"/>
      <c r="D464" s="1679" t="s">
        <v>938</v>
      </c>
      <c r="E464" s="887"/>
      <c r="F464" s="887"/>
      <c r="G464" s="888"/>
      <c r="H464" s="889"/>
      <c r="I464" s="1238">
        <f>SUM(J464:N464)</f>
        <v>38100</v>
      </c>
      <c r="J464" s="1245"/>
      <c r="K464" s="1245"/>
      <c r="L464" s="1245">
        <v>38100</v>
      </c>
      <c r="M464" s="880"/>
      <c r="N464" s="881"/>
    </row>
    <row r="465" spans="1:14" s="890" customFormat="1" ht="18" customHeight="1">
      <c r="A465" s="455">
        <v>431</v>
      </c>
      <c r="B465" s="884"/>
      <c r="C465" s="885"/>
      <c r="D465" s="1146" t="s">
        <v>674</v>
      </c>
      <c r="E465" s="887"/>
      <c r="F465" s="887"/>
      <c r="G465" s="888"/>
      <c r="H465" s="889"/>
      <c r="I465" s="1241">
        <f>SUM(J465:N465)</f>
        <v>0</v>
      </c>
      <c r="J465" s="880"/>
      <c r="K465" s="880"/>
      <c r="L465" s="880"/>
      <c r="M465" s="880"/>
      <c r="N465" s="881"/>
    </row>
    <row r="466" spans="1:14" s="890" customFormat="1" ht="18" customHeight="1">
      <c r="A466" s="455">
        <v>432</v>
      </c>
      <c r="B466" s="884"/>
      <c r="C466" s="885"/>
      <c r="D466" s="483" t="s">
        <v>1091</v>
      </c>
      <c r="E466" s="887"/>
      <c r="F466" s="887"/>
      <c r="G466" s="888"/>
      <c r="H466" s="889"/>
      <c r="I466" s="1238">
        <f>SUM(J466:N466)</f>
        <v>38100</v>
      </c>
      <c r="J466" s="880"/>
      <c r="K466" s="880"/>
      <c r="L466" s="1245">
        <f>SUM(L464:L465)</f>
        <v>38100</v>
      </c>
      <c r="M466" s="880"/>
      <c r="N466" s="881"/>
    </row>
    <row r="467" spans="1:16" s="3" customFormat="1" ht="22.5" customHeight="1">
      <c r="A467" s="455">
        <v>433</v>
      </c>
      <c r="B467" s="119"/>
      <c r="C467" s="120">
        <v>81</v>
      </c>
      <c r="D467" s="450" t="s">
        <v>91</v>
      </c>
      <c r="E467" s="122">
        <v>38000</v>
      </c>
      <c r="F467" s="122">
        <v>0</v>
      </c>
      <c r="G467" s="123">
        <v>2503</v>
      </c>
      <c r="H467" s="457" t="s">
        <v>23</v>
      </c>
      <c r="I467" s="879"/>
      <c r="J467" s="1033"/>
      <c r="K467" s="1033"/>
      <c r="L467" s="1033"/>
      <c r="M467" s="1033"/>
      <c r="N467" s="1034"/>
      <c r="P467" s="8"/>
    </row>
    <row r="468" spans="1:16" s="3" customFormat="1" ht="22.5" customHeight="1">
      <c r="A468" s="455">
        <v>434</v>
      </c>
      <c r="B468" s="119"/>
      <c r="C468" s="120">
        <v>82</v>
      </c>
      <c r="D468" s="450" t="s">
        <v>92</v>
      </c>
      <c r="E468" s="122">
        <v>45874</v>
      </c>
      <c r="F468" s="122">
        <v>34150</v>
      </c>
      <c r="G468" s="123">
        <v>29882</v>
      </c>
      <c r="H468" s="457" t="s">
        <v>23</v>
      </c>
      <c r="I468" s="879"/>
      <c r="J468" s="1033"/>
      <c r="K468" s="1033"/>
      <c r="L468" s="1033"/>
      <c r="M468" s="1033"/>
      <c r="N468" s="1034"/>
      <c r="P468" s="8"/>
    </row>
    <row r="469" spans="1:14" s="890" customFormat="1" ht="18" customHeight="1">
      <c r="A469" s="455">
        <v>435</v>
      </c>
      <c r="B469" s="884"/>
      <c r="C469" s="885"/>
      <c r="D469" s="886" t="s">
        <v>283</v>
      </c>
      <c r="E469" s="887"/>
      <c r="F469" s="887"/>
      <c r="G469" s="888"/>
      <c r="H469" s="889"/>
      <c r="I469" s="879">
        <f>SUM(J469:N469)</f>
        <v>34150</v>
      </c>
      <c r="J469" s="880"/>
      <c r="K469" s="880"/>
      <c r="L469" s="880">
        <v>34150</v>
      </c>
      <c r="M469" s="880"/>
      <c r="N469" s="881"/>
    </row>
    <row r="470" spans="1:14" s="890" customFormat="1" ht="18" customHeight="1">
      <c r="A470" s="455">
        <v>436</v>
      </c>
      <c r="B470" s="884"/>
      <c r="C470" s="885"/>
      <c r="D470" s="1679" t="s">
        <v>938</v>
      </c>
      <c r="E470" s="887"/>
      <c r="F470" s="887"/>
      <c r="G470" s="888"/>
      <c r="H470" s="889"/>
      <c r="I470" s="1238">
        <f>SUM(J470:N470)</f>
        <v>34150</v>
      </c>
      <c r="J470" s="1245"/>
      <c r="K470" s="1245"/>
      <c r="L470" s="1245">
        <v>34150</v>
      </c>
      <c r="M470" s="880"/>
      <c r="N470" s="881"/>
    </row>
    <row r="471" spans="1:14" s="890" customFormat="1" ht="18" customHeight="1">
      <c r="A471" s="455">
        <v>437</v>
      </c>
      <c r="B471" s="884"/>
      <c r="C471" s="885"/>
      <c r="D471" s="1146" t="s">
        <v>674</v>
      </c>
      <c r="E471" s="887"/>
      <c r="F471" s="887"/>
      <c r="G471" s="888"/>
      <c r="H471" s="889"/>
      <c r="I471" s="1241">
        <f>SUM(J471:N471)</f>
        <v>0</v>
      </c>
      <c r="J471" s="880"/>
      <c r="K471" s="880"/>
      <c r="L471" s="880"/>
      <c r="M471" s="880"/>
      <c r="N471" s="881"/>
    </row>
    <row r="472" spans="1:14" s="890" customFormat="1" ht="18" customHeight="1">
      <c r="A472" s="455">
        <v>438</v>
      </c>
      <c r="B472" s="884"/>
      <c r="C472" s="885"/>
      <c r="D472" s="483" t="s">
        <v>1091</v>
      </c>
      <c r="E472" s="887"/>
      <c r="F472" s="887"/>
      <c r="G472" s="888"/>
      <c r="H472" s="889"/>
      <c r="I472" s="1238">
        <f>SUM(J472:N472)</f>
        <v>34150</v>
      </c>
      <c r="J472" s="880"/>
      <c r="K472" s="880"/>
      <c r="L472" s="1245">
        <f>SUM(L470:L471)</f>
        <v>34150</v>
      </c>
      <c r="M472" s="880"/>
      <c r="N472" s="881"/>
    </row>
    <row r="473" spans="1:16" s="3" customFormat="1" ht="22.5" customHeight="1">
      <c r="A473" s="455">
        <v>439</v>
      </c>
      <c r="B473" s="119"/>
      <c r="C473" s="120">
        <v>83</v>
      </c>
      <c r="D473" s="453" t="s">
        <v>291</v>
      </c>
      <c r="E473" s="122">
        <v>3738</v>
      </c>
      <c r="F473" s="122">
        <v>5100</v>
      </c>
      <c r="G473" s="123">
        <v>2153</v>
      </c>
      <c r="H473" s="457" t="s">
        <v>23</v>
      </c>
      <c r="I473" s="879"/>
      <c r="J473" s="1033"/>
      <c r="K473" s="1033"/>
      <c r="L473" s="1033"/>
      <c r="M473" s="1033"/>
      <c r="N473" s="1034"/>
      <c r="P473" s="8"/>
    </row>
    <row r="474" spans="1:14" s="890" customFormat="1" ht="18" customHeight="1">
      <c r="A474" s="455">
        <v>440</v>
      </c>
      <c r="B474" s="884"/>
      <c r="C474" s="885"/>
      <c r="D474" s="886" t="s">
        <v>283</v>
      </c>
      <c r="E474" s="887"/>
      <c r="F474" s="887"/>
      <c r="G474" s="888"/>
      <c r="H474" s="889"/>
      <c r="I474" s="879">
        <f>SUM(J474:N474)</f>
        <v>6000</v>
      </c>
      <c r="J474" s="880"/>
      <c r="K474" s="880"/>
      <c r="L474" s="880">
        <v>6000</v>
      </c>
      <c r="M474" s="880"/>
      <c r="N474" s="881"/>
    </row>
    <row r="475" spans="1:14" s="890" customFormat="1" ht="18" customHeight="1">
      <c r="A475" s="455">
        <v>441</v>
      </c>
      <c r="B475" s="884"/>
      <c r="C475" s="885"/>
      <c r="D475" s="1679" t="s">
        <v>938</v>
      </c>
      <c r="E475" s="887"/>
      <c r="F475" s="887"/>
      <c r="G475" s="888"/>
      <c r="H475" s="889"/>
      <c r="I475" s="1238">
        <f>SUM(J475:N475)</f>
        <v>14842</v>
      </c>
      <c r="J475" s="1245"/>
      <c r="K475" s="1245"/>
      <c r="L475" s="1245">
        <v>14842</v>
      </c>
      <c r="M475" s="880"/>
      <c r="N475" s="881"/>
    </row>
    <row r="476" spans="1:14" s="890" customFormat="1" ht="18" customHeight="1">
      <c r="A476" s="455">
        <v>442</v>
      </c>
      <c r="B476" s="884"/>
      <c r="C476" s="885"/>
      <c r="D476" s="1146" t="s">
        <v>689</v>
      </c>
      <c r="E476" s="887"/>
      <c r="F476" s="887"/>
      <c r="G476" s="888"/>
      <c r="H476" s="889"/>
      <c r="I476" s="1241">
        <f>SUM(J476:N476)</f>
        <v>-1500</v>
      </c>
      <c r="J476" s="880"/>
      <c r="K476" s="880"/>
      <c r="L476" s="1247">
        <v>-1500</v>
      </c>
      <c r="M476" s="880"/>
      <c r="N476" s="881"/>
    </row>
    <row r="477" spans="1:14" s="890" customFormat="1" ht="18" customHeight="1">
      <c r="A477" s="455">
        <v>443</v>
      </c>
      <c r="B477" s="884"/>
      <c r="C477" s="885"/>
      <c r="D477" s="483" t="s">
        <v>1091</v>
      </c>
      <c r="E477" s="887"/>
      <c r="F477" s="887"/>
      <c r="G477" s="888"/>
      <c r="H477" s="889"/>
      <c r="I477" s="1238">
        <f>SUM(J477:N477)</f>
        <v>13342</v>
      </c>
      <c r="J477" s="880"/>
      <c r="K477" s="880"/>
      <c r="L477" s="1245">
        <f>SUM(L475:L476)</f>
        <v>13342</v>
      </c>
      <c r="M477" s="880"/>
      <c r="N477" s="881"/>
    </row>
    <row r="478" spans="1:14" s="8" customFormat="1" ht="22.5" customHeight="1">
      <c r="A478" s="455">
        <v>444</v>
      </c>
      <c r="B478" s="124"/>
      <c r="C478" s="120">
        <v>84</v>
      </c>
      <c r="D478" s="449" t="s">
        <v>357</v>
      </c>
      <c r="E478" s="122">
        <v>0</v>
      </c>
      <c r="F478" s="122">
        <v>3000</v>
      </c>
      <c r="G478" s="123">
        <v>0</v>
      </c>
      <c r="H478" s="457" t="s">
        <v>23</v>
      </c>
      <c r="I478" s="879"/>
      <c r="J478" s="1033"/>
      <c r="K478" s="1033"/>
      <c r="L478" s="1033"/>
      <c r="M478" s="1033"/>
      <c r="N478" s="1034"/>
    </row>
    <row r="479" spans="1:14" s="8" customFormat="1" ht="22.5" customHeight="1">
      <c r="A479" s="455">
        <v>445</v>
      </c>
      <c r="B479" s="124"/>
      <c r="C479" s="120">
        <v>85</v>
      </c>
      <c r="D479" s="450" t="s">
        <v>61</v>
      </c>
      <c r="E479" s="122">
        <v>4249</v>
      </c>
      <c r="F479" s="122">
        <v>4000</v>
      </c>
      <c r="G479" s="123">
        <v>0</v>
      </c>
      <c r="H479" s="459" t="s">
        <v>23</v>
      </c>
      <c r="I479" s="1038"/>
      <c r="J479" s="1039"/>
      <c r="K479" s="1039"/>
      <c r="L479" s="1039"/>
      <c r="M479" s="1039"/>
      <c r="N479" s="1040"/>
    </row>
    <row r="480" spans="1:14" s="890" customFormat="1" ht="18" customHeight="1">
      <c r="A480" s="455">
        <v>446</v>
      </c>
      <c r="B480" s="884"/>
      <c r="C480" s="885"/>
      <c r="D480" s="886" t="s">
        <v>283</v>
      </c>
      <c r="E480" s="887"/>
      <c r="F480" s="887"/>
      <c r="G480" s="888"/>
      <c r="H480" s="889"/>
      <c r="I480" s="879">
        <f>SUM(J480:N480)</f>
        <v>2400</v>
      </c>
      <c r="J480" s="880"/>
      <c r="K480" s="880"/>
      <c r="L480" s="880"/>
      <c r="M480" s="880"/>
      <c r="N480" s="881">
        <v>2400</v>
      </c>
    </row>
    <row r="481" spans="1:14" s="890" customFormat="1" ht="18" customHeight="1">
      <c r="A481" s="455">
        <v>447</v>
      </c>
      <c r="B481" s="884"/>
      <c r="C481" s="885"/>
      <c r="D481" s="1679" t="s">
        <v>938</v>
      </c>
      <c r="E481" s="887"/>
      <c r="F481" s="887"/>
      <c r="G481" s="888"/>
      <c r="H481" s="889"/>
      <c r="I481" s="1238">
        <f>SUM(J481:N481)</f>
        <v>2400</v>
      </c>
      <c r="J481" s="1245"/>
      <c r="K481" s="1245"/>
      <c r="L481" s="1245"/>
      <c r="M481" s="1245"/>
      <c r="N481" s="1251">
        <v>2400</v>
      </c>
    </row>
    <row r="482" spans="1:14" s="890" customFormat="1" ht="18" customHeight="1">
      <c r="A482" s="455">
        <v>448</v>
      </c>
      <c r="B482" s="884"/>
      <c r="C482" s="885"/>
      <c r="D482" s="1146" t="s">
        <v>674</v>
      </c>
      <c r="E482" s="887"/>
      <c r="F482" s="887"/>
      <c r="G482" s="888"/>
      <c r="H482" s="889"/>
      <c r="I482" s="1241">
        <f>SUM(J482:N482)</f>
        <v>0</v>
      </c>
      <c r="J482" s="880"/>
      <c r="K482" s="880"/>
      <c r="L482" s="880"/>
      <c r="M482" s="880"/>
      <c r="N482" s="881"/>
    </row>
    <row r="483" spans="1:14" s="890" customFormat="1" ht="18" customHeight="1">
      <c r="A483" s="455">
        <v>449</v>
      </c>
      <c r="B483" s="884"/>
      <c r="C483" s="885"/>
      <c r="D483" s="483" t="s">
        <v>1091</v>
      </c>
      <c r="E483" s="887"/>
      <c r="F483" s="887"/>
      <c r="G483" s="888"/>
      <c r="H483" s="889"/>
      <c r="I483" s="1238">
        <f>SUM(J483:N483)</f>
        <v>2400</v>
      </c>
      <c r="J483" s="880"/>
      <c r="K483" s="880"/>
      <c r="L483" s="880"/>
      <c r="M483" s="880"/>
      <c r="N483" s="1251">
        <f>SUM(N481:N482)</f>
        <v>2400</v>
      </c>
    </row>
    <row r="484" spans="1:16" s="3" customFormat="1" ht="22.5" customHeight="1">
      <c r="A484" s="455">
        <v>450</v>
      </c>
      <c r="B484" s="119"/>
      <c r="C484" s="120">
        <v>86</v>
      </c>
      <c r="D484" s="450" t="s">
        <v>93</v>
      </c>
      <c r="E484" s="122">
        <v>989</v>
      </c>
      <c r="F484" s="122">
        <v>1785</v>
      </c>
      <c r="G484" s="123">
        <v>1342</v>
      </c>
      <c r="H484" s="457" t="s">
        <v>22</v>
      </c>
      <c r="I484" s="879"/>
      <c r="J484" s="1033"/>
      <c r="K484" s="1033"/>
      <c r="L484" s="1033"/>
      <c r="M484" s="1033"/>
      <c r="N484" s="1034"/>
      <c r="P484" s="8"/>
    </row>
    <row r="485" spans="1:14" s="890" customFormat="1" ht="18" customHeight="1">
      <c r="A485" s="455">
        <v>451</v>
      </c>
      <c r="B485" s="884"/>
      <c r="C485" s="885"/>
      <c r="D485" s="886" t="s">
        <v>283</v>
      </c>
      <c r="E485" s="887"/>
      <c r="F485" s="887"/>
      <c r="G485" s="888"/>
      <c r="H485" s="889"/>
      <c r="I485" s="879">
        <f>SUM(J485:N485)</f>
        <v>2100</v>
      </c>
      <c r="J485" s="880"/>
      <c r="K485" s="880">
        <v>100</v>
      </c>
      <c r="L485" s="880">
        <v>2000</v>
      </c>
      <c r="M485" s="880"/>
      <c r="N485" s="881"/>
    </row>
    <row r="486" spans="1:14" s="890" customFormat="1" ht="18" customHeight="1">
      <c r="A486" s="455">
        <v>452</v>
      </c>
      <c r="B486" s="884"/>
      <c r="C486" s="885"/>
      <c r="D486" s="1679" t="s">
        <v>938</v>
      </c>
      <c r="E486" s="887"/>
      <c r="F486" s="887"/>
      <c r="G486" s="888"/>
      <c r="H486" s="889"/>
      <c r="I486" s="1238">
        <f>SUM(J486:N486)</f>
        <v>2278</v>
      </c>
      <c r="J486" s="1245">
        <v>259</v>
      </c>
      <c r="K486" s="1245">
        <v>150</v>
      </c>
      <c r="L486" s="1245">
        <v>1869</v>
      </c>
      <c r="M486" s="880"/>
      <c r="N486" s="881"/>
    </row>
    <row r="487" spans="1:14" s="890" customFormat="1" ht="18" customHeight="1">
      <c r="A487" s="455">
        <v>453</v>
      </c>
      <c r="B487" s="884"/>
      <c r="C487" s="885"/>
      <c r="D487" s="1755" t="s">
        <v>1012</v>
      </c>
      <c r="E487" s="887"/>
      <c r="F487" s="887"/>
      <c r="G487" s="888"/>
      <c r="H487" s="889"/>
      <c r="I487" s="1241">
        <f>SUM(J487:N487)</f>
        <v>1000</v>
      </c>
      <c r="J487" s="1247">
        <v>800</v>
      </c>
      <c r="K487" s="1247">
        <v>150</v>
      </c>
      <c r="L487" s="1247">
        <v>50</v>
      </c>
      <c r="M487" s="880"/>
      <c r="N487" s="881"/>
    </row>
    <row r="488" spans="1:14" s="890" customFormat="1" ht="18" customHeight="1">
      <c r="A488" s="455">
        <v>454</v>
      </c>
      <c r="B488" s="884"/>
      <c r="C488" s="885"/>
      <c r="D488" s="1755" t="s">
        <v>966</v>
      </c>
      <c r="E488" s="887"/>
      <c r="F488" s="887"/>
      <c r="G488" s="888"/>
      <c r="H488" s="889"/>
      <c r="I488" s="1241">
        <f>SUM(J488:N488)</f>
        <v>0</v>
      </c>
      <c r="J488" s="1247">
        <v>81</v>
      </c>
      <c r="K488" s="1247">
        <v>-50</v>
      </c>
      <c r="L488" s="1247">
        <v>-31</v>
      </c>
      <c r="M488" s="880"/>
      <c r="N488" s="881"/>
    </row>
    <row r="489" spans="1:14" s="890" customFormat="1" ht="18" customHeight="1">
      <c r="A489" s="455">
        <v>455</v>
      </c>
      <c r="B489" s="884"/>
      <c r="C489" s="885"/>
      <c r="D489" s="483" t="s">
        <v>1091</v>
      </c>
      <c r="E489" s="887"/>
      <c r="F489" s="887"/>
      <c r="G489" s="888"/>
      <c r="H489" s="889"/>
      <c r="I489" s="1238">
        <f>SUM(J489:N489)</f>
        <v>3278</v>
      </c>
      <c r="J489" s="1245">
        <f>SUM(J486:J488)</f>
        <v>1140</v>
      </c>
      <c r="K489" s="1245">
        <f>SUM(K486:K488)</f>
        <v>250</v>
      </c>
      <c r="L489" s="1245">
        <f>SUM(L486:L488)</f>
        <v>1888</v>
      </c>
      <c r="M489" s="880"/>
      <c r="N489" s="881"/>
    </row>
    <row r="490" spans="1:14" s="8" customFormat="1" ht="22.5" customHeight="1">
      <c r="A490" s="455">
        <v>456</v>
      </c>
      <c r="B490" s="124"/>
      <c r="C490" s="120">
        <v>87</v>
      </c>
      <c r="D490" s="449" t="s">
        <v>358</v>
      </c>
      <c r="E490" s="122">
        <v>156</v>
      </c>
      <c r="F490" s="122">
        <v>840</v>
      </c>
      <c r="G490" s="123">
        <v>812</v>
      </c>
      <c r="H490" s="457" t="s">
        <v>23</v>
      </c>
      <c r="I490" s="879"/>
      <c r="J490" s="1033"/>
      <c r="K490" s="1033"/>
      <c r="L490" s="1033"/>
      <c r="M490" s="1033"/>
      <c r="N490" s="1034"/>
    </row>
    <row r="491" spans="1:14" s="890" customFormat="1" ht="18" customHeight="1">
      <c r="A491" s="455">
        <v>457</v>
      </c>
      <c r="B491" s="884"/>
      <c r="C491" s="885"/>
      <c r="D491" s="886" t="s">
        <v>283</v>
      </c>
      <c r="E491" s="887"/>
      <c r="F491" s="887"/>
      <c r="G491" s="888"/>
      <c r="H491" s="889"/>
      <c r="I491" s="879">
        <f>SUM(J491:N491)</f>
        <v>1000</v>
      </c>
      <c r="J491" s="880"/>
      <c r="K491" s="880"/>
      <c r="L491" s="880">
        <v>1000</v>
      </c>
      <c r="M491" s="880"/>
      <c r="N491" s="881"/>
    </row>
    <row r="492" spans="1:14" s="890" customFormat="1" ht="18" customHeight="1">
      <c r="A492" s="455">
        <v>458</v>
      </c>
      <c r="B492" s="884"/>
      <c r="C492" s="885"/>
      <c r="D492" s="1679" t="s">
        <v>938</v>
      </c>
      <c r="E492" s="887"/>
      <c r="F492" s="887"/>
      <c r="G492" s="888"/>
      <c r="H492" s="889"/>
      <c r="I492" s="1238">
        <f>SUM(J492:N492)</f>
        <v>1028</v>
      </c>
      <c r="J492" s="1245"/>
      <c r="K492" s="1245"/>
      <c r="L492" s="1245">
        <v>1028</v>
      </c>
      <c r="M492" s="880"/>
      <c r="N492" s="881"/>
    </row>
    <row r="493" spans="1:14" s="890" customFormat="1" ht="18" customHeight="1">
      <c r="A493" s="455">
        <v>459</v>
      </c>
      <c r="B493" s="884"/>
      <c r="C493" s="885"/>
      <c r="D493" s="1146" t="s">
        <v>725</v>
      </c>
      <c r="E493" s="887"/>
      <c r="F493" s="887"/>
      <c r="G493" s="888"/>
      <c r="H493" s="889"/>
      <c r="I493" s="1241">
        <f>SUM(J493:N493)</f>
        <v>0</v>
      </c>
      <c r="J493" s="880"/>
      <c r="K493" s="880"/>
      <c r="L493" s="1248"/>
      <c r="M493" s="880"/>
      <c r="N493" s="881"/>
    </row>
    <row r="494" spans="1:14" s="890" customFormat="1" ht="18" customHeight="1">
      <c r="A494" s="455">
        <v>460</v>
      </c>
      <c r="B494" s="884"/>
      <c r="C494" s="885"/>
      <c r="D494" s="483" t="s">
        <v>1091</v>
      </c>
      <c r="E494" s="887"/>
      <c r="F494" s="887"/>
      <c r="G494" s="888"/>
      <c r="H494" s="889"/>
      <c r="I494" s="1238">
        <f>SUM(J494:N494)</f>
        <v>1028</v>
      </c>
      <c r="J494" s="880"/>
      <c r="K494" s="880"/>
      <c r="L494" s="1245">
        <f>SUM(L492:L493)</f>
        <v>1028</v>
      </c>
      <c r="M494" s="880"/>
      <c r="N494" s="881"/>
    </row>
    <row r="495" spans="1:16" s="3" customFormat="1" ht="22.5" customHeight="1">
      <c r="A495" s="455">
        <v>461</v>
      </c>
      <c r="B495" s="119"/>
      <c r="C495" s="120">
        <v>88</v>
      </c>
      <c r="D495" s="450" t="s">
        <v>368</v>
      </c>
      <c r="E495" s="122">
        <v>146828</v>
      </c>
      <c r="F495" s="122">
        <v>136000</v>
      </c>
      <c r="G495" s="123">
        <v>142569</v>
      </c>
      <c r="H495" s="457" t="s">
        <v>22</v>
      </c>
      <c r="I495" s="879"/>
      <c r="J495" s="1033"/>
      <c r="K495" s="1033"/>
      <c r="L495" s="1033"/>
      <c r="M495" s="1033"/>
      <c r="N495" s="1034"/>
      <c r="P495" s="8"/>
    </row>
    <row r="496" spans="1:14" s="890" customFormat="1" ht="18" customHeight="1">
      <c r="A496" s="455">
        <v>462</v>
      </c>
      <c r="B496" s="884"/>
      <c r="C496" s="885"/>
      <c r="D496" s="886" t="s">
        <v>283</v>
      </c>
      <c r="E496" s="887"/>
      <c r="F496" s="887"/>
      <c r="G496" s="888"/>
      <c r="H496" s="889"/>
      <c r="I496" s="879">
        <f>SUM(J496:N496)</f>
        <v>155000</v>
      </c>
      <c r="J496" s="880"/>
      <c r="K496" s="880"/>
      <c r="L496" s="880">
        <v>155000</v>
      </c>
      <c r="M496" s="880"/>
      <c r="N496" s="881"/>
    </row>
    <row r="497" spans="1:14" s="890" customFormat="1" ht="18" customHeight="1">
      <c r="A497" s="455">
        <v>463</v>
      </c>
      <c r="B497" s="884"/>
      <c r="C497" s="885"/>
      <c r="D497" s="1679" t="s">
        <v>938</v>
      </c>
      <c r="E497" s="887"/>
      <c r="F497" s="887"/>
      <c r="G497" s="888"/>
      <c r="H497" s="889"/>
      <c r="I497" s="1238">
        <f>SUM(J497:N497)</f>
        <v>190059</v>
      </c>
      <c r="J497" s="1245"/>
      <c r="K497" s="1245"/>
      <c r="L497" s="1245">
        <v>190059</v>
      </c>
      <c r="M497" s="880"/>
      <c r="N497" s="881"/>
    </row>
    <row r="498" spans="1:14" s="890" customFormat="1" ht="18" customHeight="1">
      <c r="A498" s="455">
        <v>464</v>
      </c>
      <c r="B498" s="884"/>
      <c r="C498" s="885"/>
      <c r="D498" s="1146" t="s">
        <v>725</v>
      </c>
      <c r="E498" s="887"/>
      <c r="F498" s="887"/>
      <c r="G498" s="888"/>
      <c r="H498" s="889"/>
      <c r="I498" s="1241">
        <f>SUM(J498:N498)</f>
        <v>0</v>
      </c>
      <c r="J498" s="880"/>
      <c r="K498" s="880"/>
      <c r="L498" s="1247"/>
      <c r="M498" s="880"/>
      <c r="N498" s="881"/>
    </row>
    <row r="499" spans="1:14" s="890" customFormat="1" ht="18" customHeight="1">
      <c r="A499" s="455">
        <v>465</v>
      </c>
      <c r="B499" s="884"/>
      <c r="C499" s="885"/>
      <c r="D499" s="483" t="s">
        <v>1091</v>
      </c>
      <c r="E499" s="887"/>
      <c r="F499" s="887"/>
      <c r="G499" s="888"/>
      <c r="H499" s="889"/>
      <c r="I499" s="1238">
        <f>SUM(J499:N499)</f>
        <v>190059</v>
      </c>
      <c r="J499" s="880"/>
      <c r="K499" s="880"/>
      <c r="L499" s="1245">
        <f>SUM(L497:L498)</f>
        <v>190059</v>
      </c>
      <c r="M499" s="880"/>
      <c r="N499" s="881"/>
    </row>
    <row r="500" spans="1:16" s="3" customFormat="1" ht="22.5" customHeight="1">
      <c r="A500" s="455">
        <v>466</v>
      </c>
      <c r="B500" s="119"/>
      <c r="C500" s="120">
        <v>89</v>
      </c>
      <c r="D500" s="450" t="s">
        <v>84</v>
      </c>
      <c r="E500" s="133">
        <v>49642</v>
      </c>
      <c r="F500" s="133">
        <v>54230</v>
      </c>
      <c r="G500" s="134">
        <v>38369</v>
      </c>
      <c r="H500" s="457" t="s">
        <v>22</v>
      </c>
      <c r="I500" s="879"/>
      <c r="J500" s="1033"/>
      <c r="K500" s="1033"/>
      <c r="L500" s="1033"/>
      <c r="M500" s="1033"/>
      <c r="N500" s="1034"/>
      <c r="P500" s="8"/>
    </row>
    <row r="501" spans="1:14" s="890" customFormat="1" ht="18" customHeight="1">
      <c r="A501" s="455">
        <v>467</v>
      </c>
      <c r="B501" s="884"/>
      <c r="C501" s="885"/>
      <c r="D501" s="886" t="s">
        <v>283</v>
      </c>
      <c r="E501" s="887"/>
      <c r="F501" s="887"/>
      <c r="G501" s="888"/>
      <c r="H501" s="889"/>
      <c r="I501" s="879">
        <f>SUM(J501:N501)</f>
        <v>60000</v>
      </c>
      <c r="J501" s="880"/>
      <c r="K501" s="880"/>
      <c r="L501" s="880">
        <v>60000</v>
      </c>
      <c r="M501" s="880"/>
      <c r="N501" s="881"/>
    </row>
    <row r="502" spans="1:14" s="890" customFormat="1" ht="18" customHeight="1">
      <c r="A502" s="455">
        <v>468</v>
      </c>
      <c r="B502" s="884"/>
      <c r="C502" s="885"/>
      <c r="D502" s="1679" t="s">
        <v>938</v>
      </c>
      <c r="E502" s="887"/>
      <c r="F502" s="887"/>
      <c r="G502" s="888"/>
      <c r="H502" s="889"/>
      <c r="I502" s="1238">
        <f>SUM(J502:N502)</f>
        <v>60000</v>
      </c>
      <c r="J502" s="1245"/>
      <c r="K502" s="1245"/>
      <c r="L502" s="1245">
        <v>60000</v>
      </c>
      <c r="M502" s="880"/>
      <c r="N502" s="881"/>
    </row>
    <row r="503" spans="1:14" s="890" customFormat="1" ht="18" customHeight="1">
      <c r="A503" s="455">
        <v>469</v>
      </c>
      <c r="B503" s="884"/>
      <c r="C503" s="885"/>
      <c r="D503" s="1146" t="s">
        <v>674</v>
      </c>
      <c r="E503" s="887"/>
      <c r="F503" s="887"/>
      <c r="G503" s="888"/>
      <c r="H503" s="889"/>
      <c r="I503" s="1241">
        <f>SUM(J503:N503)</f>
        <v>0</v>
      </c>
      <c r="J503" s="880"/>
      <c r="K503" s="880"/>
      <c r="L503" s="880"/>
      <c r="M503" s="880"/>
      <c r="N503" s="881"/>
    </row>
    <row r="504" spans="1:14" s="890" customFormat="1" ht="18" customHeight="1">
      <c r="A504" s="455">
        <v>470</v>
      </c>
      <c r="B504" s="884"/>
      <c r="C504" s="885"/>
      <c r="D504" s="483" t="s">
        <v>1091</v>
      </c>
      <c r="E504" s="887"/>
      <c r="F504" s="887"/>
      <c r="G504" s="888"/>
      <c r="H504" s="889"/>
      <c r="I504" s="1238">
        <f>SUM(J504:N504)</f>
        <v>60000</v>
      </c>
      <c r="J504" s="880"/>
      <c r="K504" s="880"/>
      <c r="L504" s="1245">
        <f>SUM(L502:L503)</f>
        <v>60000</v>
      </c>
      <c r="M504" s="880"/>
      <c r="N504" s="881"/>
    </row>
    <row r="505" spans="1:16" s="3" customFormat="1" ht="22.5" customHeight="1">
      <c r="A505" s="455">
        <v>471</v>
      </c>
      <c r="B505" s="119"/>
      <c r="C505" s="120">
        <v>90</v>
      </c>
      <c r="D505" s="450" t="s">
        <v>85</v>
      </c>
      <c r="E505" s="122">
        <v>13153</v>
      </c>
      <c r="F505" s="122">
        <v>1700</v>
      </c>
      <c r="G505" s="123">
        <v>1974</v>
      </c>
      <c r="H505" s="457" t="s">
        <v>22</v>
      </c>
      <c r="I505" s="879"/>
      <c r="J505" s="1033"/>
      <c r="K505" s="1033"/>
      <c r="L505" s="1033"/>
      <c r="M505" s="1033"/>
      <c r="N505" s="1034"/>
      <c r="P505" s="8"/>
    </row>
    <row r="506" spans="1:14" s="890" customFormat="1" ht="18" customHeight="1">
      <c r="A506" s="455">
        <v>472</v>
      </c>
      <c r="B506" s="884"/>
      <c r="C506" s="885"/>
      <c r="D506" s="886" t="s">
        <v>283</v>
      </c>
      <c r="E506" s="887"/>
      <c r="F506" s="887"/>
      <c r="G506" s="888"/>
      <c r="H506" s="889"/>
      <c r="I506" s="879">
        <f>SUM(J506:N506)</f>
        <v>4905</v>
      </c>
      <c r="J506" s="880"/>
      <c r="K506" s="880"/>
      <c r="L506" s="880">
        <v>4905</v>
      </c>
      <c r="M506" s="880"/>
      <c r="N506" s="881"/>
    </row>
    <row r="507" spans="1:14" s="890" customFormat="1" ht="18" customHeight="1">
      <c r="A507" s="455">
        <v>473</v>
      </c>
      <c r="B507" s="884"/>
      <c r="C507" s="885"/>
      <c r="D507" s="1679" t="s">
        <v>938</v>
      </c>
      <c r="E507" s="887"/>
      <c r="F507" s="887"/>
      <c r="G507" s="888"/>
      <c r="H507" s="889"/>
      <c r="I507" s="1238">
        <f>SUM(J507:N507)</f>
        <v>4905</v>
      </c>
      <c r="J507" s="1245"/>
      <c r="K507" s="1245"/>
      <c r="L507" s="1245">
        <v>4905</v>
      </c>
      <c r="M507" s="880"/>
      <c r="N507" s="881"/>
    </row>
    <row r="508" spans="1:14" s="890" customFormat="1" ht="18" customHeight="1">
      <c r="A508" s="455">
        <v>474</v>
      </c>
      <c r="B508" s="884"/>
      <c r="C508" s="885"/>
      <c r="D508" s="1146" t="s">
        <v>674</v>
      </c>
      <c r="E508" s="887"/>
      <c r="F508" s="887"/>
      <c r="G508" s="888"/>
      <c r="H508" s="889"/>
      <c r="I508" s="1241">
        <f>SUM(J508:N508)</f>
        <v>0</v>
      </c>
      <c r="J508" s="880"/>
      <c r="K508" s="880"/>
      <c r="L508" s="880"/>
      <c r="M508" s="880"/>
      <c r="N508" s="881"/>
    </row>
    <row r="509" spans="1:14" s="890" customFormat="1" ht="18" customHeight="1">
      <c r="A509" s="455">
        <v>475</v>
      </c>
      <c r="B509" s="884"/>
      <c r="C509" s="885"/>
      <c r="D509" s="483" t="s">
        <v>1091</v>
      </c>
      <c r="E509" s="887"/>
      <c r="F509" s="887"/>
      <c r="G509" s="888"/>
      <c r="H509" s="889"/>
      <c r="I509" s="1238">
        <f>SUM(J509:N509)</f>
        <v>4905</v>
      </c>
      <c r="J509" s="880"/>
      <c r="K509" s="880"/>
      <c r="L509" s="1245">
        <f>SUM(L507:L508)</f>
        <v>4905</v>
      </c>
      <c r="M509" s="880"/>
      <c r="N509" s="881"/>
    </row>
    <row r="510" spans="1:14" s="3" customFormat="1" ht="22.5" customHeight="1">
      <c r="A510" s="455">
        <v>476</v>
      </c>
      <c r="B510" s="119"/>
      <c r="C510" s="120">
        <v>91</v>
      </c>
      <c r="D510" s="450" t="s">
        <v>531</v>
      </c>
      <c r="E510" s="122">
        <v>1443096</v>
      </c>
      <c r="F510" s="122">
        <v>881516</v>
      </c>
      <c r="G510" s="123">
        <v>881516</v>
      </c>
      <c r="H510" s="457" t="s">
        <v>22</v>
      </c>
      <c r="I510" s="879"/>
      <c r="J510" s="1033"/>
      <c r="K510" s="1033"/>
      <c r="L510" s="1033"/>
      <c r="M510" s="1033"/>
      <c r="N510" s="1034"/>
    </row>
    <row r="511" spans="1:14" s="890" customFormat="1" ht="18" customHeight="1">
      <c r="A511" s="455">
        <v>477</v>
      </c>
      <c r="B511" s="884"/>
      <c r="C511" s="885"/>
      <c r="D511" s="886" t="s">
        <v>283</v>
      </c>
      <c r="E511" s="887"/>
      <c r="F511" s="887"/>
      <c r="G511" s="888"/>
      <c r="H511" s="889"/>
      <c r="I511" s="879">
        <f>SUM(J511:N511)</f>
        <v>469480</v>
      </c>
      <c r="J511" s="880"/>
      <c r="K511" s="880"/>
      <c r="L511" s="880"/>
      <c r="M511" s="880"/>
      <c r="N511" s="881">
        <v>469480</v>
      </c>
    </row>
    <row r="512" spans="1:14" s="890" customFormat="1" ht="18" customHeight="1">
      <c r="A512" s="455">
        <v>478</v>
      </c>
      <c r="B512" s="884"/>
      <c r="C512" s="885"/>
      <c r="D512" s="1679" t="s">
        <v>938</v>
      </c>
      <c r="E512" s="887"/>
      <c r="F512" s="887"/>
      <c r="G512" s="888"/>
      <c r="H512" s="889"/>
      <c r="I512" s="1238">
        <f>SUM(J512:N512)</f>
        <v>461703</v>
      </c>
      <c r="J512" s="1245"/>
      <c r="K512" s="1245"/>
      <c r="L512" s="1245"/>
      <c r="M512" s="1245"/>
      <c r="N512" s="1251">
        <v>461703</v>
      </c>
    </row>
    <row r="513" spans="1:14" s="890" customFormat="1" ht="18" customHeight="1">
      <c r="A513" s="455">
        <v>479</v>
      </c>
      <c r="B513" s="884"/>
      <c r="C513" s="885"/>
      <c r="D513" s="1146" t="s">
        <v>725</v>
      </c>
      <c r="E513" s="887"/>
      <c r="F513" s="887"/>
      <c r="G513" s="888"/>
      <c r="H513" s="889"/>
      <c r="I513" s="1241">
        <f>SUM(J513:N513)</f>
        <v>0</v>
      </c>
      <c r="J513" s="880"/>
      <c r="K513" s="880"/>
      <c r="L513" s="880"/>
      <c r="M513" s="880"/>
      <c r="N513" s="1246"/>
    </row>
    <row r="514" spans="1:14" s="890" customFormat="1" ht="18" customHeight="1">
      <c r="A514" s="455">
        <v>480</v>
      </c>
      <c r="B514" s="884"/>
      <c r="C514" s="885"/>
      <c r="D514" s="483" t="s">
        <v>1091</v>
      </c>
      <c r="E514" s="887"/>
      <c r="F514" s="887"/>
      <c r="G514" s="888"/>
      <c r="H514" s="889"/>
      <c r="I514" s="1238">
        <f>SUM(J514:N514)</f>
        <v>461703</v>
      </c>
      <c r="J514" s="880"/>
      <c r="K514" s="880"/>
      <c r="L514" s="880"/>
      <c r="M514" s="880"/>
      <c r="N514" s="1251">
        <f>SUM(N512:N513)</f>
        <v>461703</v>
      </c>
    </row>
    <row r="515" spans="1:14" s="8" customFormat="1" ht="22.5" customHeight="1">
      <c r="A515" s="455">
        <v>481</v>
      </c>
      <c r="B515" s="124"/>
      <c r="C515" s="120">
        <v>92</v>
      </c>
      <c r="D515" s="450" t="s">
        <v>500</v>
      </c>
      <c r="E515" s="122"/>
      <c r="F515" s="122">
        <v>153947</v>
      </c>
      <c r="G515" s="123">
        <v>153947</v>
      </c>
      <c r="H515" s="457" t="s">
        <v>22</v>
      </c>
      <c r="I515" s="879"/>
      <c r="J515" s="1033"/>
      <c r="K515" s="1033"/>
      <c r="L515" s="1033"/>
      <c r="M515" s="1033"/>
      <c r="N515" s="1034"/>
    </row>
    <row r="516" spans="1:14" s="3" customFormat="1" ht="22.5" customHeight="1">
      <c r="A516" s="455">
        <v>482</v>
      </c>
      <c r="B516" s="119"/>
      <c r="C516" s="120">
        <v>93</v>
      </c>
      <c r="D516" s="450" t="s">
        <v>386</v>
      </c>
      <c r="E516" s="122">
        <v>24770</v>
      </c>
      <c r="F516" s="122">
        <v>56914</v>
      </c>
      <c r="G516" s="123">
        <v>41158</v>
      </c>
      <c r="H516" s="457" t="s">
        <v>23</v>
      </c>
      <c r="I516" s="879"/>
      <c r="J516" s="1033"/>
      <c r="K516" s="1033"/>
      <c r="L516" s="1033"/>
      <c r="M516" s="1033"/>
      <c r="N516" s="1034"/>
    </row>
    <row r="517" spans="1:14" s="890" customFormat="1" ht="18" customHeight="1">
      <c r="A517" s="455">
        <v>483</v>
      </c>
      <c r="B517" s="884"/>
      <c r="C517" s="885"/>
      <c r="D517" s="886" t="s">
        <v>283</v>
      </c>
      <c r="E517" s="887"/>
      <c r="F517" s="887"/>
      <c r="G517" s="888"/>
      <c r="H517" s="889"/>
      <c r="I517" s="879">
        <f>SUM(J517:N517)</f>
        <v>48761</v>
      </c>
      <c r="J517" s="880"/>
      <c r="K517" s="880"/>
      <c r="L517" s="880">
        <v>48761</v>
      </c>
      <c r="M517" s="880"/>
      <c r="N517" s="881"/>
    </row>
    <row r="518" spans="1:14" s="890" customFormat="1" ht="18" customHeight="1">
      <c r="A518" s="455">
        <v>484</v>
      </c>
      <c r="B518" s="884"/>
      <c r="C518" s="885"/>
      <c r="D518" s="1679" t="s">
        <v>938</v>
      </c>
      <c r="E518" s="887"/>
      <c r="F518" s="887"/>
      <c r="G518" s="888"/>
      <c r="H518" s="889"/>
      <c r="I518" s="1238">
        <f>SUM(J518:N518)</f>
        <v>48761</v>
      </c>
      <c r="J518" s="1245"/>
      <c r="K518" s="1245"/>
      <c r="L518" s="1245">
        <v>48761</v>
      </c>
      <c r="M518" s="880"/>
      <c r="N518" s="881"/>
    </row>
    <row r="519" spans="1:14" s="890" customFormat="1" ht="18" customHeight="1">
      <c r="A519" s="455">
        <v>485</v>
      </c>
      <c r="B519" s="884"/>
      <c r="C519" s="885"/>
      <c r="D519" s="1146" t="s">
        <v>674</v>
      </c>
      <c r="E519" s="887"/>
      <c r="F519" s="887"/>
      <c r="G519" s="888"/>
      <c r="H519" s="889"/>
      <c r="I519" s="1241">
        <f>SUM(J519:N519)</f>
        <v>0</v>
      </c>
      <c r="J519" s="880"/>
      <c r="K519" s="880"/>
      <c r="L519" s="880"/>
      <c r="M519" s="880"/>
      <c r="N519" s="881"/>
    </row>
    <row r="520" spans="1:14" s="890" customFormat="1" ht="18" customHeight="1">
      <c r="A520" s="455">
        <v>486</v>
      </c>
      <c r="B520" s="884"/>
      <c r="C520" s="885"/>
      <c r="D520" s="483" t="s">
        <v>1091</v>
      </c>
      <c r="E520" s="887"/>
      <c r="F520" s="887"/>
      <c r="G520" s="888"/>
      <c r="H520" s="889"/>
      <c r="I520" s="1238">
        <f>SUM(J520:N520)</f>
        <v>48761</v>
      </c>
      <c r="J520" s="880"/>
      <c r="K520" s="880"/>
      <c r="L520" s="1245">
        <f>SUM(L518:L519)</f>
        <v>48761</v>
      </c>
      <c r="M520" s="880"/>
      <c r="N520" s="881"/>
    </row>
    <row r="521" spans="1:16" s="3" customFormat="1" ht="22.5" customHeight="1">
      <c r="A521" s="455">
        <v>487</v>
      </c>
      <c r="B521" s="119"/>
      <c r="C521" s="120"/>
      <c r="D521" s="292" t="s">
        <v>278</v>
      </c>
      <c r="E521" s="122"/>
      <c r="F521" s="122"/>
      <c r="G521" s="123"/>
      <c r="H521" s="457"/>
      <c r="I521" s="1038"/>
      <c r="J521" s="1039"/>
      <c r="K521" s="1039"/>
      <c r="L521" s="1039"/>
      <c r="M521" s="1039"/>
      <c r="N521" s="1040"/>
      <c r="O521" s="8"/>
      <c r="P521" s="8"/>
    </row>
    <row r="522" spans="1:16" s="3" customFormat="1" ht="22.5" customHeight="1">
      <c r="A522" s="455">
        <v>488</v>
      </c>
      <c r="B522" s="119"/>
      <c r="C522" s="120">
        <v>94</v>
      </c>
      <c r="D522" s="140" t="s">
        <v>8</v>
      </c>
      <c r="E522" s="122">
        <v>285738</v>
      </c>
      <c r="F522" s="122">
        <v>277100</v>
      </c>
      <c r="G522" s="123">
        <v>278486</v>
      </c>
      <c r="H522" s="457" t="s">
        <v>22</v>
      </c>
      <c r="I522" s="879"/>
      <c r="J522" s="1033"/>
      <c r="K522" s="1033"/>
      <c r="L522" s="1033"/>
      <c r="M522" s="1033"/>
      <c r="N522" s="1034"/>
      <c r="P522" s="8"/>
    </row>
    <row r="523" spans="1:14" s="890" customFormat="1" ht="18" customHeight="1">
      <c r="A523" s="455">
        <v>489</v>
      </c>
      <c r="B523" s="884"/>
      <c r="C523" s="885"/>
      <c r="D523" s="911" t="s">
        <v>283</v>
      </c>
      <c r="E523" s="887"/>
      <c r="F523" s="887"/>
      <c r="G523" s="888"/>
      <c r="H523" s="889"/>
      <c r="I523" s="879">
        <f>SUM(J523:N523)</f>
        <v>121336</v>
      </c>
      <c r="J523" s="880"/>
      <c r="K523" s="880"/>
      <c r="L523" s="880">
        <v>5000</v>
      </c>
      <c r="M523" s="880"/>
      <c r="N523" s="881">
        <v>116336</v>
      </c>
    </row>
    <row r="524" spans="1:14" s="890" customFormat="1" ht="18" customHeight="1">
      <c r="A524" s="455">
        <v>490</v>
      </c>
      <c r="B524" s="884"/>
      <c r="C524" s="885"/>
      <c r="D524" s="1253" t="s">
        <v>938</v>
      </c>
      <c r="E524" s="887"/>
      <c r="F524" s="887"/>
      <c r="G524" s="888"/>
      <c r="H524" s="889"/>
      <c r="I524" s="1238">
        <f>SUM(J524:N524)</f>
        <v>121336</v>
      </c>
      <c r="J524" s="1245"/>
      <c r="K524" s="1245"/>
      <c r="L524" s="1245">
        <v>5000</v>
      </c>
      <c r="M524" s="1245"/>
      <c r="N524" s="1251">
        <v>116336</v>
      </c>
    </row>
    <row r="525" spans="1:14" s="890" customFormat="1" ht="18" customHeight="1">
      <c r="A525" s="455">
        <v>491</v>
      </c>
      <c r="B525" s="884"/>
      <c r="C525" s="885"/>
      <c r="D525" s="1254" t="s">
        <v>674</v>
      </c>
      <c r="E525" s="887"/>
      <c r="F525" s="887"/>
      <c r="G525" s="888"/>
      <c r="H525" s="889"/>
      <c r="I525" s="1241">
        <f>SUM(J525:N525)</f>
        <v>0</v>
      </c>
      <c r="J525" s="880"/>
      <c r="K525" s="880"/>
      <c r="L525" s="880"/>
      <c r="M525" s="880"/>
      <c r="N525" s="881"/>
    </row>
    <row r="526" spans="1:14" s="890" customFormat="1" ht="18" customHeight="1">
      <c r="A526" s="455">
        <v>492</v>
      </c>
      <c r="B526" s="884"/>
      <c r="C526" s="885"/>
      <c r="D526" s="1253" t="s">
        <v>1091</v>
      </c>
      <c r="E526" s="887"/>
      <c r="F526" s="887"/>
      <c r="G526" s="888"/>
      <c r="H526" s="889"/>
      <c r="I526" s="1238">
        <f>SUM(J526:N526)</f>
        <v>121336</v>
      </c>
      <c r="J526" s="880"/>
      <c r="K526" s="880"/>
      <c r="L526" s="1245">
        <f>SUM(L524:L525)</f>
        <v>5000</v>
      </c>
      <c r="M526" s="1245"/>
      <c r="N526" s="1251">
        <f>SUM(N524:N525)</f>
        <v>116336</v>
      </c>
    </row>
    <row r="527" spans="1:16" s="3" customFormat="1" ht="22.5" customHeight="1">
      <c r="A527" s="455">
        <v>493</v>
      </c>
      <c r="B527" s="119"/>
      <c r="C527" s="120">
        <v>95</v>
      </c>
      <c r="D527" s="140" t="s">
        <v>277</v>
      </c>
      <c r="E527" s="122">
        <v>54053</v>
      </c>
      <c r="F527" s="122">
        <v>45900</v>
      </c>
      <c r="G527" s="123">
        <v>45900</v>
      </c>
      <c r="H527" s="457" t="s">
        <v>22</v>
      </c>
      <c r="I527" s="879"/>
      <c r="J527" s="1033"/>
      <c r="K527" s="1033"/>
      <c r="L527" s="1033"/>
      <c r="M527" s="1033"/>
      <c r="N527" s="1034"/>
      <c r="P527" s="8"/>
    </row>
    <row r="528" spans="1:14" s="890" customFormat="1" ht="18" customHeight="1">
      <c r="A528" s="455">
        <v>494</v>
      </c>
      <c r="B528" s="884"/>
      <c r="C528" s="885"/>
      <c r="D528" s="911" t="s">
        <v>283</v>
      </c>
      <c r="E528" s="887"/>
      <c r="F528" s="887"/>
      <c r="G528" s="888"/>
      <c r="H528" s="889"/>
      <c r="I528" s="879">
        <f>SUM(J528:N528)</f>
        <v>31600</v>
      </c>
      <c r="J528" s="880"/>
      <c r="K528" s="880"/>
      <c r="L528" s="880"/>
      <c r="M528" s="880"/>
      <c r="N528" s="881">
        <v>31600</v>
      </c>
    </row>
    <row r="529" spans="1:14" s="890" customFormat="1" ht="18" customHeight="1">
      <c r="A529" s="455">
        <v>495</v>
      </c>
      <c r="B529" s="884"/>
      <c r="C529" s="885"/>
      <c r="D529" s="1253" t="s">
        <v>938</v>
      </c>
      <c r="E529" s="887"/>
      <c r="F529" s="887"/>
      <c r="G529" s="888"/>
      <c r="H529" s="889"/>
      <c r="I529" s="1238">
        <f>SUM(J529:N529)</f>
        <v>31600</v>
      </c>
      <c r="J529" s="1245"/>
      <c r="K529" s="1245"/>
      <c r="L529" s="1245"/>
      <c r="M529" s="1245"/>
      <c r="N529" s="1251">
        <v>31600</v>
      </c>
    </row>
    <row r="530" spans="1:14" s="890" customFormat="1" ht="18" customHeight="1">
      <c r="A530" s="455">
        <v>496</v>
      </c>
      <c r="B530" s="884"/>
      <c r="C530" s="885"/>
      <c r="D530" s="1254" t="s">
        <v>674</v>
      </c>
      <c r="E530" s="887"/>
      <c r="F530" s="887"/>
      <c r="G530" s="888"/>
      <c r="H530" s="889"/>
      <c r="I530" s="1241">
        <f>SUM(J530:N530)</f>
        <v>0</v>
      </c>
      <c r="J530" s="880"/>
      <c r="K530" s="880"/>
      <c r="L530" s="880"/>
      <c r="M530" s="880"/>
      <c r="N530" s="881"/>
    </row>
    <row r="531" spans="1:14" s="890" customFormat="1" ht="18" customHeight="1">
      <c r="A531" s="455">
        <v>497</v>
      </c>
      <c r="B531" s="884"/>
      <c r="C531" s="885"/>
      <c r="D531" s="1253" t="s">
        <v>1091</v>
      </c>
      <c r="E531" s="887"/>
      <c r="F531" s="887"/>
      <c r="G531" s="888"/>
      <c r="H531" s="889"/>
      <c r="I531" s="1238">
        <f>SUM(J531:N531)</f>
        <v>31600</v>
      </c>
      <c r="J531" s="880"/>
      <c r="K531" s="880"/>
      <c r="L531" s="880"/>
      <c r="M531" s="880"/>
      <c r="N531" s="1251">
        <f>SUM(N529:N530)</f>
        <v>31600</v>
      </c>
    </row>
    <row r="532" spans="1:16" s="3" customFormat="1" ht="22.5" customHeight="1">
      <c r="A532" s="455">
        <v>498</v>
      </c>
      <c r="B532" s="119"/>
      <c r="C532" s="120">
        <v>96</v>
      </c>
      <c r="D532" s="140" t="s">
        <v>9</v>
      </c>
      <c r="E532" s="122">
        <v>298908</v>
      </c>
      <c r="F532" s="122">
        <v>259250</v>
      </c>
      <c r="G532" s="123">
        <v>259250</v>
      </c>
      <c r="H532" s="457" t="s">
        <v>22</v>
      </c>
      <c r="I532" s="879"/>
      <c r="J532" s="1033"/>
      <c r="K532" s="1033"/>
      <c r="L532" s="1033"/>
      <c r="M532" s="1033"/>
      <c r="N532" s="1034"/>
      <c r="P532" s="8"/>
    </row>
    <row r="533" spans="1:14" s="890" customFormat="1" ht="18" customHeight="1">
      <c r="A533" s="455">
        <v>499</v>
      </c>
      <c r="B533" s="884"/>
      <c r="C533" s="885"/>
      <c r="D533" s="911" t="s">
        <v>283</v>
      </c>
      <c r="E533" s="887"/>
      <c r="F533" s="887"/>
      <c r="G533" s="888"/>
      <c r="H533" s="889"/>
      <c r="I533" s="879">
        <f>SUM(J533:N533)</f>
        <v>231700</v>
      </c>
      <c r="J533" s="880"/>
      <c r="K533" s="880"/>
      <c r="L533" s="880"/>
      <c r="M533" s="880"/>
      <c r="N533" s="881">
        <v>231700</v>
      </c>
    </row>
    <row r="534" spans="1:14" s="890" customFormat="1" ht="18" customHeight="1">
      <c r="A534" s="455">
        <v>500</v>
      </c>
      <c r="B534" s="884"/>
      <c r="C534" s="885"/>
      <c r="D534" s="1253" t="s">
        <v>938</v>
      </c>
      <c r="E534" s="887"/>
      <c r="F534" s="887"/>
      <c r="G534" s="888"/>
      <c r="H534" s="889"/>
      <c r="I534" s="1238">
        <f>SUM(J534:N534)</f>
        <v>231700</v>
      </c>
      <c r="J534" s="1245"/>
      <c r="K534" s="1245"/>
      <c r="L534" s="1245"/>
      <c r="M534" s="1245"/>
      <c r="N534" s="1251">
        <v>231700</v>
      </c>
    </row>
    <row r="535" spans="1:14" s="890" customFormat="1" ht="18" customHeight="1">
      <c r="A535" s="455">
        <v>501</v>
      </c>
      <c r="B535" s="884"/>
      <c r="C535" s="885"/>
      <c r="D535" s="1254" t="s">
        <v>674</v>
      </c>
      <c r="E535" s="887"/>
      <c r="F535" s="887"/>
      <c r="G535" s="888"/>
      <c r="H535" s="889"/>
      <c r="I535" s="1241">
        <f>SUM(J535:N535)</f>
        <v>0</v>
      </c>
      <c r="J535" s="880"/>
      <c r="K535" s="880"/>
      <c r="L535" s="880"/>
      <c r="M535" s="880"/>
      <c r="N535" s="881"/>
    </row>
    <row r="536" spans="1:14" s="890" customFormat="1" ht="18" customHeight="1">
      <c r="A536" s="455">
        <v>502</v>
      </c>
      <c r="B536" s="884"/>
      <c r="C536" s="885"/>
      <c r="D536" s="1253" t="s">
        <v>1091</v>
      </c>
      <c r="E536" s="887"/>
      <c r="F536" s="887"/>
      <c r="G536" s="888"/>
      <c r="H536" s="889"/>
      <c r="I536" s="1238">
        <f>SUM(J536:N536)</f>
        <v>231700</v>
      </c>
      <c r="J536" s="880"/>
      <c r="K536" s="880"/>
      <c r="L536" s="880"/>
      <c r="M536" s="880"/>
      <c r="N536" s="1251">
        <f>SUM(N534:N535)</f>
        <v>231700</v>
      </c>
    </row>
    <row r="537" spans="1:16" s="3" customFormat="1" ht="22.5" customHeight="1">
      <c r="A537" s="455">
        <v>503</v>
      </c>
      <c r="B537" s="119"/>
      <c r="C537" s="120">
        <v>97</v>
      </c>
      <c r="D537" s="140" t="s">
        <v>7</v>
      </c>
      <c r="E537" s="122">
        <v>43000</v>
      </c>
      <c r="F537" s="122">
        <v>36550</v>
      </c>
      <c r="G537" s="123">
        <v>36550</v>
      </c>
      <c r="H537" s="457" t="s">
        <v>22</v>
      </c>
      <c r="I537" s="879"/>
      <c r="J537" s="1033"/>
      <c r="K537" s="1033"/>
      <c r="L537" s="1033"/>
      <c r="M537" s="1033"/>
      <c r="N537" s="1034"/>
      <c r="P537" s="8"/>
    </row>
    <row r="538" spans="1:14" s="890" customFormat="1" ht="18" customHeight="1">
      <c r="A538" s="455">
        <v>504</v>
      </c>
      <c r="B538" s="884"/>
      <c r="C538" s="885"/>
      <c r="D538" s="911" t="s">
        <v>283</v>
      </c>
      <c r="E538" s="887"/>
      <c r="F538" s="887"/>
      <c r="G538" s="888"/>
      <c r="H538" s="889"/>
      <c r="I538" s="879">
        <f>SUM(J538:N538)</f>
        <v>37700</v>
      </c>
      <c r="J538" s="880"/>
      <c r="K538" s="880"/>
      <c r="L538" s="880"/>
      <c r="M538" s="880"/>
      <c r="N538" s="881">
        <v>37700</v>
      </c>
    </row>
    <row r="539" spans="1:14" s="890" customFormat="1" ht="18" customHeight="1">
      <c r="A539" s="455">
        <v>505</v>
      </c>
      <c r="B539" s="884"/>
      <c r="C539" s="885"/>
      <c r="D539" s="1253" t="s">
        <v>938</v>
      </c>
      <c r="E539" s="887"/>
      <c r="F539" s="887"/>
      <c r="G539" s="888"/>
      <c r="H539" s="889"/>
      <c r="I539" s="1238">
        <f>SUM(J539:N539)</f>
        <v>37700</v>
      </c>
      <c r="J539" s="1245"/>
      <c r="K539" s="1245"/>
      <c r="L539" s="1245"/>
      <c r="M539" s="1245"/>
      <c r="N539" s="1251">
        <v>37700</v>
      </c>
    </row>
    <row r="540" spans="1:14" s="890" customFormat="1" ht="18" customHeight="1">
      <c r="A540" s="455">
        <v>506</v>
      </c>
      <c r="B540" s="884"/>
      <c r="C540" s="885"/>
      <c r="D540" s="1254" t="s">
        <v>674</v>
      </c>
      <c r="E540" s="887"/>
      <c r="F540" s="887"/>
      <c r="G540" s="888"/>
      <c r="H540" s="889"/>
      <c r="I540" s="1241">
        <f>SUM(J540:N540)</f>
        <v>0</v>
      </c>
      <c r="J540" s="880"/>
      <c r="K540" s="880"/>
      <c r="L540" s="880"/>
      <c r="M540" s="880"/>
      <c r="N540" s="881"/>
    </row>
    <row r="541" spans="1:14" s="890" customFormat="1" ht="18" customHeight="1">
      <c r="A541" s="455">
        <v>507</v>
      </c>
      <c r="B541" s="884"/>
      <c r="C541" s="885"/>
      <c r="D541" s="1253" t="s">
        <v>1091</v>
      </c>
      <c r="E541" s="887"/>
      <c r="F541" s="887"/>
      <c r="G541" s="888"/>
      <c r="H541" s="889"/>
      <c r="I541" s="1238">
        <f>SUM(J541:N541)</f>
        <v>37700</v>
      </c>
      <c r="J541" s="880"/>
      <c r="K541" s="880"/>
      <c r="L541" s="880"/>
      <c r="M541" s="880"/>
      <c r="N541" s="1251">
        <f>SUM(N539:N540)</f>
        <v>37700</v>
      </c>
    </row>
    <row r="542" spans="1:16" s="3" customFormat="1" ht="22.5" customHeight="1">
      <c r="A542" s="455">
        <v>508</v>
      </c>
      <c r="B542" s="119"/>
      <c r="C542" s="120"/>
      <c r="D542" s="292" t="s">
        <v>279</v>
      </c>
      <c r="E542" s="122"/>
      <c r="F542" s="122"/>
      <c r="G542" s="123"/>
      <c r="H542" s="457"/>
      <c r="I542" s="1038"/>
      <c r="J542" s="1039"/>
      <c r="K542" s="1039"/>
      <c r="L542" s="1039"/>
      <c r="M542" s="1039"/>
      <c r="N542" s="1040"/>
      <c r="O542" s="8"/>
      <c r="P542" s="8"/>
    </row>
    <row r="543" spans="1:16" s="3" customFormat="1" ht="23.25" customHeight="1">
      <c r="A543" s="455">
        <v>509</v>
      </c>
      <c r="B543" s="119"/>
      <c r="C543" s="120">
        <v>98</v>
      </c>
      <c r="D543" s="140" t="s">
        <v>501</v>
      </c>
      <c r="E543" s="122">
        <v>35000</v>
      </c>
      <c r="F543" s="122">
        <v>42500</v>
      </c>
      <c r="G543" s="123">
        <v>42500</v>
      </c>
      <c r="H543" s="457" t="s">
        <v>22</v>
      </c>
      <c r="I543" s="879"/>
      <c r="J543" s="1033"/>
      <c r="K543" s="1033"/>
      <c r="L543" s="1033"/>
      <c r="M543" s="1033"/>
      <c r="N543" s="1034"/>
      <c r="P543" s="8"/>
    </row>
    <row r="544" spans="1:16" s="3" customFormat="1" ht="23.25" customHeight="1">
      <c r="A544" s="455">
        <v>510</v>
      </c>
      <c r="B544" s="119"/>
      <c r="C544" s="120">
        <v>99</v>
      </c>
      <c r="D544" s="140" t="s">
        <v>280</v>
      </c>
      <c r="E544" s="122">
        <v>180000</v>
      </c>
      <c r="F544" s="122">
        <v>169738</v>
      </c>
      <c r="G544" s="123">
        <v>169738</v>
      </c>
      <c r="H544" s="457" t="s">
        <v>22</v>
      </c>
      <c r="I544" s="879"/>
      <c r="J544" s="1033"/>
      <c r="K544" s="1033"/>
      <c r="L544" s="1033"/>
      <c r="M544" s="1033"/>
      <c r="N544" s="1034"/>
      <c r="P544" s="8"/>
    </row>
    <row r="545" spans="1:14" s="8" customFormat="1" ht="23.25" customHeight="1">
      <c r="A545" s="455">
        <v>511</v>
      </c>
      <c r="B545" s="124"/>
      <c r="C545" s="120">
        <v>100</v>
      </c>
      <c r="D545" s="140" t="s">
        <v>502</v>
      </c>
      <c r="E545" s="122">
        <v>123387</v>
      </c>
      <c r="F545" s="122">
        <v>130000</v>
      </c>
      <c r="G545" s="123">
        <v>127855</v>
      </c>
      <c r="H545" s="457" t="s">
        <v>22</v>
      </c>
      <c r="I545" s="879"/>
      <c r="J545" s="1033"/>
      <c r="K545" s="1033"/>
      <c r="L545" s="1033"/>
      <c r="M545" s="1033"/>
      <c r="N545" s="1034"/>
    </row>
    <row r="546" spans="1:14" s="890" customFormat="1" ht="18" customHeight="1">
      <c r="A546" s="455">
        <v>512</v>
      </c>
      <c r="B546" s="884"/>
      <c r="C546" s="885"/>
      <c r="D546" s="911" t="s">
        <v>283</v>
      </c>
      <c r="E546" s="887"/>
      <c r="F546" s="887"/>
      <c r="G546" s="888"/>
      <c r="H546" s="889"/>
      <c r="I546" s="879">
        <f>SUM(J546:N546)</f>
        <v>147218</v>
      </c>
      <c r="J546" s="880"/>
      <c r="K546" s="880"/>
      <c r="L546" s="880">
        <v>147218</v>
      </c>
      <c r="M546" s="880"/>
      <c r="N546" s="881"/>
    </row>
    <row r="547" spans="1:14" s="890" customFormat="1" ht="18" customHeight="1">
      <c r="A547" s="455">
        <v>513</v>
      </c>
      <c r="B547" s="884"/>
      <c r="C547" s="885"/>
      <c r="D547" s="1253" t="s">
        <v>938</v>
      </c>
      <c r="E547" s="887"/>
      <c r="F547" s="887"/>
      <c r="G547" s="888"/>
      <c r="H547" s="889"/>
      <c r="I547" s="1238">
        <f>SUM(J547:N547)</f>
        <v>168476</v>
      </c>
      <c r="J547" s="1245"/>
      <c r="K547" s="1245"/>
      <c r="L547" s="1245">
        <v>168476</v>
      </c>
      <c r="M547" s="880"/>
      <c r="N547" s="881"/>
    </row>
    <row r="548" spans="1:14" s="890" customFormat="1" ht="18" customHeight="1">
      <c r="A548" s="455">
        <v>514</v>
      </c>
      <c r="B548" s="884"/>
      <c r="C548" s="885"/>
      <c r="D548" s="1254" t="s">
        <v>725</v>
      </c>
      <c r="E548" s="887"/>
      <c r="F548" s="887"/>
      <c r="G548" s="888"/>
      <c r="H548" s="889"/>
      <c r="I548" s="1241">
        <f>SUM(J548:N548)</f>
        <v>0</v>
      </c>
      <c r="J548" s="880"/>
      <c r="K548" s="880"/>
      <c r="L548" s="1247"/>
      <c r="M548" s="880"/>
      <c r="N548" s="881"/>
    </row>
    <row r="549" spans="1:14" s="890" customFormat="1" ht="18" customHeight="1">
      <c r="A549" s="455">
        <v>515</v>
      </c>
      <c r="B549" s="884"/>
      <c r="C549" s="885"/>
      <c r="D549" s="1253" t="s">
        <v>1091</v>
      </c>
      <c r="E549" s="887"/>
      <c r="F549" s="887"/>
      <c r="G549" s="888"/>
      <c r="H549" s="889"/>
      <c r="I549" s="1238">
        <f>SUM(J549:N549)</f>
        <v>168476</v>
      </c>
      <c r="J549" s="880"/>
      <c r="K549" s="880"/>
      <c r="L549" s="1245">
        <f>SUM(L547:L548)</f>
        <v>168476</v>
      </c>
      <c r="M549" s="880"/>
      <c r="N549" s="881"/>
    </row>
    <row r="550" spans="1:16" s="3" customFormat="1" ht="22.5" customHeight="1">
      <c r="A550" s="455">
        <v>516</v>
      </c>
      <c r="B550" s="119"/>
      <c r="C550" s="120">
        <v>101</v>
      </c>
      <c r="D550" s="450" t="s">
        <v>94</v>
      </c>
      <c r="E550" s="122">
        <v>20000</v>
      </c>
      <c r="F550" s="122">
        <v>17000</v>
      </c>
      <c r="G550" s="123">
        <v>19000</v>
      </c>
      <c r="H550" s="457" t="s">
        <v>22</v>
      </c>
      <c r="I550" s="879"/>
      <c r="J550" s="1033"/>
      <c r="K550" s="1033"/>
      <c r="L550" s="1033"/>
      <c r="M550" s="1033"/>
      <c r="N550" s="1034"/>
      <c r="P550" s="8"/>
    </row>
    <row r="551" spans="1:14" s="890" customFormat="1" ht="18" customHeight="1">
      <c r="A551" s="455">
        <v>517</v>
      </c>
      <c r="B551" s="884"/>
      <c r="C551" s="885"/>
      <c r="D551" s="886" t="s">
        <v>283</v>
      </c>
      <c r="E551" s="887"/>
      <c r="F551" s="887"/>
      <c r="G551" s="888"/>
      <c r="H551" s="889"/>
      <c r="I551" s="879">
        <f>SUM(J551:N551)</f>
        <v>20000</v>
      </c>
      <c r="J551" s="880"/>
      <c r="K551" s="880"/>
      <c r="L551" s="880">
        <v>20000</v>
      </c>
      <c r="M551" s="880"/>
      <c r="N551" s="881"/>
    </row>
    <row r="552" spans="1:14" s="890" customFormat="1" ht="18" customHeight="1">
      <c r="A552" s="455">
        <v>518</v>
      </c>
      <c r="B552" s="884"/>
      <c r="C552" s="885"/>
      <c r="D552" s="1679" t="s">
        <v>938</v>
      </c>
      <c r="E552" s="887"/>
      <c r="F552" s="887"/>
      <c r="G552" s="888"/>
      <c r="H552" s="889"/>
      <c r="I552" s="1238">
        <f>SUM(J552:N552)</f>
        <v>25000</v>
      </c>
      <c r="J552" s="1245"/>
      <c r="K552" s="1245"/>
      <c r="L552" s="1245">
        <v>25000</v>
      </c>
      <c r="M552" s="880"/>
      <c r="N552" s="881"/>
    </row>
    <row r="553" spans="1:14" s="890" customFormat="1" ht="18" customHeight="1">
      <c r="A553" s="455">
        <v>519</v>
      </c>
      <c r="B553" s="884"/>
      <c r="C553" s="885"/>
      <c r="D553" s="1146" t="s">
        <v>725</v>
      </c>
      <c r="E553" s="887"/>
      <c r="F553" s="887"/>
      <c r="G553" s="888"/>
      <c r="H553" s="889"/>
      <c r="I553" s="1241">
        <f>SUM(J553:N553)</f>
        <v>0</v>
      </c>
      <c r="J553" s="880"/>
      <c r="K553" s="880"/>
      <c r="L553" s="1247"/>
      <c r="M553" s="880"/>
      <c r="N553" s="881"/>
    </row>
    <row r="554" spans="1:14" s="890" customFormat="1" ht="18" customHeight="1">
      <c r="A554" s="455">
        <v>520</v>
      </c>
      <c r="B554" s="884"/>
      <c r="C554" s="885"/>
      <c r="D554" s="483" t="s">
        <v>1091</v>
      </c>
      <c r="E554" s="887"/>
      <c r="F554" s="887"/>
      <c r="G554" s="888"/>
      <c r="H554" s="889"/>
      <c r="I554" s="1238">
        <f>SUM(J554:N554)</f>
        <v>25000</v>
      </c>
      <c r="J554" s="880"/>
      <c r="K554" s="880"/>
      <c r="L554" s="1245">
        <f>SUM(L552:L553)</f>
        <v>25000</v>
      </c>
      <c r="M554" s="880"/>
      <c r="N554" s="881"/>
    </row>
    <row r="555" spans="1:16" s="3" customFormat="1" ht="22.5" customHeight="1">
      <c r="A555" s="455">
        <v>521</v>
      </c>
      <c r="B555" s="119"/>
      <c r="C555" s="120">
        <v>102</v>
      </c>
      <c r="D555" s="450" t="s">
        <v>95</v>
      </c>
      <c r="E555" s="122">
        <v>1000</v>
      </c>
      <c r="F555" s="122">
        <v>1020</v>
      </c>
      <c r="G555" s="123">
        <v>1020</v>
      </c>
      <c r="H555" s="457" t="s">
        <v>22</v>
      </c>
      <c r="I555" s="879"/>
      <c r="J555" s="1033"/>
      <c r="K555" s="1033"/>
      <c r="L555" s="1033"/>
      <c r="M555" s="1033"/>
      <c r="N555" s="1034"/>
      <c r="P555" s="8"/>
    </row>
    <row r="556" spans="1:14" s="890" customFormat="1" ht="18" customHeight="1">
      <c r="A556" s="455">
        <v>522</v>
      </c>
      <c r="B556" s="884"/>
      <c r="C556" s="885"/>
      <c r="D556" s="886" t="s">
        <v>283</v>
      </c>
      <c r="E556" s="887"/>
      <c r="F556" s="887"/>
      <c r="G556" s="888"/>
      <c r="H556" s="889"/>
      <c r="I556" s="879">
        <f>SUM(J556:N556)</f>
        <v>1100</v>
      </c>
      <c r="J556" s="880"/>
      <c r="K556" s="880"/>
      <c r="L556" s="880">
        <v>1100</v>
      </c>
      <c r="M556" s="880"/>
      <c r="N556" s="881"/>
    </row>
    <row r="557" spans="1:14" s="890" customFormat="1" ht="18" customHeight="1">
      <c r="A557" s="455">
        <v>523</v>
      </c>
      <c r="B557" s="884"/>
      <c r="C557" s="885"/>
      <c r="D557" s="1679" t="s">
        <v>938</v>
      </c>
      <c r="E557" s="887"/>
      <c r="F557" s="887"/>
      <c r="G557" s="888"/>
      <c r="H557" s="889"/>
      <c r="I557" s="1238">
        <f>SUM(J557:N557)</f>
        <v>1100</v>
      </c>
      <c r="J557" s="1245"/>
      <c r="K557" s="1245"/>
      <c r="L557" s="1245">
        <v>1100</v>
      </c>
      <c r="M557" s="1245"/>
      <c r="N557" s="881"/>
    </row>
    <row r="558" spans="1:14" s="890" customFormat="1" ht="18" customHeight="1">
      <c r="A558" s="455">
        <v>524</v>
      </c>
      <c r="B558" s="884"/>
      <c r="C558" s="885"/>
      <c r="D558" s="1146" t="s">
        <v>674</v>
      </c>
      <c r="E558" s="887"/>
      <c r="F558" s="887"/>
      <c r="G558" s="888"/>
      <c r="H558" s="889"/>
      <c r="I558" s="1241">
        <f>SUM(J558:N558)</f>
        <v>0</v>
      </c>
      <c r="J558" s="880"/>
      <c r="K558" s="880"/>
      <c r="L558" s="880"/>
      <c r="M558" s="880"/>
      <c r="N558" s="881"/>
    </row>
    <row r="559" spans="1:14" s="890" customFormat="1" ht="18" customHeight="1">
      <c r="A559" s="455">
        <v>525</v>
      </c>
      <c r="B559" s="884"/>
      <c r="C559" s="885"/>
      <c r="D559" s="483" t="s">
        <v>1091</v>
      </c>
      <c r="E559" s="887"/>
      <c r="F559" s="887"/>
      <c r="G559" s="888"/>
      <c r="H559" s="889"/>
      <c r="I559" s="1238">
        <f>SUM(J559:N559)</f>
        <v>1100</v>
      </c>
      <c r="J559" s="880"/>
      <c r="K559" s="880"/>
      <c r="L559" s="1245">
        <f>SUM(L557:L558)</f>
        <v>1100</v>
      </c>
      <c r="M559" s="880"/>
      <c r="N559" s="881"/>
    </row>
    <row r="560" spans="1:16" s="3" customFormat="1" ht="22.5" customHeight="1">
      <c r="A560" s="455">
        <v>526</v>
      </c>
      <c r="B560" s="119"/>
      <c r="C560" s="120">
        <v>103</v>
      </c>
      <c r="D560" s="450" t="s">
        <v>96</v>
      </c>
      <c r="E560" s="122">
        <v>2889</v>
      </c>
      <c r="F560" s="122">
        <v>4250</v>
      </c>
      <c r="G560" s="123">
        <v>1405</v>
      </c>
      <c r="H560" s="457" t="s">
        <v>22</v>
      </c>
      <c r="I560" s="879"/>
      <c r="J560" s="1033"/>
      <c r="K560" s="1033"/>
      <c r="L560" s="1033"/>
      <c r="M560" s="1033"/>
      <c r="N560" s="1034"/>
      <c r="P560" s="8"/>
    </row>
    <row r="561" spans="1:14" s="890" customFormat="1" ht="18" customHeight="1">
      <c r="A561" s="455">
        <v>527</v>
      </c>
      <c r="B561" s="884"/>
      <c r="C561" s="885"/>
      <c r="D561" s="886" t="s">
        <v>283</v>
      </c>
      <c r="E561" s="887"/>
      <c r="F561" s="887"/>
      <c r="G561" s="888"/>
      <c r="H561" s="889"/>
      <c r="I561" s="879">
        <f>SUM(J561:N561)</f>
        <v>5000</v>
      </c>
      <c r="J561" s="880"/>
      <c r="K561" s="880"/>
      <c r="L561" s="880">
        <v>5000</v>
      </c>
      <c r="M561" s="880"/>
      <c r="N561" s="881"/>
    </row>
    <row r="562" spans="1:14" s="890" customFormat="1" ht="18" customHeight="1">
      <c r="A562" s="455">
        <v>528</v>
      </c>
      <c r="B562" s="884"/>
      <c r="C562" s="885"/>
      <c r="D562" s="1679" t="s">
        <v>938</v>
      </c>
      <c r="E562" s="887"/>
      <c r="F562" s="887"/>
      <c r="G562" s="888"/>
      <c r="H562" s="889"/>
      <c r="I562" s="1238">
        <f>SUM(J562:N562)</f>
        <v>5100</v>
      </c>
      <c r="J562" s="1245"/>
      <c r="K562" s="1245"/>
      <c r="L562" s="1245">
        <v>5100</v>
      </c>
      <c r="M562" s="880"/>
      <c r="N562" s="881"/>
    </row>
    <row r="563" spans="1:14" s="890" customFormat="1" ht="18" customHeight="1">
      <c r="A563" s="455">
        <v>529</v>
      </c>
      <c r="B563" s="884"/>
      <c r="C563" s="885"/>
      <c r="D563" s="1146" t="s">
        <v>725</v>
      </c>
      <c r="E563" s="887"/>
      <c r="F563" s="887"/>
      <c r="G563" s="888"/>
      <c r="H563" s="889"/>
      <c r="I563" s="1241">
        <f>SUM(J563:N563)</f>
        <v>0</v>
      </c>
      <c r="J563" s="880"/>
      <c r="K563" s="880"/>
      <c r="L563" s="1247"/>
      <c r="M563" s="880"/>
      <c r="N563" s="881"/>
    </row>
    <row r="564" spans="1:14" s="890" customFormat="1" ht="18" customHeight="1">
      <c r="A564" s="455">
        <v>530</v>
      </c>
      <c r="B564" s="884"/>
      <c r="C564" s="885"/>
      <c r="D564" s="483" t="s">
        <v>1091</v>
      </c>
      <c r="E564" s="887"/>
      <c r="F564" s="887"/>
      <c r="G564" s="888"/>
      <c r="H564" s="889"/>
      <c r="I564" s="1238">
        <f>SUM(J564:N564)</f>
        <v>5100</v>
      </c>
      <c r="J564" s="880"/>
      <c r="K564" s="880"/>
      <c r="L564" s="1245">
        <f>SUM(L562:L563)</f>
        <v>5100</v>
      </c>
      <c r="M564" s="880"/>
      <c r="N564" s="881"/>
    </row>
    <row r="565" spans="1:16" s="3" customFormat="1" ht="22.5" customHeight="1">
      <c r="A565" s="455">
        <v>531</v>
      </c>
      <c r="B565" s="119"/>
      <c r="C565" s="120">
        <v>104</v>
      </c>
      <c r="D565" s="450" t="s">
        <v>97</v>
      </c>
      <c r="E565" s="122">
        <v>13710</v>
      </c>
      <c r="F565" s="122">
        <v>17000</v>
      </c>
      <c r="G565" s="123">
        <v>17199</v>
      </c>
      <c r="H565" s="457" t="s">
        <v>22</v>
      </c>
      <c r="I565" s="879"/>
      <c r="J565" s="1033"/>
      <c r="K565" s="1033"/>
      <c r="L565" s="1033"/>
      <c r="M565" s="1033"/>
      <c r="N565" s="1034"/>
      <c r="P565" s="8"/>
    </row>
    <row r="566" spans="1:14" s="890" customFormat="1" ht="18" customHeight="1">
      <c r="A566" s="455">
        <v>532</v>
      </c>
      <c r="B566" s="884"/>
      <c r="C566" s="885"/>
      <c r="D566" s="886" t="s">
        <v>283</v>
      </c>
      <c r="E566" s="887"/>
      <c r="F566" s="887"/>
      <c r="G566" s="888"/>
      <c r="H566" s="889"/>
      <c r="I566" s="879">
        <f>SUM(J566:N566)</f>
        <v>20000</v>
      </c>
      <c r="J566" s="880"/>
      <c r="K566" s="880"/>
      <c r="L566" s="880">
        <v>20000</v>
      </c>
      <c r="M566" s="880"/>
      <c r="N566" s="881"/>
    </row>
    <row r="567" spans="1:14" s="890" customFormat="1" ht="18" customHeight="1">
      <c r="A567" s="455">
        <v>533</v>
      </c>
      <c r="B567" s="884"/>
      <c r="C567" s="885"/>
      <c r="D567" s="1679" t="s">
        <v>938</v>
      </c>
      <c r="E567" s="887"/>
      <c r="F567" s="887"/>
      <c r="G567" s="888"/>
      <c r="H567" s="889"/>
      <c r="I567" s="1238">
        <f>SUM(J567:N567)</f>
        <v>34305</v>
      </c>
      <c r="J567" s="1245"/>
      <c r="K567" s="1245"/>
      <c r="L567" s="1245">
        <v>34305</v>
      </c>
      <c r="M567" s="880"/>
      <c r="N567" s="881"/>
    </row>
    <row r="568" spans="1:14" s="890" customFormat="1" ht="18" customHeight="1">
      <c r="A568" s="455">
        <v>534</v>
      </c>
      <c r="B568" s="884"/>
      <c r="C568" s="885"/>
      <c r="D568" s="1146" t="s">
        <v>725</v>
      </c>
      <c r="E568" s="887"/>
      <c r="F568" s="887"/>
      <c r="G568" s="888"/>
      <c r="H568" s="889"/>
      <c r="I568" s="1241">
        <f>SUM(J568:N568)</f>
        <v>0</v>
      </c>
      <c r="J568" s="880"/>
      <c r="K568" s="880"/>
      <c r="L568" s="1247"/>
      <c r="M568" s="880"/>
      <c r="N568" s="881"/>
    </row>
    <row r="569" spans="1:14" s="890" customFormat="1" ht="18" customHeight="1">
      <c r="A569" s="455">
        <v>535</v>
      </c>
      <c r="B569" s="884"/>
      <c r="C569" s="885"/>
      <c r="D569" s="483" t="s">
        <v>1091</v>
      </c>
      <c r="E569" s="887"/>
      <c r="F569" s="887"/>
      <c r="G569" s="888"/>
      <c r="H569" s="889"/>
      <c r="I569" s="1238">
        <f>SUM(J569:N569)</f>
        <v>34305</v>
      </c>
      <c r="J569" s="880"/>
      <c r="K569" s="880"/>
      <c r="L569" s="1245">
        <f>SUM(L567:L568)</f>
        <v>34305</v>
      </c>
      <c r="M569" s="880"/>
      <c r="N569" s="881"/>
    </row>
    <row r="570" spans="1:16" s="3" customFormat="1" ht="22.5" customHeight="1">
      <c r="A570" s="455">
        <v>536</v>
      </c>
      <c r="B570" s="119"/>
      <c r="C570" s="120">
        <v>105</v>
      </c>
      <c r="D570" s="450" t="s">
        <v>98</v>
      </c>
      <c r="E570" s="122">
        <v>189414</v>
      </c>
      <c r="F570" s="122">
        <v>191250</v>
      </c>
      <c r="G570" s="123">
        <v>225617</v>
      </c>
      <c r="H570" s="457" t="s">
        <v>22</v>
      </c>
      <c r="I570" s="879"/>
      <c r="J570" s="1033"/>
      <c r="K570" s="1033"/>
      <c r="L570" s="1033"/>
      <c r="M570" s="1033"/>
      <c r="N570" s="1034"/>
      <c r="P570" s="8"/>
    </row>
    <row r="571" spans="1:14" s="890" customFormat="1" ht="18" customHeight="1">
      <c r="A571" s="455">
        <v>537</v>
      </c>
      <c r="B571" s="884"/>
      <c r="C571" s="885"/>
      <c r="D571" s="886" t="s">
        <v>283</v>
      </c>
      <c r="E571" s="887"/>
      <c r="F571" s="887"/>
      <c r="G571" s="888"/>
      <c r="H571" s="889"/>
      <c r="I571" s="879">
        <f>SUM(J571:N571)</f>
        <v>235000</v>
      </c>
      <c r="J571" s="880"/>
      <c r="K571" s="880"/>
      <c r="L571" s="880">
        <v>235000</v>
      </c>
      <c r="M571" s="880"/>
      <c r="N571" s="881"/>
    </row>
    <row r="572" spans="1:14" s="890" customFormat="1" ht="18" customHeight="1">
      <c r="A572" s="455">
        <v>538</v>
      </c>
      <c r="B572" s="884"/>
      <c r="C572" s="885"/>
      <c r="D572" s="1679" t="s">
        <v>938</v>
      </c>
      <c r="E572" s="887"/>
      <c r="F572" s="887"/>
      <c r="G572" s="888"/>
      <c r="H572" s="889"/>
      <c r="I572" s="1238">
        <f>SUM(J572:N572)</f>
        <v>235000</v>
      </c>
      <c r="J572" s="1245"/>
      <c r="K572" s="1245"/>
      <c r="L572" s="1245">
        <v>235000</v>
      </c>
      <c r="M572" s="880"/>
      <c r="N572" s="881"/>
    </row>
    <row r="573" spans="1:14" s="890" customFormat="1" ht="18" customHeight="1">
      <c r="A573" s="455">
        <v>539</v>
      </c>
      <c r="B573" s="884"/>
      <c r="C573" s="885"/>
      <c r="D573" s="1146" t="s">
        <v>674</v>
      </c>
      <c r="E573" s="887"/>
      <c r="F573" s="887"/>
      <c r="G573" s="888"/>
      <c r="H573" s="889"/>
      <c r="I573" s="1241">
        <f>SUM(J573:N573)</f>
        <v>0</v>
      </c>
      <c r="J573" s="880"/>
      <c r="K573" s="880"/>
      <c r="L573" s="880"/>
      <c r="M573" s="880"/>
      <c r="N573" s="881"/>
    </row>
    <row r="574" spans="1:14" s="890" customFormat="1" ht="18" customHeight="1">
      <c r="A574" s="455">
        <v>540</v>
      </c>
      <c r="B574" s="884"/>
      <c r="C574" s="885"/>
      <c r="D574" s="483" t="s">
        <v>1091</v>
      </c>
      <c r="E574" s="887"/>
      <c r="F574" s="887"/>
      <c r="G574" s="888"/>
      <c r="H574" s="889"/>
      <c r="I574" s="1238">
        <f>SUM(J574:N574)</f>
        <v>235000</v>
      </c>
      <c r="J574" s="880"/>
      <c r="K574" s="880"/>
      <c r="L574" s="1245">
        <f>SUM(L572:L573)</f>
        <v>235000</v>
      </c>
      <c r="M574" s="880"/>
      <c r="N574" s="881"/>
    </row>
    <row r="575" spans="1:16" s="3" customFormat="1" ht="22.5" customHeight="1">
      <c r="A575" s="455">
        <v>541</v>
      </c>
      <c r="B575" s="119"/>
      <c r="C575" s="120">
        <v>106</v>
      </c>
      <c r="D575" s="450" t="s">
        <v>99</v>
      </c>
      <c r="E575" s="122">
        <v>3526</v>
      </c>
      <c r="F575" s="122">
        <v>4250</v>
      </c>
      <c r="G575" s="123">
        <v>3555</v>
      </c>
      <c r="H575" s="457" t="s">
        <v>22</v>
      </c>
      <c r="I575" s="879"/>
      <c r="J575" s="1033"/>
      <c r="K575" s="1033"/>
      <c r="L575" s="1033"/>
      <c r="M575" s="1033"/>
      <c r="N575" s="1034"/>
      <c r="P575" s="8"/>
    </row>
    <row r="576" spans="1:14" s="890" customFormat="1" ht="18" customHeight="1">
      <c r="A576" s="455">
        <v>542</v>
      </c>
      <c r="B576" s="884"/>
      <c r="C576" s="885"/>
      <c r="D576" s="886" t="s">
        <v>283</v>
      </c>
      <c r="E576" s="887"/>
      <c r="F576" s="887"/>
      <c r="G576" s="888"/>
      <c r="H576" s="889"/>
      <c r="I576" s="879">
        <f>SUM(J576:N576)</f>
        <v>5000</v>
      </c>
      <c r="J576" s="880"/>
      <c r="K576" s="880"/>
      <c r="L576" s="880">
        <v>5000</v>
      </c>
      <c r="M576" s="880"/>
      <c r="N576" s="881"/>
    </row>
    <row r="577" spans="1:14" s="890" customFormat="1" ht="18" customHeight="1">
      <c r="A577" s="455">
        <v>543</v>
      </c>
      <c r="B577" s="884"/>
      <c r="C577" s="885"/>
      <c r="D577" s="1679" t="s">
        <v>938</v>
      </c>
      <c r="E577" s="887"/>
      <c r="F577" s="887"/>
      <c r="G577" s="888"/>
      <c r="H577" s="889"/>
      <c r="I577" s="1238">
        <f>SUM(J577:N577)</f>
        <v>6881</v>
      </c>
      <c r="J577" s="1245"/>
      <c r="K577" s="1245"/>
      <c r="L577" s="1245">
        <v>6881</v>
      </c>
      <c r="M577" s="880"/>
      <c r="N577" s="881"/>
    </row>
    <row r="578" spans="1:14" s="890" customFormat="1" ht="18" customHeight="1">
      <c r="A578" s="455">
        <v>544</v>
      </c>
      <c r="B578" s="884"/>
      <c r="C578" s="885"/>
      <c r="D578" s="1146" t="s">
        <v>725</v>
      </c>
      <c r="E578" s="887"/>
      <c r="F578" s="887"/>
      <c r="G578" s="888"/>
      <c r="H578" s="889"/>
      <c r="I578" s="1241">
        <f>SUM(J578:N578)</f>
        <v>0</v>
      </c>
      <c r="J578" s="880"/>
      <c r="K578" s="880"/>
      <c r="L578" s="1247"/>
      <c r="M578" s="880"/>
      <c r="N578" s="881"/>
    </row>
    <row r="579" spans="1:14" s="890" customFormat="1" ht="18" customHeight="1">
      <c r="A579" s="455">
        <v>545</v>
      </c>
      <c r="B579" s="884"/>
      <c r="C579" s="885"/>
      <c r="D579" s="483" t="s">
        <v>1091</v>
      </c>
      <c r="E579" s="887"/>
      <c r="F579" s="887"/>
      <c r="G579" s="888"/>
      <c r="H579" s="889"/>
      <c r="I579" s="1238">
        <f>SUM(J579:N579)</f>
        <v>6881</v>
      </c>
      <c r="J579" s="880"/>
      <c r="K579" s="880"/>
      <c r="L579" s="1245">
        <f>SUM(L577:L578)</f>
        <v>6881</v>
      </c>
      <c r="M579" s="880"/>
      <c r="N579" s="881"/>
    </row>
    <row r="580" spans="1:16" s="3" customFormat="1" ht="22.5" customHeight="1">
      <c r="A580" s="455">
        <v>546</v>
      </c>
      <c r="B580" s="119"/>
      <c r="C580" s="120">
        <v>107</v>
      </c>
      <c r="D580" s="450" t="s">
        <v>100</v>
      </c>
      <c r="E580" s="122">
        <v>4382</v>
      </c>
      <c r="F580" s="122">
        <v>5100</v>
      </c>
      <c r="G580" s="123">
        <v>1141</v>
      </c>
      <c r="H580" s="457" t="s">
        <v>22</v>
      </c>
      <c r="I580" s="879"/>
      <c r="J580" s="1033"/>
      <c r="K580" s="1033"/>
      <c r="L580" s="1033"/>
      <c r="M580" s="1033"/>
      <c r="N580" s="1034"/>
      <c r="P580" s="8"/>
    </row>
    <row r="581" spans="1:14" s="890" customFormat="1" ht="18" customHeight="1">
      <c r="A581" s="455">
        <v>547</v>
      </c>
      <c r="B581" s="884"/>
      <c r="C581" s="885"/>
      <c r="D581" s="886" t="s">
        <v>283</v>
      </c>
      <c r="E581" s="887"/>
      <c r="F581" s="887"/>
      <c r="G581" s="888"/>
      <c r="H581" s="889"/>
      <c r="I581" s="879">
        <f>SUM(J581:N581)</f>
        <v>4000</v>
      </c>
      <c r="J581" s="880"/>
      <c r="K581" s="880"/>
      <c r="L581" s="880">
        <v>4000</v>
      </c>
      <c r="M581" s="880"/>
      <c r="N581" s="881"/>
    </row>
    <row r="582" spans="1:14" s="890" customFormat="1" ht="18" customHeight="1">
      <c r="A582" s="455">
        <v>548</v>
      </c>
      <c r="B582" s="884"/>
      <c r="C582" s="885"/>
      <c r="D582" s="1679" t="s">
        <v>938</v>
      </c>
      <c r="E582" s="887"/>
      <c r="F582" s="887"/>
      <c r="G582" s="888"/>
      <c r="H582" s="889"/>
      <c r="I582" s="1238">
        <f>SUM(J582:N582)</f>
        <v>4000</v>
      </c>
      <c r="J582" s="1245"/>
      <c r="K582" s="1245"/>
      <c r="L582" s="1245">
        <v>4000</v>
      </c>
      <c r="M582" s="880"/>
      <c r="N582" s="881"/>
    </row>
    <row r="583" spans="1:14" s="890" customFormat="1" ht="18" customHeight="1">
      <c r="A583" s="455">
        <v>549</v>
      </c>
      <c r="B583" s="884"/>
      <c r="C583" s="885"/>
      <c r="D583" s="1146" t="s">
        <v>725</v>
      </c>
      <c r="E583" s="887"/>
      <c r="F583" s="887"/>
      <c r="G583" s="888"/>
      <c r="H583" s="889"/>
      <c r="I583" s="1241">
        <f>SUM(J583:N583)</f>
        <v>0</v>
      </c>
      <c r="J583" s="880"/>
      <c r="K583" s="880"/>
      <c r="L583" s="1247"/>
      <c r="M583" s="880"/>
      <c r="N583" s="881"/>
    </row>
    <row r="584" spans="1:14" s="890" customFormat="1" ht="18" customHeight="1">
      <c r="A584" s="455">
        <v>550</v>
      </c>
      <c r="B584" s="884"/>
      <c r="C584" s="885"/>
      <c r="D584" s="483" t="s">
        <v>1091</v>
      </c>
      <c r="E584" s="887"/>
      <c r="F584" s="887"/>
      <c r="G584" s="888"/>
      <c r="H584" s="889"/>
      <c r="I584" s="1238">
        <f>SUM(J584:N584)</f>
        <v>4000</v>
      </c>
      <c r="J584" s="880"/>
      <c r="K584" s="880"/>
      <c r="L584" s="1245">
        <f>SUM(L582:L583)</f>
        <v>4000</v>
      </c>
      <c r="M584" s="880"/>
      <c r="N584" s="881"/>
    </row>
    <row r="585" spans="1:16" s="3" customFormat="1" ht="22.5" customHeight="1">
      <c r="A585" s="455">
        <v>551</v>
      </c>
      <c r="B585" s="119"/>
      <c r="C585" s="120">
        <v>108</v>
      </c>
      <c r="D585" s="450" t="s">
        <v>101</v>
      </c>
      <c r="E585" s="122">
        <v>36</v>
      </c>
      <c r="F585" s="122">
        <v>850</v>
      </c>
      <c r="G585" s="123">
        <v>185</v>
      </c>
      <c r="H585" s="457" t="s">
        <v>22</v>
      </c>
      <c r="I585" s="879"/>
      <c r="J585" s="1033"/>
      <c r="K585" s="1033"/>
      <c r="L585" s="1033"/>
      <c r="M585" s="1033"/>
      <c r="N585" s="1034"/>
      <c r="P585" s="8"/>
    </row>
    <row r="586" spans="1:14" s="890" customFormat="1" ht="18" customHeight="1">
      <c r="A586" s="455">
        <v>552</v>
      </c>
      <c r="B586" s="884"/>
      <c r="C586" s="885"/>
      <c r="D586" s="886" t="s">
        <v>283</v>
      </c>
      <c r="E586" s="887"/>
      <c r="F586" s="887"/>
      <c r="G586" s="888"/>
      <c r="H586" s="889"/>
      <c r="I586" s="879">
        <f>SUM(J586:N586)</f>
        <v>500</v>
      </c>
      <c r="J586" s="880"/>
      <c r="K586" s="880"/>
      <c r="L586" s="880">
        <v>500</v>
      </c>
      <c r="M586" s="880"/>
      <c r="N586" s="881"/>
    </row>
    <row r="587" spans="1:14" s="890" customFormat="1" ht="18" customHeight="1">
      <c r="A587" s="455">
        <v>553</v>
      </c>
      <c r="B587" s="884"/>
      <c r="C587" s="885"/>
      <c r="D587" s="1679" t="s">
        <v>938</v>
      </c>
      <c r="E587" s="887"/>
      <c r="F587" s="887"/>
      <c r="G587" s="888"/>
      <c r="H587" s="889"/>
      <c r="I587" s="1238">
        <f>SUM(J587:N587)</f>
        <v>800</v>
      </c>
      <c r="J587" s="1245"/>
      <c r="K587" s="1245"/>
      <c r="L587" s="1245">
        <v>800</v>
      </c>
      <c r="M587" s="880"/>
      <c r="N587" s="881"/>
    </row>
    <row r="588" spans="1:14" s="890" customFormat="1" ht="18" customHeight="1">
      <c r="A588" s="455">
        <v>554</v>
      </c>
      <c r="B588" s="884"/>
      <c r="C588" s="885"/>
      <c r="D588" s="1146" t="s">
        <v>725</v>
      </c>
      <c r="E588" s="887"/>
      <c r="F588" s="887"/>
      <c r="G588" s="888"/>
      <c r="H588" s="889"/>
      <c r="I588" s="1241">
        <f>SUM(J588:N588)</f>
        <v>0</v>
      </c>
      <c r="J588" s="880"/>
      <c r="K588" s="880"/>
      <c r="L588" s="1247"/>
      <c r="M588" s="880"/>
      <c r="N588" s="881"/>
    </row>
    <row r="589" spans="1:14" s="890" customFormat="1" ht="18" customHeight="1">
      <c r="A589" s="455">
        <v>555</v>
      </c>
      <c r="B589" s="884"/>
      <c r="C589" s="885"/>
      <c r="D589" s="483" t="s">
        <v>1091</v>
      </c>
      <c r="E589" s="887"/>
      <c r="F589" s="887"/>
      <c r="G589" s="888"/>
      <c r="H589" s="889"/>
      <c r="I589" s="1238">
        <f>SUM(J589:N589)</f>
        <v>800</v>
      </c>
      <c r="J589" s="880"/>
      <c r="K589" s="880"/>
      <c r="L589" s="1245">
        <f>SUM(L587:L588)</f>
        <v>800</v>
      </c>
      <c r="M589" s="880"/>
      <c r="N589" s="881"/>
    </row>
    <row r="590" spans="1:16" s="3" customFormat="1" ht="22.5" customHeight="1">
      <c r="A590" s="455">
        <v>556</v>
      </c>
      <c r="B590" s="119"/>
      <c r="C590" s="120">
        <v>109</v>
      </c>
      <c r="D590" s="454" t="s">
        <v>287</v>
      </c>
      <c r="E590" s="122">
        <v>59551</v>
      </c>
      <c r="F590" s="122">
        <v>65195</v>
      </c>
      <c r="G590" s="123">
        <v>66237</v>
      </c>
      <c r="H590" s="457" t="s">
        <v>22</v>
      </c>
      <c r="I590" s="879"/>
      <c r="J590" s="1033"/>
      <c r="K590" s="1033"/>
      <c r="L590" s="1033"/>
      <c r="M590" s="1033"/>
      <c r="N590" s="1034"/>
      <c r="P590" s="8"/>
    </row>
    <row r="591" spans="1:14" s="890" customFormat="1" ht="18" customHeight="1">
      <c r="A591" s="455">
        <v>557</v>
      </c>
      <c r="B591" s="884"/>
      <c r="C591" s="885"/>
      <c r="D591" s="886" t="s">
        <v>283</v>
      </c>
      <c r="E591" s="887"/>
      <c r="F591" s="887"/>
      <c r="G591" s="888"/>
      <c r="H591" s="889"/>
      <c r="I591" s="879">
        <f>SUM(J591:N591)</f>
        <v>67760</v>
      </c>
      <c r="J591" s="880"/>
      <c r="K591" s="880"/>
      <c r="L591" s="880">
        <v>67760</v>
      </c>
      <c r="M591" s="880"/>
      <c r="N591" s="881"/>
    </row>
    <row r="592" spans="1:14" s="890" customFormat="1" ht="18" customHeight="1">
      <c r="A592" s="455">
        <v>558</v>
      </c>
      <c r="B592" s="884"/>
      <c r="C592" s="885"/>
      <c r="D592" s="1679" t="s">
        <v>938</v>
      </c>
      <c r="E592" s="887"/>
      <c r="F592" s="887"/>
      <c r="G592" s="888"/>
      <c r="H592" s="889"/>
      <c r="I592" s="1238">
        <f>SUM(J592:N592)</f>
        <v>70292</v>
      </c>
      <c r="J592" s="1245"/>
      <c r="K592" s="1245"/>
      <c r="L592" s="1245">
        <v>70292</v>
      </c>
      <c r="M592" s="880"/>
      <c r="N592" s="881"/>
    </row>
    <row r="593" spans="1:14" s="890" customFormat="1" ht="18" customHeight="1">
      <c r="A593" s="455">
        <v>559</v>
      </c>
      <c r="B593" s="884"/>
      <c r="C593" s="885"/>
      <c r="D593" s="1146" t="s">
        <v>725</v>
      </c>
      <c r="E593" s="887"/>
      <c r="F593" s="887"/>
      <c r="G593" s="888"/>
      <c r="H593" s="889"/>
      <c r="I593" s="1241">
        <f>SUM(J593:N593)</f>
        <v>0</v>
      </c>
      <c r="J593" s="880"/>
      <c r="K593" s="880"/>
      <c r="L593" s="1247"/>
      <c r="M593" s="880"/>
      <c r="N593" s="881"/>
    </row>
    <row r="594" spans="1:14" s="890" customFormat="1" ht="18" customHeight="1">
      <c r="A594" s="455">
        <v>560</v>
      </c>
      <c r="B594" s="884"/>
      <c r="C594" s="885"/>
      <c r="D594" s="483" t="s">
        <v>1091</v>
      </c>
      <c r="E594" s="887"/>
      <c r="F594" s="887"/>
      <c r="G594" s="888"/>
      <c r="H594" s="889"/>
      <c r="I594" s="1238">
        <f>SUM(J594:N594)</f>
        <v>70292</v>
      </c>
      <c r="J594" s="880"/>
      <c r="K594" s="880"/>
      <c r="L594" s="1245">
        <f>SUM(L592:L593)</f>
        <v>70292</v>
      </c>
      <c r="M594" s="880"/>
      <c r="N594" s="881"/>
    </row>
    <row r="595" spans="1:16" s="3" customFormat="1" ht="22.5" customHeight="1">
      <c r="A595" s="455">
        <v>561</v>
      </c>
      <c r="B595" s="119"/>
      <c r="C595" s="120">
        <v>110</v>
      </c>
      <c r="D595" s="454" t="s">
        <v>503</v>
      </c>
      <c r="E595" s="122">
        <v>60900</v>
      </c>
      <c r="F595" s="122">
        <v>57501</v>
      </c>
      <c r="G595" s="123">
        <v>57448</v>
      </c>
      <c r="H595" s="457" t="s">
        <v>22</v>
      </c>
      <c r="I595" s="879"/>
      <c r="J595" s="1033"/>
      <c r="K595" s="1033"/>
      <c r="L595" s="1033"/>
      <c r="M595" s="1033"/>
      <c r="N595" s="1034"/>
      <c r="P595" s="8"/>
    </row>
    <row r="596" spans="1:14" s="890" customFormat="1" ht="18" customHeight="1">
      <c r="A596" s="455">
        <v>562</v>
      </c>
      <c r="B596" s="884"/>
      <c r="C596" s="885"/>
      <c r="D596" s="886" t="s">
        <v>283</v>
      </c>
      <c r="E596" s="887"/>
      <c r="F596" s="887"/>
      <c r="G596" s="888"/>
      <c r="H596" s="889"/>
      <c r="I596" s="879">
        <f>SUM(J596:N596)</f>
        <v>67000</v>
      </c>
      <c r="J596" s="880"/>
      <c r="K596" s="880"/>
      <c r="L596" s="880">
        <v>67000</v>
      </c>
      <c r="M596" s="880"/>
      <c r="N596" s="881"/>
    </row>
    <row r="597" spans="1:14" s="890" customFormat="1" ht="18" customHeight="1">
      <c r="A597" s="455">
        <v>563</v>
      </c>
      <c r="B597" s="884"/>
      <c r="C597" s="885"/>
      <c r="D597" s="1679" t="s">
        <v>938</v>
      </c>
      <c r="E597" s="887"/>
      <c r="F597" s="887"/>
      <c r="G597" s="888"/>
      <c r="H597" s="889"/>
      <c r="I597" s="1238">
        <f>SUM(J597:N597)</f>
        <v>70101</v>
      </c>
      <c r="J597" s="1245"/>
      <c r="K597" s="1245"/>
      <c r="L597" s="1245">
        <v>70101</v>
      </c>
      <c r="M597" s="880"/>
      <c r="N597" s="881"/>
    </row>
    <row r="598" spans="1:14" s="890" customFormat="1" ht="18" customHeight="1">
      <c r="A598" s="455">
        <v>564</v>
      </c>
      <c r="B598" s="884"/>
      <c r="C598" s="885"/>
      <c r="D598" s="1146" t="s">
        <v>725</v>
      </c>
      <c r="E598" s="887"/>
      <c r="F598" s="887"/>
      <c r="G598" s="888"/>
      <c r="H598" s="889"/>
      <c r="I598" s="1241">
        <f>SUM(J598:N598)</f>
        <v>0</v>
      </c>
      <c r="J598" s="880"/>
      <c r="K598" s="880"/>
      <c r="L598" s="1247"/>
      <c r="M598" s="880"/>
      <c r="N598" s="881"/>
    </row>
    <row r="599" spans="1:14" s="890" customFormat="1" ht="18" customHeight="1">
      <c r="A599" s="455">
        <v>565</v>
      </c>
      <c r="B599" s="884"/>
      <c r="C599" s="885"/>
      <c r="D599" s="483" t="s">
        <v>1091</v>
      </c>
      <c r="E599" s="887"/>
      <c r="F599" s="887"/>
      <c r="G599" s="888"/>
      <c r="H599" s="889"/>
      <c r="I599" s="1238">
        <f>SUM(J599:N599)</f>
        <v>70101</v>
      </c>
      <c r="J599" s="880"/>
      <c r="K599" s="880"/>
      <c r="L599" s="1245">
        <f>SUM(L597:L598)</f>
        <v>70101</v>
      </c>
      <c r="M599" s="880"/>
      <c r="N599" s="881"/>
    </row>
    <row r="600" spans="1:16" s="3" customFormat="1" ht="22.5" customHeight="1">
      <c r="A600" s="455">
        <v>566</v>
      </c>
      <c r="B600" s="119"/>
      <c r="C600" s="120">
        <v>111</v>
      </c>
      <c r="D600" s="454" t="s">
        <v>240</v>
      </c>
      <c r="E600" s="122">
        <v>18999</v>
      </c>
      <c r="F600" s="122">
        <v>17000</v>
      </c>
      <c r="G600" s="123">
        <v>17000</v>
      </c>
      <c r="H600" s="457" t="s">
        <v>22</v>
      </c>
      <c r="I600" s="879"/>
      <c r="J600" s="1033"/>
      <c r="K600" s="1033"/>
      <c r="L600" s="1033"/>
      <c r="M600" s="1033"/>
      <c r="N600" s="1034"/>
      <c r="P600" s="8"/>
    </row>
    <row r="601" spans="1:14" s="890" customFormat="1" ht="18" customHeight="1">
      <c r="A601" s="455">
        <v>567</v>
      </c>
      <c r="B601" s="884"/>
      <c r="C601" s="885"/>
      <c r="D601" s="886" t="s">
        <v>283</v>
      </c>
      <c r="E601" s="887"/>
      <c r="F601" s="887"/>
      <c r="G601" s="888"/>
      <c r="H601" s="889"/>
      <c r="I601" s="879">
        <f>SUM(J601:N601)</f>
        <v>19000</v>
      </c>
      <c r="J601" s="880"/>
      <c r="K601" s="880"/>
      <c r="L601" s="880">
        <v>19000</v>
      </c>
      <c r="M601" s="880"/>
      <c r="N601" s="881"/>
    </row>
    <row r="602" spans="1:14" s="890" customFormat="1" ht="18" customHeight="1">
      <c r="A602" s="455">
        <v>568</v>
      </c>
      <c r="B602" s="884"/>
      <c r="C602" s="885"/>
      <c r="D602" s="1679" t="s">
        <v>938</v>
      </c>
      <c r="E602" s="887"/>
      <c r="F602" s="887"/>
      <c r="G602" s="888"/>
      <c r="H602" s="893"/>
      <c r="I602" s="1238">
        <f>SUM(J602:N602)</f>
        <v>19000</v>
      </c>
      <c r="J602" s="1245"/>
      <c r="K602" s="1245"/>
      <c r="L602" s="1245">
        <v>19000</v>
      </c>
      <c r="M602" s="880"/>
      <c r="N602" s="881"/>
    </row>
    <row r="603" spans="1:14" s="890" customFormat="1" ht="18" customHeight="1">
      <c r="A603" s="455">
        <v>569</v>
      </c>
      <c r="B603" s="884"/>
      <c r="C603" s="885"/>
      <c r="D603" s="1146" t="s">
        <v>674</v>
      </c>
      <c r="E603" s="887"/>
      <c r="F603" s="887"/>
      <c r="G603" s="888"/>
      <c r="H603" s="893"/>
      <c r="I603" s="1241">
        <f>SUM(J603:N603)</f>
        <v>0</v>
      </c>
      <c r="J603" s="880"/>
      <c r="K603" s="880"/>
      <c r="L603" s="880"/>
      <c r="M603" s="880"/>
      <c r="N603" s="881"/>
    </row>
    <row r="604" spans="1:14" s="890" customFormat="1" ht="18" customHeight="1">
      <c r="A604" s="455">
        <v>570</v>
      </c>
      <c r="B604" s="884"/>
      <c r="C604" s="885"/>
      <c r="D604" s="483" t="s">
        <v>1091</v>
      </c>
      <c r="E604" s="887"/>
      <c r="F604" s="887"/>
      <c r="G604" s="888"/>
      <c r="H604" s="893"/>
      <c r="I604" s="1238">
        <f>SUM(J604:N604)</f>
        <v>19000</v>
      </c>
      <c r="J604" s="880"/>
      <c r="K604" s="880"/>
      <c r="L604" s="1245">
        <f>SUM(L602:L603)</f>
        <v>19000</v>
      </c>
      <c r="M604" s="880"/>
      <c r="N604" s="881"/>
    </row>
    <row r="605" spans="1:16" s="3" customFormat="1" ht="22.5" customHeight="1">
      <c r="A605" s="455">
        <v>571</v>
      </c>
      <c r="B605" s="119"/>
      <c r="C605" s="120">
        <v>112</v>
      </c>
      <c r="D605" s="450" t="s">
        <v>239</v>
      </c>
      <c r="E605" s="122">
        <v>1601</v>
      </c>
      <c r="F605" s="122">
        <v>1275</v>
      </c>
      <c r="G605" s="123">
        <v>778</v>
      </c>
      <c r="H605" s="459" t="s">
        <v>22</v>
      </c>
      <c r="I605" s="879"/>
      <c r="J605" s="1033"/>
      <c r="K605" s="1033"/>
      <c r="L605" s="1033"/>
      <c r="M605" s="1033"/>
      <c r="N605" s="1034"/>
      <c r="P605" s="8"/>
    </row>
    <row r="606" spans="1:14" s="890" customFormat="1" ht="18" customHeight="1">
      <c r="A606" s="455">
        <v>572</v>
      </c>
      <c r="B606" s="908"/>
      <c r="C606" s="885"/>
      <c r="D606" s="886" t="s">
        <v>283</v>
      </c>
      <c r="E606" s="891"/>
      <c r="F606" s="891"/>
      <c r="G606" s="892"/>
      <c r="H606" s="893"/>
      <c r="I606" s="879">
        <f>SUM(J606:N606)</f>
        <v>1500</v>
      </c>
      <c r="J606" s="894"/>
      <c r="K606" s="894"/>
      <c r="L606" s="894">
        <v>1500</v>
      </c>
      <c r="M606" s="894"/>
      <c r="N606" s="895"/>
    </row>
    <row r="607" spans="1:14" s="890" customFormat="1" ht="18" customHeight="1">
      <c r="A607" s="455">
        <v>573</v>
      </c>
      <c r="B607" s="908"/>
      <c r="C607" s="885"/>
      <c r="D607" s="1679" t="s">
        <v>938</v>
      </c>
      <c r="E607" s="891"/>
      <c r="F607" s="891"/>
      <c r="G607" s="892"/>
      <c r="H607" s="893"/>
      <c r="I607" s="1238">
        <f>SUM(J607:N607)</f>
        <v>1500</v>
      </c>
      <c r="J607" s="1239"/>
      <c r="K607" s="1239"/>
      <c r="L607" s="1239">
        <v>1500</v>
      </c>
      <c r="M607" s="894"/>
      <c r="N607" s="895"/>
    </row>
    <row r="608" spans="1:14" s="890" customFormat="1" ht="18" customHeight="1">
      <c r="A608" s="455">
        <v>574</v>
      </c>
      <c r="B608" s="908"/>
      <c r="C608" s="885"/>
      <c r="D608" s="1146" t="s">
        <v>674</v>
      </c>
      <c r="E608" s="891"/>
      <c r="F608" s="891"/>
      <c r="G608" s="892"/>
      <c r="H608" s="893"/>
      <c r="I608" s="1241">
        <f>SUM(J608:N608)</f>
        <v>0</v>
      </c>
      <c r="J608" s="894"/>
      <c r="K608" s="894"/>
      <c r="L608" s="894"/>
      <c r="M608" s="894"/>
      <c r="N608" s="895"/>
    </row>
    <row r="609" spans="1:14" s="890" customFormat="1" ht="18" customHeight="1">
      <c r="A609" s="455">
        <v>575</v>
      </c>
      <c r="B609" s="908"/>
      <c r="C609" s="885"/>
      <c r="D609" s="483" t="s">
        <v>1091</v>
      </c>
      <c r="E609" s="891"/>
      <c r="F609" s="891"/>
      <c r="G609" s="892"/>
      <c r="H609" s="893"/>
      <c r="I609" s="1238">
        <f>SUM(J609:N609)</f>
        <v>1500</v>
      </c>
      <c r="J609" s="894"/>
      <c r="K609" s="894"/>
      <c r="L609" s="1239">
        <f>SUM(L607:L608)</f>
        <v>1500</v>
      </c>
      <c r="M609" s="894"/>
      <c r="N609" s="895"/>
    </row>
    <row r="610" spans="1:16" s="3" customFormat="1" ht="22.5" customHeight="1">
      <c r="A610" s="455">
        <v>576</v>
      </c>
      <c r="B610" s="119"/>
      <c r="C610" s="120">
        <v>113</v>
      </c>
      <c r="D610" s="450" t="s">
        <v>340</v>
      </c>
      <c r="E610" s="122">
        <v>2971</v>
      </c>
      <c r="F610" s="122">
        <v>6350</v>
      </c>
      <c r="G610" s="123">
        <v>2087</v>
      </c>
      <c r="H610" s="457" t="s">
        <v>23</v>
      </c>
      <c r="I610" s="879"/>
      <c r="J610" s="1033"/>
      <c r="K610" s="1033"/>
      <c r="L610" s="1033"/>
      <c r="M610" s="1033"/>
      <c r="N610" s="1034"/>
      <c r="P610" s="8"/>
    </row>
    <row r="611" spans="1:14" s="890" customFormat="1" ht="18" customHeight="1">
      <c r="A611" s="455">
        <v>577</v>
      </c>
      <c r="B611" s="884"/>
      <c r="C611" s="885"/>
      <c r="D611" s="886" t="s">
        <v>283</v>
      </c>
      <c r="E611" s="887"/>
      <c r="F611" s="887"/>
      <c r="G611" s="888"/>
      <c r="H611" s="889"/>
      <c r="I611" s="879">
        <f>SUM(J611:N611)</f>
        <v>3500</v>
      </c>
      <c r="J611" s="880"/>
      <c r="K611" s="880"/>
      <c r="L611" s="880">
        <v>3500</v>
      </c>
      <c r="M611" s="880"/>
      <c r="N611" s="881"/>
    </row>
    <row r="612" spans="1:14" s="890" customFormat="1" ht="18" customHeight="1">
      <c r="A612" s="455">
        <v>578</v>
      </c>
      <c r="B612" s="884"/>
      <c r="C612" s="885"/>
      <c r="D612" s="1679" t="s">
        <v>938</v>
      </c>
      <c r="E612" s="887"/>
      <c r="F612" s="887"/>
      <c r="G612" s="888"/>
      <c r="H612" s="889"/>
      <c r="I612" s="1238">
        <f>SUM(J612:N612)</f>
        <v>7558</v>
      </c>
      <c r="J612" s="1245"/>
      <c r="K612" s="1245"/>
      <c r="L612" s="1245">
        <v>7558</v>
      </c>
      <c r="M612" s="880"/>
      <c r="N612" s="881"/>
    </row>
    <row r="613" spans="1:14" s="890" customFormat="1" ht="18" customHeight="1">
      <c r="A613" s="455">
        <v>579</v>
      </c>
      <c r="B613" s="884"/>
      <c r="C613" s="885"/>
      <c r="D613" s="1146" t="s">
        <v>725</v>
      </c>
      <c r="E613" s="887"/>
      <c r="F613" s="887"/>
      <c r="G613" s="888"/>
      <c r="H613" s="889"/>
      <c r="I613" s="1241">
        <f>SUM(J613:N613)</f>
        <v>0</v>
      </c>
      <c r="J613" s="880"/>
      <c r="K613" s="880"/>
      <c r="L613" s="1247"/>
      <c r="M613" s="880"/>
      <c r="N613" s="881"/>
    </row>
    <row r="614" spans="1:14" s="890" customFormat="1" ht="18" customHeight="1">
      <c r="A614" s="455">
        <v>580</v>
      </c>
      <c r="B614" s="884"/>
      <c r="C614" s="885"/>
      <c r="D614" s="483" t="s">
        <v>1091</v>
      </c>
      <c r="E614" s="887"/>
      <c r="F614" s="887"/>
      <c r="G614" s="888"/>
      <c r="H614" s="889"/>
      <c r="I614" s="1238">
        <f>SUM(J614:N614)</f>
        <v>7558</v>
      </c>
      <c r="J614" s="880"/>
      <c r="K614" s="880"/>
      <c r="L614" s="1245">
        <f>SUM(L612:L613)</f>
        <v>7558</v>
      </c>
      <c r="M614" s="880"/>
      <c r="N614" s="881"/>
    </row>
    <row r="615" spans="1:16" s="3" customFormat="1" ht="22.5" customHeight="1">
      <c r="A615" s="455">
        <v>581</v>
      </c>
      <c r="B615" s="119"/>
      <c r="C615" s="120">
        <v>114</v>
      </c>
      <c r="D615" s="450" t="s">
        <v>645</v>
      </c>
      <c r="E615" s="122">
        <v>8435</v>
      </c>
      <c r="F615" s="122">
        <v>16000</v>
      </c>
      <c r="G615" s="123">
        <f>13189-5690</f>
        <v>7499</v>
      </c>
      <c r="H615" s="457" t="s">
        <v>22</v>
      </c>
      <c r="I615" s="879"/>
      <c r="J615" s="1033"/>
      <c r="K615" s="1033"/>
      <c r="L615" s="1033"/>
      <c r="M615" s="1033"/>
      <c r="N615" s="1034"/>
      <c r="P615" s="8"/>
    </row>
    <row r="616" spans="1:14" s="890" customFormat="1" ht="18" customHeight="1">
      <c r="A616" s="455">
        <v>582</v>
      </c>
      <c r="B616" s="884"/>
      <c r="C616" s="885"/>
      <c r="D616" s="886" t="s">
        <v>283</v>
      </c>
      <c r="E616" s="887"/>
      <c r="F616" s="887"/>
      <c r="G616" s="888"/>
      <c r="H616" s="889"/>
      <c r="I616" s="879">
        <f>SUM(J616:N616)</f>
        <v>9600</v>
      </c>
      <c r="J616" s="880"/>
      <c r="K616" s="880"/>
      <c r="L616" s="880">
        <v>9600</v>
      </c>
      <c r="M616" s="880"/>
      <c r="N616" s="881"/>
    </row>
    <row r="617" spans="1:14" s="890" customFormat="1" ht="18" customHeight="1">
      <c r="A617" s="455">
        <v>583</v>
      </c>
      <c r="B617" s="884"/>
      <c r="C617" s="885"/>
      <c r="D617" s="1679" t="s">
        <v>938</v>
      </c>
      <c r="E617" s="887"/>
      <c r="F617" s="887"/>
      <c r="G617" s="888"/>
      <c r="H617" s="889"/>
      <c r="I617" s="1238">
        <f>SUM(J617:N617)</f>
        <v>14096</v>
      </c>
      <c r="J617" s="1245"/>
      <c r="K617" s="1245"/>
      <c r="L617" s="1245">
        <v>14096</v>
      </c>
      <c r="M617" s="880"/>
      <c r="N617" s="881"/>
    </row>
    <row r="618" spans="1:14" s="890" customFormat="1" ht="18" customHeight="1">
      <c r="A618" s="455">
        <v>584</v>
      </c>
      <c r="B618" s="884"/>
      <c r="C618" s="885"/>
      <c r="D618" s="1146" t="s">
        <v>725</v>
      </c>
      <c r="E618" s="887"/>
      <c r="F618" s="887"/>
      <c r="G618" s="888"/>
      <c r="H618" s="889"/>
      <c r="I618" s="1241">
        <f>SUM(J618:N618)</f>
        <v>0</v>
      </c>
      <c r="J618" s="880"/>
      <c r="K618" s="880"/>
      <c r="L618" s="1247"/>
      <c r="M618" s="880"/>
      <c r="N618" s="881"/>
    </row>
    <row r="619" spans="1:14" s="890" customFormat="1" ht="18" customHeight="1">
      <c r="A619" s="455">
        <v>585</v>
      </c>
      <c r="B619" s="884"/>
      <c r="C619" s="885"/>
      <c r="D619" s="483" t="s">
        <v>1091</v>
      </c>
      <c r="E619" s="887"/>
      <c r="F619" s="887"/>
      <c r="G619" s="888"/>
      <c r="H619" s="889"/>
      <c r="I619" s="1238">
        <f>SUM(J619:N619)</f>
        <v>14096</v>
      </c>
      <c r="J619" s="880"/>
      <c r="K619" s="880"/>
      <c r="L619" s="1245">
        <f>SUM(L617:L618)</f>
        <v>14096</v>
      </c>
      <c r="M619" s="880"/>
      <c r="N619" s="881"/>
    </row>
    <row r="620" spans="1:14" s="890" customFormat="1" ht="22.5" customHeight="1">
      <c r="A620" s="455">
        <v>586</v>
      </c>
      <c r="B620" s="884"/>
      <c r="C620" s="125">
        <v>115</v>
      </c>
      <c r="D620" s="450" t="s">
        <v>644</v>
      </c>
      <c r="E620" s="887"/>
      <c r="F620" s="887"/>
      <c r="G620" s="123">
        <v>5690</v>
      </c>
      <c r="H620" s="457" t="s">
        <v>22</v>
      </c>
      <c r="I620" s="879"/>
      <c r="J620" s="880"/>
      <c r="K620" s="880"/>
      <c r="L620" s="880"/>
      <c r="M620" s="880"/>
      <c r="N620" s="881"/>
    </row>
    <row r="621" spans="1:14" s="890" customFormat="1" ht="18" customHeight="1">
      <c r="A621" s="455">
        <v>587</v>
      </c>
      <c r="B621" s="884"/>
      <c r="C621" s="885"/>
      <c r="D621" s="886" t="s">
        <v>283</v>
      </c>
      <c r="E621" s="887"/>
      <c r="F621" s="887"/>
      <c r="G621" s="888"/>
      <c r="H621" s="889"/>
      <c r="I621" s="879">
        <f>SUM(J621:N621)</f>
        <v>11000</v>
      </c>
      <c r="J621" s="880"/>
      <c r="K621" s="880"/>
      <c r="L621" s="880">
        <v>11000</v>
      </c>
      <c r="M621" s="880"/>
      <c r="N621" s="881"/>
    </row>
    <row r="622" spans="1:14" s="890" customFormat="1" ht="18" customHeight="1">
      <c r="A622" s="455">
        <v>588</v>
      </c>
      <c r="B622" s="884"/>
      <c r="C622" s="885"/>
      <c r="D622" s="1679" t="s">
        <v>938</v>
      </c>
      <c r="E622" s="887"/>
      <c r="F622" s="887"/>
      <c r="G622" s="888"/>
      <c r="H622" s="889"/>
      <c r="I622" s="1238">
        <f>SUM(J622:N622)</f>
        <v>12000</v>
      </c>
      <c r="J622" s="1245"/>
      <c r="K622" s="1245"/>
      <c r="L622" s="1245">
        <v>12000</v>
      </c>
      <c r="M622" s="880"/>
      <c r="N622" s="881"/>
    </row>
    <row r="623" spans="1:14" s="890" customFormat="1" ht="18" customHeight="1">
      <c r="A623" s="455">
        <v>589</v>
      </c>
      <c r="B623" s="884"/>
      <c r="C623" s="885"/>
      <c r="D623" s="1146" t="s">
        <v>725</v>
      </c>
      <c r="E623" s="887"/>
      <c r="F623" s="887"/>
      <c r="G623" s="888"/>
      <c r="H623" s="889"/>
      <c r="I623" s="1241">
        <f>SUM(J623:N623)</f>
        <v>0</v>
      </c>
      <c r="J623" s="880"/>
      <c r="K623" s="880"/>
      <c r="L623" s="1247"/>
      <c r="M623" s="880"/>
      <c r="N623" s="881"/>
    </row>
    <row r="624" spans="1:14" s="890" customFormat="1" ht="18" customHeight="1">
      <c r="A624" s="455">
        <v>590</v>
      </c>
      <c r="B624" s="884"/>
      <c r="C624" s="885"/>
      <c r="D624" s="483" t="s">
        <v>1091</v>
      </c>
      <c r="E624" s="887"/>
      <c r="F624" s="887"/>
      <c r="G624" s="888"/>
      <c r="H624" s="889"/>
      <c r="I624" s="1238">
        <f>SUM(J624:N624)</f>
        <v>12000</v>
      </c>
      <c r="J624" s="880"/>
      <c r="K624" s="880"/>
      <c r="L624" s="1245">
        <f>SUM(L622:L623)</f>
        <v>12000</v>
      </c>
      <c r="M624" s="880"/>
      <c r="N624" s="881"/>
    </row>
    <row r="625" spans="1:14" s="8" customFormat="1" ht="22.5" customHeight="1">
      <c r="A625" s="455">
        <v>591</v>
      </c>
      <c r="B625" s="135"/>
      <c r="C625" s="120">
        <v>116</v>
      </c>
      <c r="D625" s="450" t="s">
        <v>264</v>
      </c>
      <c r="E625" s="122">
        <v>156855</v>
      </c>
      <c r="F625" s="122">
        <v>155388</v>
      </c>
      <c r="G625" s="123">
        <v>146597</v>
      </c>
      <c r="H625" s="457" t="s">
        <v>22</v>
      </c>
      <c r="I625" s="1038"/>
      <c r="J625" s="1039"/>
      <c r="K625" s="1039"/>
      <c r="L625" s="1039"/>
      <c r="M625" s="1039"/>
      <c r="N625" s="1040"/>
    </row>
    <row r="626" spans="1:14" s="890" customFormat="1" ht="18" customHeight="1">
      <c r="A626" s="455">
        <v>592</v>
      </c>
      <c r="B626" s="884"/>
      <c r="C626" s="885"/>
      <c r="D626" s="886" t="s">
        <v>283</v>
      </c>
      <c r="E626" s="887"/>
      <c r="F626" s="887"/>
      <c r="G626" s="888"/>
      <c r="H626" s="889"/>
      <c r="I626" s="879">
        <f>SUM(J626:N626)</f>
        <v>137959</v>
      </c>
      <c r="J626" s="880"/>
      <c r="K626" s="880"/>
      <c r="L626" s="880">
        <v>137959</v>
      </c>
      <c r="M626" s="880"/>
      <c r="N626" s="881"/>
    </row>
    <row r="627" spans="1:14" s="890" customFormat="1" ht="18" customHeight="1">
      <c r="A627" s="455">
        <v>593</v>
      </c>
      <c r="B627" s="884"/>
      <c r="C627" s="885"/>
      <c r="D627" s="1679" t="s">
        <v>938</v>
      </c>
      <c r="E627" s="887"/>
      <c r="F627" s="887"/>
      <c r="G627" s="888"/>
      <c r="H627" s="889"/>
      <c r="I627" s="1238">
        <f>SUM(J627:N627)</f>
        <v>146751</v>
      </c>
      <c r="J627" s="1245"/>
      <c r="K627" s="1245"/>
      <c r="L627" s="1245">
        <v>146751</v>
      </c>
      <c r="M627" s="880"/>
      <c r="N627" s="881"/>
    </row>
    <row r="628" spans="1:14" s="890" customFormat="1" ht="18" customHeight="1">
      <c r="A628" s="455">
        <v>594</v>
      </c>
      <c r="B628" s="884"/>
      <c r="C628" s="885"/>
      <c r="D628" s="1146" t="s">
        <v>725</v>
      </c>
      <c r="E628" s="887"/>
      <c r="F628" s="887"/>
      <c r="G628" s="888"/>
      <c r="H628" s="889"/>
      <c r="I628" s="1241">
        <f>SUM(J628:N628)</f>
        <v>0</v>
      </c>
      <c r="J628" s="880"/>
      <c r="K628" s="880"/>
      <c r="L628" s="1248"/>
      <c r="M628" s="880"/>
      <c r="N628" s="881"/>
    </row>
    <row r="629" spans="1:14" s="890" customFormat="1" ht="18" customHeight="1">
      <c r="A629" s="455">
        <v>595</v>
      </c>
      <c r="B629" s="884"/>
      <c r="C629" s="885"/>
      <c r="D629" s="483" t="s">
        <v>1091</v>
      </c>
      <c r="E629" s="887"/>
      <c r="F629" s="887"/>
      <c r="G629" s="888"/>
      <c r="H629" s="889"/>
      <c r="I629" s="1238">
        <f>SUM(J629:N629)</f>
        <v>146751</v>
      </c>
      <c r="J629" s="880"/>
      <c r="K629" s="880"/>
      <c r="L629" s="1245">
        <f>SUM(L627:L628)</f>
        <v>146751</v>
      </c>
      <c r="M629" s="880"/>
      <c r="N629" s="881"/>
    </row>
    <row r="630" spans="1:14" s="8" customFormat="1" ht="22.5" customHeight="1">
      <c r="A630" s="455">
        <v>596</v>
      </c>
      <c r="B630" s="135"/>
      <c r="C630" s="120">
        <v>117</v>
      </c>
      <c r="D630" s="450" t="s">
        <v>338</v>
      </c>
      <c r="E630" s="122">
        <v>4930</v>
      </c>
      <c r="F630" s="122">
        <v>2362</v>
      </c>
      <c r="G630" s="123">
        <v>2362</v>
      </c>
      <c r="H630" s="457" t="s">
        <v>23</v>
      </c>
      <c r="I630" s="1038"/>
      <c r="J630" s="1039"/>
      <c r="K630" s="1039"/>
      <c r="L630" s="1039"/>
      <c r="M630" s="1039"/>
      <c r="N630" s="1040"/>
    </row>
    <row r="631" spans="1:16" s="3" customFormat="1" ht="22.5" customHeight="1">
      <c r="A631" s="455">
        <v>597</v>
      </c>
      <c r="B631" s="119"/>
      <c r="C631" s="120">
        <v>118</v>
      </c>
      <c r="D631" s="450" t="s">
        <v>102</v>
      </c>
      <c r="E631" s="122">
        <f>E636+E641+E646+E651+E656</f>
        <v>3250</v>
      </c>
      <c r="F631" s="122">
        <f>F636+F641+F646+F651+F656</f>
        <v>2765</v>
      </c>
      <c r="G631" s="122">
        <f>G636+G641+G646+G651+G656</f>
        <v>2765</v>
      </c>
      <c r="H631" s="457" t="s">
        <v>22</v>
      </c>
      <c r="I631" s="1038"/>
      <c r="J631" s="1039"/>
      <c r="K631" s="1039"/>
      <c r="L631" s="1039"/>
      <c r="M631" s="1039"/>
      <c r="N631" s="1040"/>
      <c r="O631" s="8"/>
      <c r="P631" s="8"/>
    </row>
    <row r="632" spans="1:14" s="890" customFormat="1" ht="18" customHeight="1">
      <c r="A632" s="455">
        <v>598</v>
      </c>
      <c r="B632" s="884"/>
      <c r="C632" s="885"/>
      <c r="D632" s="886" t="s">
        <v>283</v>
      </c>
      <c r="E632" s="887"/>
      <c r="F632" s="887"/>
      <c r="G632" s="888"/>
      <c r="H632" s="889"/>
      <c r="I632" s="879">
        <f>SUM(J632:N632)</f>
        <v>2765</v>
      </c>
      <c r="J632" s="902"/>
      <c r="K632" s="902"/>
      <c r="L632" s="902"/>
      <c r="M632" s="902"/>
      <c r="N632" s="881">
        <f>N637+N642+N647+N652+N657</f>
        <v>2765</v>
      </c>
    </row>
    <row r="633" spans="1:14" s="890" customFormat="1" ht="18" customHeight="1">
      <c r="A633" s="455">
        <v>599</v>
      </c>
      <c r="B633" s="884"/>
      <c r="C633" s="885"/>
      <c r="D633" s="1679" t="s">
        <v>938</v>
      </c>
      <c r="E633" s="887"/>
      <c r="F633" s="887"/>
      <c r="G633" s="888"/>
      <c r="H633" s="889"/>
      <c r="I633" s="1238">
        <f>SUM(J633:N633)</f>
        <v>2765</v>
      </c>
      <c r="J633" s="1248"/>
      <c r="K633" s="1248"/>
      <c r="L633" s="1248"/>
      <c r="M633" s="1248"/>
      <c r="N633" s="1251">
        <f>N638+N643+N648+N653+N658</f>
        <v>2765</v>
      </c>
    </row>
    <row r="634" spans="1:14" s="890" customFormat="1" ht="18" customHeight="1">
      <c r="A634" s="455">
        <v>600</v>
      </c>
      <c r="B634" s="884"/>
      <c r="C634" s="885"/>
      <c r="D634" s="1146" t="s">
        <v>674</v>
      </c>
      <c r="E634" s="887"/>
      <c r="F634" s="887"/>
      <c r="G634" s="888"/>
      <c r="H634" s="889"/>
      <c r="I634" s="1241">
        <f>SUM(J634:N634)</f>
        <v>0</v>
      </c>
      <c r="J634" s="902"/>
      <c r="K634" s="902"/>
      <c r="L634" s="902"/>
      <c r="M634" s="902"/>
      <c r="N634" s="1249">
        <f>N639+N644+N649+N654+N659</f>
        <v>0</v>
      </c>
    </row>
    <row r="635" spans="1:14" s="890" customFormat="1" ht="18" customHeight="1">
      <c r="A635" s="455">
        <v>601</v>
      </c>
      <c r="B635" s="884"/>
      <c r="C635" s="885"/>
      <c r="D635" s="483" t="s">
        <v>1091</v>
      </c>
      <c r="E635" s="887"/>
      <c r="F635" s="887"/>
      <c r="G635" s="888"/>
      <c r="H635" s="889"/>
      <c r="I635" s="1238">
        <f>SUM(J635:N635)</f>
        <v>2765</v>
      </c>
      <c r="J635" s="902"/>
      <c r="K635" s="902"/>
      <c r="L635" s="902"/>
      <c r="M635" s="902"/>
      <c r="N635" s="1251">
        <f>SUM(N633:N634)</f>
        <v>2765</v>
      </c>
    </row>
    <row r="636" spans="1:16" s="9" customFormat="1" ht="18" customHeight="1">
      <c r="A636" s="455">
        <v>602</v>
      </c>
      <c r="B636" s="129"/>
      <c r="C636" s="125"/>
      <c r="D636" s="132" t="s">
        <v>103</v>
      </c>
      <c r="E636" s="122">
        <v>650</v>
      </c>
      <c r="F636" s="130">
        <v>553</v>
      </c>
      <c r="G636" s="131">
        <v>553</v>
      </c>
      <c r="H636" s="458"/>
      <c r="I636" s="882"/>
      <c r="J636" s="1041"/>
      <c r="K636" s="1041"/>
      <c r="L636" s="1041"/>
      <c r="M636" s="1041"/>
      <c r="N636" s="1042"/>
      <c r="P636" s="8"/>
    </row>
    <row r="637" spans="1:16" s="904" customFormat="1" ht="18" customHeight="1">
      <c r="A637" s="455">
        <v>603</v>
      </c>
      <c r="B637" s="897"/>
      <c r="C637" s="885"/>
      <c r="D637" s="898" t="s">
        <v>283</v>
      </c>
      <c r="E637" s="887"/>
      <c r="F637" s="899"/>
      <c r="G637" s="900"/>
      <c r="H637" s="901"/>
      <c r="I637" s="882">
        <f>SUM(J637:N637)</f>
        <v>553</v>
      </c>
      <c r="J637" s="902"/>
      <c r="K637" s="902"/>
      <c r="L637" s="902"/>
      <c r="M637" s="902"/>
      <c r="N637" s="903">
        <v>553</v>
      </c>
      <c r="P637" s="890"/>
    </row>
    <row r="638" spans="1:16" s="904" customFormat="1" ht="18" customHeight="1">
      <c r="A638" s="455">
        <v>604</v>
      </c>
      <c r="B638" s="897"/>
      <c r="C638" s="885"/>
      <c r="D638" s="1237" t="s">
        <v>938</v>
      </c>
      <c r="E638" s="887"/>
      <c r="F638" s="899"/>
      <c r="G638" s="900"/>
      <c r="H638" s="901"/>
      <c r="I638" s="1240">
        <f>SUM(J638:N638)</f>
        <v>553</v>
      </c>
      <c r="J638" s="1248"/>
      <c r="K638" s="1248"/>
      <c r="L638" s="1248"/>
      <c r="M638" s="1248"/>
      <c r="N638" s="1249">
        <v>553</v>
      </c>
      <c r="P638" s="890"/>
    </row>
    <row r="639" spans="1:16" s="904" customFormat="1" ht="18" customHeight="1">
      <c r="A639" s="455">
        <v>605</v>
      </c>
      <c r="B639" s="897"/>
      <c r="C639" s="885"/>
      <c r="D639" s="1237" t="s">
        <v>674</v>
      </c>
      <c r="E639" s="887"/>
      <c r="F639" s="899"/>
      <c r="G639" s="900"/>
      <c r="H639" s="901"/>
      <c r="I639" s="1241">
        <f>SUM(J639:N639)</f>
        <v>0</v>
      </c>
      <c r="J639" s="902"/>
      <c r="K639" s="902"/>
      <c r="L639" s="902"/>
      <c r="M639" s="902"/>
      <c r="N639" s="903"/>
      <c r="P639" s="890"/>
    </row>
    <row r="640" spans="1:16" s="904" customFormat="1" ht="18" customHeight="1">
      <c r="A640" s="455">
        <v>606</v>
      </c>
      <c r="B640" s="897"/>
      <c r="C640" s="885"/>
      <c r="D640" s="1237" t="s">
        <v>1091</v>
      </c>
      <c r="E640" s="887"/>
      <c r="F640" s="899"/>
      <c r="G640" s="900"/>
      <c r="H640" s="901"/>
      <c r="I640" s="1240">
        <f>SUM(J640:N640)</f>
        <v>553</v>
      </c>
      <c r="J640" s="902"/>
      <c r="K640" s="902"/>
      <c r="L640" s="902"/>
      <c r="M640" s="902"/>
      <c r="N640" s="1249">
        <f>SUM(N638:N639)</f>
        <v>553</v>
      </c>
      <c r="P640" s="890"/>
    </row>
    <row r="641" spans="1:16" s="9" customFormat="1" ht="18" customHeight="1">
      <c r="A641" s="455">
        <v>607</v>
      </c>
      <c r="B641" s="129"/>
      <c r="C641" s="125"/>
      <c r="D641" s="136" t="s">
        <v>104</v>
      </c>
      <c r="E641" s="122">
        <v>650</v>
      </c>
      <c r="F641" s="130">
        <v>553</v>
      </c>
      <c r="G641" s="131">
        <v>553</v>
      </c>
      <c r="H641" s="458"/>
      <c r="I641" s="1043"/>
      <c r="J641" s="1044"/>
      <c r="K641" s="1044"/>
      <c r="L641" s="1044"/>
      <c r="M641" s="1044"/>
      <c r="N641" s="1045"/>
      <c r="P641" s="8"/>
    </row>
    <row r="642" spans="1:16" s="904" customFormat="1" ht="18" customHeight="1">
      <c r="A642" s="455">
        <v>608</v>
      </c>
      <c r="B642" s="897"/>
      <c r="C642" s="885"/>
      <c r="D642" s="898" t="s">
        <v>283</v>
      </c>
      <c r="E642" s="887"/>
      <c r="F642" s="899"/>
      <c r="G642" s="900"/>
      <c r="H642" s="901"/>
      <c r="I642" s="882">
        <f>SUM(J642:N642)</f>
        <v>553</v>
      </c>
      <c r="J642" s="902"/>
      <c r="K642" s="902"/>
      <c r="L642" s="902"/>
      <c r="M642" s="902"/>
      <c r="N642" s="903">
        <v>553</v>
      </c>
      <c r="P642" s="890"/>
    </row>
    <row r="643" spans="1:16" s="904" customFormat="1" ht="18" customHeight="1">
      <c r="A643" s="455">
        <v>609</v>
      </c>
      <c r="B643" s="897"/>
      <c r="C643" s="885"/>
      <c r="D643" s="1237" t="s">
        <v>938</v>
      </c>
      <c r="E643" s="887"/>
      <c r="F643" s="899"/>
      <c r="G643" s="900"/>
      <c r="H643" s="901"/>
      <c r="I643" s="1240">
        <f>SUM(J643:N643)</f>
        <v>553</v>
      </c>
      <c r="J643" s="1248"/>
      <c r="K643" s="1248"/>
      <c r="L643" s="1248"/>
      <c r="M643" s="1248"/>
      <c r="N643" s="1249">
        <v>553</v>
      </c>
      <c r="P643" s="890"/>
    </row>
    <row r="644" spans="1:16" s="904" customFormat="1" ht="18" customHeight="1">
      <c r="A644" s="455">
        <v>610</v>
      </c>
      <c r="B644" s="897"/>
      <c r="C644" s="885"/>
      <c r="D644" s="1237" t="s">
        <v>674</v>
      </c>
      <c r="E644" s="887"/>
      <c r="F644" s="899"/>
      <c r="G644" s="900"/>
      <c r="H644" s="901"/>
      <c r="I644" s="1241">
        <f>SUM(J644:N644)</f>
        <v>0</v>
      </c>
      <c r="J644" s="902"/>
      <c r="K644" s="902"/>
      <c r="L644" s="902"/>
      <c r="M644" s="902"/>
      <c r="N644" s="903"/>
      <c r="P644" s="890"/>
    </row>
    <row r="645" spans="1:16" s="904" customFormat="1" ht="18" customHeight="1">
      <c r="A645" s="455">
        <v>611</v>
      </c>
      <c r="B645" s="897"/>
      <c r="C645" s="885"/>
      <c r="D645" s="1237" t="s">
        <v>1091</v>
      </c>
      <c r="E645" s="887"/>
      <c r="F645" s="899"/>
      <c r="G645" s="900"/>
      <c r="H645" s="901"/>
      <c r="I645" s="1240">
        <f>SUM(J645:N645)</f>
        <v>553</v>
      </c>
      <c r="J645" s="902"/>
      <c r="K645" s="902"/>
      <c r="L645" s="902"/>
      <c r="M645" s="902"/>
      <c r="N645" s="1249">
        <f>SUM(N643:N644)</f>
        <v>553</v>
      </c>
      <c r="P645" s="890"/>
    </row>
    <row r="646" spans="1:16" s="9" customFormat="1" ht="18" customHeight="1">
      <c r="A646" s="455">
        <v>612</v>
      </c>
      <c r="B646" s="129"/>
      <c r="C646" s="125"/>
      <c r="D646" s="136" t="s">
        <v>105</v>
      </c>
      <c r="E646" s="122">
        <v>650</v>
      </c>
      <c r="F646" s="130">
        <v>553</v>
      </c>
      <c r="G646" s="131">
        <v>553</v>
      </c>
      <c r="H646" s="458"/>
      <c r="I646" s="1043"/>
      <c r="J646" s="1044"/>
      <c r="K646" s="1044"/>
      <c r="L646" s="1044"/>
      <c r="M646" s="1044"/>
      <c r="N646" s="1045"/>
      <c r="P646" s="8"/>
    </row>
    <row r="647" spans="1:16" s="904" customFormat="1" ht="18" customHeight="1">
      <c r="A647" s="455">
        <v>613</v>
      </c>
      <c r="B647" s="897"/>
      <c r="C647" s="885"/>
      <c r="D647" s="898" t="s">
        <v>283</v>
      </c>
      <c r="E647" s="887"/>
      <c r="F647" s="899"/>
      <c r="G647" s="900"/>
      <c r="H647" s="901"/>
      <c r="I647" s="882">
        <f>SUM(J647:N647)</f>
        <v>553</v>
      </c>
      <c r="J647" s="902"/>
      <c r="K647" s="902"/>
      <c r="L647" s="902"/>
      <c r="M647" s="902"/>
      <c r="N647" s="903">
        <v>553</v>
      </c>
      <c r="P647" s="890"/>
    </row>
    <row r="648" spans="1:16" s="904" customFormat="1" ht="18" customHeight="1">
      <c r="A648" s="455">
        <v>614</v>
      </c>
      <c r="B648" s="897"/>
      <c r="C648" s="885"/>
      <c r="D648" s="1237" t="s">
        <v>938</v>
      </c>
      <c r="E648" s="887"/>
      <c r="F648" s="899"/>
      <c r="G648" s="900"/>
      <c r="H648" s="901"/>
      <c r="I648" s="1240">
        <f>SUM(J648:N648)</f>
        <v>553</v>
      </c>
      <c r="J648" s="1248"/>
      <c r="K648" s="1248"/>
      <c r="L648" s="1248"/>
      <c r="M648" s="1248"/>
      <c r="N648" s="1249">
        <v>553</v>
      </c>
      <c r="P648" s="890"/>
    </row>
    <row r="649" spans="1:16" s="904" customFormat="1" ht="18" customHeight="1">
      <c r="A649" s="455">
        <v>615</v>
      </c>
      <c r="B649" s="897"/>
      <c r="C649" s="885"/>
      <c r="D649" s="1237" t="s">
        <v>674</v>
      </c>
      <c r="E649" s="887"/>
      <c r="F649" s="899"/>
      <c r="G649" s="900"/>
      <c r="H649" s="901"/>
      <c r="I649" s="1241">
        <f>SUM(J649:N649)</f>
        <v>0</v>
      </c>
      <c r="J649" s="902"/>
      <c r="K649" s="902"/>
      <c r="L649" s="902"/>
      <c r="M649" s="902"/>
      <c r="N649" s="903"/>
      <c r="P649" s="890"/>
    </row>
    <row r="650" spans="1:16" s="904" customFormat="1" ht="18" customHeight="1">
      <c r="A650" s="455">
        <v>616</v>
      </c>
      <c r="B650" s="897"/>
      <c r="C650" s="885"/>
      <c r="D650" s="1237" t="s">
        <v>1091</v>
      </c>
      <c r="E650" s="887"/>
      <c r="F650" s="899"/>
      <c r="G650" s="900"/>
      <c r="H650" s="901"/>
      <c r="I650" s="1240">
        <f>SUM(J650:N650)</f>
        <v>553</v>
      </c>
      <c r="J650" s="902"/>
      <c r="K650" s="902"/>
      <c r="L650" s="902"/>
      <c r="M650" s="902"/>
      <c r="N650" s="1249">
        <f>SUM(N648:N649)</f>
        <v>553</v>
      </c>
      <c r="P650" s="890"/>
    </row>
    <row r="651" spans="1:16" s="9" customFormat="1" ht="18" customHeight="1">
      <c r="A651" s="455">
        <v>617</v>
      </c>
      <c r="B651" s="129"/>
      <c r="C651" s="125"/>
      <c r="D651" s="136" t="s">
        <v>106</v>
      </c>
      <c r="E651" s="122">
        <v>650</v>
      </c>
      <c r="F651" s="130">
        <v>553</v>
      </c>
      <c r="G651" s="131">
        <v>553</v>
      </c>
      <c r="H651" s="458"/>
      <c r="I651" s="1043"/>
      <c r="J651" s="1044"/>
      <c r="K651" s="1044"/>
      <c r="L651" s="1044"/>
      <c r="M651" s="1044"/>
      <c r="N651" s="1045"/>
      <c r="P651" s="8"/>
    </row>
    <row r="652" spans="1:16" s="904" customFormat="1" ht="18" customHeight="1">
      <c r="A652" s="455">
        <v>618</v>
      </c>
      <c r="B652" s="897"/>
      <c r="C652" s="885"/>
      <c r="D652" s="898" t="s">
        <v>283</v>
      </c>
      <c r="E652" s="887"/>
      <c r="F652" s="899"/>
      <c r="G652" s="900"/>
      <c r="H652" s="901"/>
      <c r="I652" s="882">
        <f>SUM(J652:N652)</f>
        <v>553</v>
      </c>
      <c r="J652" s="902"/>
      <c r="K652" s="902"/>
      <c r="L652" s="902"/>
      <c r="M652" s="902"/>
      <c r="N652" s="903">
        <v>553</v>
      </c>
      <c r="P652" s="890"/>
    </row>
    <row r="653" spans="1:16" s="904" customFormat="1" ht="18" customHeight="1">
      <c r="A653" s="455">
        <v>619</v>
      </c>
      <c r="B653" s="897"/>
      <c r="C653" s="885"/>
      <c r="D653" s="1237" t="s">
        <v>938</v>
      </c>
      <c r="E653" s="887"/>
      <c r="F653" s="899"/>
      <c r="G653" s="900"/>
      <c r="H653" s="901"/>
      <c r="I653" s="1240">
        <f>SUM(J653:N653)</f>
        <v>553</v>
      </c>
      <c r="J653" s="1248"/>
      <c r="K653" s="1248"/>
      <c r="L653" s="1248"/>
      <c r="M653" s="1248"/>
      <c r="N653" s="1249">
        <v>553</v>
      </c>
      <c r="P653" s="890"/>
    </row>
    <row r="654" spans="1:16" s="904" customFormat="1" ht="18" customHeight="1">
      <c r="A654" s="455">
        <v>620</v>
      </c>
      <c r="B654" s="897"/>
      <c r="C654" s="885"/>
      <c r="D654" s="1237" t="s">
        <v>674</v>
      </c>
      <c r="E654" s="887"/>
      <c r="F654" s="899"/>
      <c r="G654" s="900"/>
      <c r="H654" s="901"/>
      <c r="I654" s="1241">
        <f>SUM(J654:N654)</f>
        <v>0</v>
      </c>
      <c r="J654" s="902"/>
      <c r="K654" s="902"/>
      <c r="L654" s="902"/>
      <c r="M654" s="902"/>
      <c r="N654" s="903"/>
      <c r="P654" s="890"/>
    </row>
    <row r="655" spans="1:16" s="904" customFormat="1" ht="18" customHeight="1">
      <c r="A655" s="455">
        <v>621</v>
      </c>
      <c r="B655" s="897"/>
      <c r="C655" s="885"/>
      <c r="D655" s="1237" t="s">
        <v>1091</v>
      </c>
      <c r="E655" s="887"/>
      <c r="F655" s="899"/>
      <c r="G655" s="900"/>
      <c r="H655" s="901"/>
      <c r="I655" s="1240">
        <f>SUM(J655:N655)</f>
        <v>553</v>
      </c>
      <c r="J655" s="902"/>
      <c r="K655" s="902"/>
      <c r="L655" s="902"/>
      <c r="M655" s="902"/>
      <c r="N655" s="1249">
        <f>SUM(N653:N654)</f>
        <v>553</v>
      </c>
      <c r="P655" s="890"/>
    </row>
    <row r="656" spans="1:16" s="9" customFormat="1" ht="18" customHeight="1">
      <c r="A656" s="455">
        <v>622</v>
      </c>
      <c r="B656" s="129"/>
      <c r="C656" s="125"/>
      <c r="D656" s="136" t="s">
        <v>107</v>
      </c>
      <c r="E656" s="122">
        <v>650</v>
      </c>
      <c r="F656" s="130">
        <v>553</v>
      </c>
      <c r="G656" s="131">
        <v>553</v>
      </c>
      <c r="H656" s="458"/>
      <c r="I656" s="1043"/>
      <c r="J656" s="1044"/>
      <c r="K656" s="1044"/>
      <c r="L656" s="1044"/>
      <c r="M656" s="1044"/>
      <c r="N656" s="1045"/>
      <c r="P656" s="8"/>
    </row>
    <row r="657" spans="1:16" s="904" customFormat="1" ht="18" customHeight="1">
      <c r="A657" s="455">
        <v>623</v>
      </c>
      <c r="B657" s="897"/>
      <c r="C657" s="885"/>
      <c r="D657" s="898" t="s">
        <v>283</v>
      </c>
      <c r="E657" s="887"/>
      <c r="F657" s="899"/>
      <c r="G657" s="900"/>
      <c r="H657" s="901"/>
      <c r="I657" s="882">
        <f>SUM(J657:N657)</f>
        <v>553</v>
      </c>
      <c r="J657" s="902"/>
      <c r="K657" s="902"/>
      <c r="L657" s="902"/>
      <c r="M657" s="902"/>
      <c r="N657" s="903">
        <v>553</v>
      </c>
      <c r="P657" s="890"/>
    </row>
    <row r="658" spans="1:16" s="904" customFormat="1" ht="18" customHeight="1">
      <c r="A658" s="455">
        <v>624</v>
      </c>
      <c r="B658" s="912"/>
      <c r="C658" s="885"/>
      <c r="D658" s="1237" t="s">
        <v>938</v>
      </c>
      <c r="E658" s="891"/>
      <c r="F658" s="913"/>
      <c r="G658" s="914"/>
      <c r="H658" s="917"/>
      <c r="I658" s="1240">
        <f>SUM(J658:N658)</f>
        <v>553</v>
      </c>
      <c r="J658" s="1243"/>
      <c r="K658" s="1243"/>
      <c r="L658" s="1243"/>
      <c r="M658" s="1243"/>
      <c r="N658" s="1244">
        <v>553</v>
      </c>
      <c r="P658" s="890"/>
    </row>
    <row r="659" spans="1:16" s="904" customFormat="1" ht="18" customHeight="1">
      <c r="A659" s="455">
        <v>625</v>
      </c>
      <c r="B659" s="912"/>
      <c r="C659" s="885"/>
      <c r="D659" s="1237" t="s">
        <v>674</v>
      </c>
      <c r="E659" s="891"/>
      <c r="F659" s="913"/>
      <c r="G659" s="914"/>
      <c r="H659" s="917"/>
      <c r="I659" s="1241">
        <f>SUM(J659:N659)</f>
        <v>0</v>
      </c>
      <c r="J659" s="915"/>
      <c r="K659" s="915"/>
      <c r="L659" s="915"/>
      <c r="M659" s="915"/>
      <c r="N659" s="916"/>
      <c r="P659" s="890"/>
    </row>
    <row r="660" spans="1:16" s="904" customFormat="1" ht="18" customHeight="1">
      <c r="A660" s="455">
        <v>626</v>
      </c>
      <c r="B660" s="912"/>
      <c r="C660" s="885"/>
      <c r="D660" s="1237" t="s">
        <v>1091</v>
      </c>
      <c r="E660" s="891"/>
      <c r="F660" s="913"/>
      <c r="G660" s="914"/>
      <c r="H660" s="917"/>
      <c r="I660" s="1240">
        <f>SUM(J660:N660)</f>
        <v>553</v>
      </c>
      <c r="J660" s="915"/>
      <c r="K660" s="915"/>
      <c r="L660" s="915"/>
      <c r="M660" s="915"/>
      <c r="N660" s="1244">
        <f>SUM(N658:N659)</f>
        <v>553</v>
      </c>
      <c r="P660" s="890"/>
    </row>
    <row r="661" spans="1:16" s="9" customFormat="1" ht="30" customHeight="1">
      <c r="A661" s="455">
        <v>627</v>
      </c>
      <c r="B661" s="467"/>
      <c r="C661" s="441">
        <v>119</v>
      </c>
      <c r="D661" s="450" t="s">
        <v>387</v>
      </c>
      <c r="E661" s="149"/>
      <c r="F661" s="127">
        <v>3700</v>
      </c>
      <c r="G661" s="128">
        <v>0</v>
      </c>
      <c r="H661" s="459" t="s">
        <v>23</v>
      </c>
      <c r="I661" s="879"/>
      <c r="J661" s="1046"/>
      <c r="K661" s="1046"/>
      <c r="L661" s="1036"/>
      <c r="M661" s="1046"/>
      <c r="N661" s="1047"/>
      <c r="P661" s="8"/>
    </row>
    <row r="662" spans="1:16" s="478" customFormat="1" ht="22.5" customHeight="1">
      <c r="A662" s="455">
        <v>628</v>
      </c>
      <c r="B662" s="477"/>
      <c r="C662" s="120">
        <v>120</v>
      </c>
      <c r="D662" s="450" t="s">
        <v>463</v>
      </c>
      <c r="E662" s="149">
        <v>344</v>
      </c>
      <c r="F662" s="127">
        <v>341</v>
      </c>
      <c r="G662" s="128">
        <v>0</v>
      </c>
      <c r="H662" s="459" t="s">
        <v>23</v>
      </c>
      <c r="I662" s="879"/>
      <c r="J662" s="1046"/>
      <c r="K662" s="1046"/>
      <c r="L662" s="1036"/>
      <c r="M662" s="1046"/>
      <c r="N662" s="1047"/>
      <c r="P662" s="3"/>
    </row>
    <row r="663" spans="1:16" s="478" customFormat="1" ht="22.5" customHeight="1">
      <c r="A663" s="455">
        <v>629</v>
      </c>
      <c r="B663" s="477"/>
      <c r="C663" s="120">
        <v>121</v>
      </c>
      <c r="D663" s="450" t="s">
        <v>388</v>
      </c>
      <c r="E663" s="149">
        <v>605</v>
      </c>
      <c r="F663" s="127">
        <v>1895</v>
      </c>
      <c r="G663" s="128">
        <v>381</v>
      </c>
      <c r="H663" s="459" t="s">
        <v>23</v>
      </c>
      <c r="I663" s="879"/>
      <c r="J663" s="1046"/>
      <c r="K663" s="1046"/>
      <c r="L663" s="1036"/>
      <c r="M663" s="1046"/>
      <c r="N663" s="1047"/>
      <c r="P663" s="3"/>
    </row>
    <row r="664" spans="1:16" s="904" customFormat="1" ht="18" customHeight="1">
      <c r="A664" s="455">
        <v>630</v>
      </c>
      <c r="B664" s="912"/>
      <c r="C664" s="885"/>
      <c r="D664" s="886" t="s">
        <v>283</v>
      </c>
      <c r="E664" s="891"/>
      <c r="F664" s="913"/>
      <c r="G664" s="914"/>
      <c r="H664" s="917"/>
      <c r="I664" s="879">
        <f>SUM(J664:N664)</f>
        <v>1600</v>
      </c>
      <c r="J664" s="915"/>
      <c r="K664" s="915"/>
      <c r="L664" s="894">
        <v>1600</v>
      </c>
      <c r="M664" s="915"/>
      <c r="N664" s="916"/>
      <c r="P664" s="890"/>
    </row>
    <row r="665" spans="1:16" s="904" customFormat="1" ht="18" customHeight="1">
      <c r="A665" s="455">
        <v>631</v>
      </c>
      <c r="B665" s="912"/>
      <c r="C665" s="885"/>
      <c r="D665" s="1679" t="s">
        <v>938</v>
      </c>
      <c r="E665" s="891"/>
      <c r="F665" s="913"/>
      <c r="G665" s="914"/>
      <c r="H665" s="917"/>
      <c r="I665" s="1238">
        <f>SUM(J665:N665)</f>
        <v>3114</v>
      </c>
      <c r="J665" s="1243"/>
      <c r="K665" s="1243"/>
      <c r="L665" s="1239">
        <v>3114</v>
      </c>
      <c r="M665" s="915"/>
      <c r="N665" s="916"/>
      <c r="P665" s="890"/>
    </row>
    <row r="666" spans="1:16" s="904" customFormat="1" ht="18" customHeight="1">
      <c r="A666" s="455">
        <v>632</v>
      </c>
      <c r="B666" s="912"/>
      <c r="C666" s="885"/>
      <c r="D666" s="1146" t="s">
        <v>725</v>
      </c>
      <c r="E666" s="891"/>
      <c r="F666" s="913"/>
      <c r="G666" s="914"/>
      <c r="H666" s="917"/>
      <c r="I666" s="1241">
        <f aca="true" t="shared" si="6" ref="I666:I671">SUM(J666:N666)</f>
        <v>0</v>
      </c>
      <c r="J666" s="915"/>
      <c r="K666" s="915"/>
      <c r="L666" s="1474"/>
      <c r="M666" s="915"/>
      <c r="N666" s="916"/>
      <c r="P666" s="890"/>
    </row>
    <row r="667" spans="1:16" s="904" customFormat="1" ht="18" customHeight="1">
      <c r="A667" s="455">
        <v>633</v>
      </c>
      <c r="B667" s="912"/>
      <c r="C667" s="885"/>
      <c r="D667" s="483" t="s">
        <v>1091</v>
      </c>
      <c r="E667" s="891"/>
      <c r="F667" s="913"/>
      <c r="G667" s="914"/>
      <c r="H667" s="917"/>
      <c r="I667" s="1238">
        <f t="shared" si="6"/>
        <v>3114</v>
      </c>
      <c r="J667" s="915"/>
      <c r="K667" s="915"/>
      <c r="L667" s="1239">
        <f>SUM(L665:L666)</f>
        <v>3114</v>
      </c>
      <c r="M667" s="915"/>
      <c r="N667" s="916"/>
      <c r="P667" s="890"/>
    </row>
    <row r="668" spans="1:16" s="478" customFormat="1" ht="22.5" customHeight="1">
      <c r="A668" s="455">
        <v>634</v>
      </c>
      <c r="B668" s="477"/>
      <c r="C668" s="120">
        <v>122</v>
      </c>
      <c r="D668" s="450" t="s">
        <v>527</v>
      </c>
      <c r="E668" s="149">
        <v>3000</v>
      </c>
      <c r="F668" s="127">
        <v>3000</v>
      </c>
      <c r="G668" s="128">
        <v>1704</v>
      </c>
      <c r="H668" s="459" t="s">
        <v>23</v>
      </c>
      <c r="I668" s="879"/>
      <c r="J668" s="1046"/>
      <c r="K668" s="1046"/>
      <c r="L668" s="1036"/>
      <c r="M668" s="1046"/>
      <c r="N668" s="1047"/>
      <c r="P668" s="3"/>
    </row>
    <row r="669" spans="1:16" s="478" customFormat="1" ht="22.5" customHeight="1">
      <c r="A669" s="455">
        <v>635</v>
      </c>
      <c r="B669" s="477"/>
      <c r="C669" s="120"/>
      <c r="D669" s="1679" t="s">
        <v>938</v>
      </c>
      <c r="E669" s="149"/>
      <c r="F669" s="127"/>
      <c r="G669" s="128"/>
      <c r="H669" s="459"/>
      <c r="I669" s="1238">
        <f t="shared" si="6"/>
        <v>1296</v>
      </c>
      <c r="J669" s="1046"/>
      <c r="K669" s="1046"/>
      <c r="L669" s="894">
        <v>1296</v>
      </c>
      <c r="M669" s="1046"/>
      <c r="N669" s="1047"/>
      <c r="P669" s="3"/>
    </row>
    <row r="670" spans="1:16" s="478" customFormat="1" ht="18" customHeight="1">
      <c r="A670" s="455">
        <v>636</v>
      </c>
      <c r="B670" s="477"/>
      <c r="C670" s="120"/>
      <c r="D670" s="1146" t="s">
        <v>725</v>
      </c>
      <c r="E670" s="149"/>
      <c r="F670" s="127"/>
      <c r="G670" s="128"/>
      <c r="H670" s="459"/>
      <c r="I670" s="1241">
        <f t="shared" si="6"/>
        <v>0</v>
      </c>
      <c r="J670" s="1046"/>
      <c r="K670" s="1046"/>
      <c r="L670" s="1474"/>
      <c r="M670" s="1046"/>
      <c r="N670" s="1047"/>
      <c r="P670" s="3"/>
    </row>
    <row r="671" spans="1:16" s="478" customFormat="1" ht="18" customHeight="1">
      <c r="A671" s="455">
        <v>637</v>
      </c>
      <c r="B671" s="477"/>
      <c r="C671" s="120"/>
      <c r="D671" s="483" t="s">
        <v>1091</v>
      </c>
      <c r="E671" s="149"/>
      <c r="F671" s="127"/>
      <c r="G671" s="128"/>
      <c r="H671" s="459"/>
      <c r="I671" s="1238">
        <f t="shared" si="6"/>
        <v>1296</v>
      </c>
      <c r="J671" s="1046"/>
      <c r="K671" s="1046"/>
      <c r="L671" s="1239">
        <f>SUM(L669:L670)</f>
        <v>1296</v>
      </c>
      <c r="M671" s="1046"/>
      <c r="N671" s="1047"/>
      <c r="P671" s="3"/>
    </row>
    <row r="672" spans="1:16" s="478" customFormat="1" ht="22.5" customHeight="1">
      <c r="A672" s="455">
        <v>638</v>
      </c>
      <c r="B672" s="477"/>
      <c r="C672" s="120">
        <v>123</v>
      </c>
      <c r="D672" s="450" t="s">
        <v>389</v>
      </c>
      <c r="E672" s="149"/>
      <c r="F672" s="127">
        <v>2800</v>
      </c>
      <c r="G672" s="128">
        <v>1800</v>
      </c>
      <c r="H672" s="459" t="s">
        <v>23</v>
      </c>
      <c r="I672" s="879"/>
      <c r="J672" s="1046"/>
      <c r="K672" s="1046"/>
      <c r="L672" s="1036"/>
      <c r="M672" s="1046"/>
      <c r="N672" s="1047"/>
      <c r="P672" s="3"/>
    </row>
    <row r="673" spans="1:16" s="904" customFormat="1" ht="18" customHeight="1">
      <c r="A673" s="455">
        <v>639</v>
      </c>
      <c r="B673" s="912"/>
      <c r="C673" s="885"/>
      <c r="D673" s="886" t="s">
        <v>283</v>
      </c>
      <c r="E673" s="891"/>
      <c r="F673" s="913"/>
      <c r="G673" s="914"/>
      <c r="H673" s="917"/>
      <c r="I673" s="879">
        <f>SUM(J673:N673)</f>
        <v>2000</v>
      </c>
      <c r="J673" s="915"/>
      <c r="K673" s="915"/>
      <c r="L673" s="894">
        <v>2000</v>
      </c>
      <c r="M673" s="915"/>
      <c r="N673" s="916"/>
      <c r="P673" s="890"/>
    </row>
    <row r="674" spans="1:16" s="904" customFormat="1" ht="18" customHeight="1">
      <c r="A674" s="455">
        <v>640</v>
      </c>
      <c r="B674" s="912"/>
      <c r="C674" s="885"/>
      <c r="D674" s="1679" t="s">
        <v>938</v>
      </c>
      <c r="E674" s="891"/>
      <c r="F674" s="913"/>
      <c r="G674" s="914"/>
      <c r="H674" s="917"/>
      <c r="I674" s="1238">
        <f>SUM(J674:N674)</f>
        <v>3000</v>
      </c>
      <c r="J674" s="1243"/>
      <c r="K674" s="1243"/>
      <c r="L674" s="1239">
        <v>3000</v>
      </c>
      <c r="M674" s="915"/>
      <c r="N674" s="916"/>
      <c r="P674" s="890"/>
    </row>
    <row r="675" spans="1:16" s="904" customFormat="1" ht="18" customHeight="1">
      <c r="A675" s="455">
        <v>641</v>
      </c>
      <c r="B675" s="912"/>
      <c r="C675" s="885"/>
      <c r="D675" s="1146" t="s">
        <v>725</v>
      </c>
      <c r="E675" s="891"/>
      <c r="F675" s="913"/>
      <c r="G675" s="914"/>
      <c r="H675" s="917"/>
      <c r="I675" s="1241">
        <f>SUM(J675:N675)</f>
        <v>0</v>
      </c>
      <c r="J675" s="915"/>
      <c r="K675" s="915"/>
      <c r="L675" s="1474"/>
      <c r="M675" s="915"/>
      <c r="N675" s="916"/>
      <c r="P675" s="890"/>
    </row>
    <row r="676" spans="1:16" s="904" customFormat="1" ht="18" customHeight="1">
      <c r="A676" s="455">
        <v>642</v>
      </c>
      <c r="B676" s="912"/>
      <c r="C676" s="885"/>
      <c r="D676" s="483" t="s">
        <v>1091</v>
      </c>
      <c r="E676" s="891"/>
      <c r="F676" s="913"/>
      <c r="G676" s="914"/>
      <c r="H676" s="917"/>
      <c r="I676" s="1238">
        <f>SUM(J676:N676)</f>
        <v>3000</v>
      </c>
      <c r="J676" s="915"/>
      <c r="K676" s="915"/>
      <c r="L676" s="1239">
        <f>SUM(L674:L675)</f>
        <v>3000</v>
      </c>
      <c r="M676" s="915"/>
      <c r="N676" s="916"/>
      <c r="P676" s="890"/>
    </row>
    <row r="677" spans="1:14" s="8" customFormat="1" ht="22.5" customHeight="1">
      <c r="A677" s="455">
        <v>643</v>
      </c>
      <c r="B677" s="138"/>
      <c r="C677" s="120">
        <v>124</v>
      </c>
      <c r="D677" s="449" t="s">
        <v>299</v>
      </c>
      <c r="E677" s="149"/>
      <c r="F677" s="127"/>
      <c r="G677" s="150"/>
      <c r="H677" s="459" t="s">
        <v>23</v>
      </c>
      <c r="I677" s="879"/>
      <c r="J677" s="1036"/>
      <c r="K677" s="1036"/>
      <c r="L677" s="1036"/>
      <c r="M677" s="1036"/>
      <c r="N677" s="1037"/>
    </row>
    <row r="678" spans="1:14" s="890" customFormat="1" ht="18" customHeight="1">
      <c r="A678" s="455">
        <v>644</v>
      </c>
      <c r="B678" s="918"/>
      <c r="C678" s="919"/>
      <c r="D678" s="886" t="s">
        <v>283</v>
      </c>
      <c r="E678" s="149">
        <v>6531</v>
      </c>
      <c r="F678" s="149">
        <v>13969</v>
      </c>
      <c r="G678" s="150">
        <v>10738</v>
      </c>
      <c r="H678" s="893"/>
      <c r="I678" s="879">
        <f>SUM(J678:N678)</f>
        <v>12000</v>
      </c>
      <c r="J678" s="894"/>
      <c r="K678" s="894"/>
      <c r="L678" s="894"/>
      <c r="M678" s="894"/>
      <c r="N678" s="895">
        <v>12000</v>
      </c>
    </row>
    <row r="679" spans="1:14" s="890" customFormat="1" ht="18" customHeight="1">
      <c r="A679" s="455">
        <v>645</v>
      </c>
      <c r="B679" s="918"/>
      <c r="C679" s="919"/>
      <c r="D679" s="1679" t="s">
        <v>938</v>
      </c>
      <c r="E679" s="149"/>
      <c r="F679" s="149"/>
      <c r="G679" s="150"/>
      <c r="H679" s="893"/>
      <c r="I679" s="1238">
        <f>SUM(J679:N679)</f>
        <v>15231</v>
      </c>
      <c r="J679" s="1239"/>
      <c r="K679" s="1239"/>
      <c r="L679" s="1239"/>
      <c r="M679" s="1239"/>
      <c r="N679" s="1242">
        <v>15231</v>
      </c>
    </row>
    <row r="680" spans="1:14" s="890" customFormat="1" ht="18" customHeight="1">
      <c r="A680" s="455">
        <v>646</v>
      </c>
      <c r="B680" s="918"/>
      <c r="C680" s="919"/>
      <c r="D680" s="1146" t="s">
        <v>725</v>
      </c>
      <c r="E680" s="149"/>
      <c r="F680" s="149"/>
      <c r="G680" s="150"/>
      <c r="H680" s="893"/>
      <c r="I680" s="1241">
        <f>SUM(J680:N680)</f>
        <v>0</v>
      </c>
      <c r="J680" s="894"/>
      <c r="K680" s="894"/>
      <c r="L680" s="894"/>
      <c r="M680" s="894"/>
      <c r="N680" s="1471"/>
    </row>
    <row r="681" spans="1:14" s="890" customFormat="1" ht="18" customHeight="1">
      <c r="A681" s="455">
        <v>647</v>
      </c>
      <c r="B681" s="918"/>
      <c r="C681" s="919"/>
      <c r="D681" s="483" t="s">
        <v>1091</v>
      </c>
      <c r="E681" s="149"/>
      <c r="F681" s="149"/>
      <c r="G681" s="150"/>
      <c r="H681" s="893"/>
      <c r="I681" s="1238">
        <f>SUM(J681:N681)</f>
        <v>15231</v>
      </c>
      <c r="J681" s="894"/>
      <c r="K681" s="894"/>
      <c r="L681" s="894"/>
      <c r="M681" s="894"/>
      <c r="N681" s="1242">
        <f>SUM(N679:N680)</f>
        <v>15231</v>
      </c>
    </row>
    <row r="682" spans="1:16" s="3" customFormat="1" ht="22.5" customHeight="1">
      <c r="A682" s="455">
        <v>648</v>
      </c>
      <c r="B682" s="137"/>
      <c r="C682" s="120">
        <v>125</v>
      </c>
      <c r="D682" s="449" t="s">
        <v>458</v>
      </c>
      <c r="E682" s="149"/>
      <c r="F682" s="149"/>
      <c r="G682" s="150"/>
      <c r="H682" s="459" t="s">
        <v>23</v>
      </c>
      <c r="I682" s="879"/>
      <c r="J682" s="1036"/>
      <c r="K682" s="1036"/>
      <c r="L682" s="1036"/>
      <c r="M682" s="1036"/>
      <c r="N682" s="1037"/>
      <c r="O682" s="8"/>
      <c r="P682" s="8"/>
    </row>
    <row r="683" spans="1:16" s="896" customFormat="1" ht="18" customHeight="1">
      <c r="A683" s="455">
        <v>649</v>
      </c>
      <c r="B683" s="908"/>
      <c r="C683" s="919"/>
      <c r="D683" s="886" t="s">
        <v>283</v>
      </c>
      <c r="E683" s="149">
        <v>698</v>
      </c>
      <c r="F683" s="149">
        <v>687</v>
      </c>
      <c r="G683" s="150">
        <v>95</v>
      </c>
      <c r="H683" s="893"/>
      <c r="I683" s="879">
        <f>SUM(J683:N683)</f>
        <v>2000</v>
      </c>
      <c r="J683" s="894"/>
      <c r="K683" s="894"/>
      <c r="L683" s="894">
        <v>2000</v>
      </c>
      <c r="M683" s="894"/>
      <c r="N683" s="895"/>
      <c r="O683" s="890"/>
      <c r="P683" s="890"/>
    </row>
    <row r="684" spans="1:16" s="896" customFormat="1" ht="18" customHeight="1">
      <c r="A684" s="455">
        <v>650</v>
      </c>
      <c r="B684" s="908"/>
      <c r="C684" s="919"/>
      <c r="D684" s="1679" t="s">
        <v>938</v>
      </c>
      <c r="E684" s="149"/>
      <c r="F684" s="149"/>
      <c r="G684" s="150"/>
      <c r="H684" s="893"/>
      <c r="I684" s="1238">
        <f>SUM(J684:N684)</f>
        <v>2592</v>
      </c>
      <c r="J684" s="1239"/>
      <c r="K684" s="1239"/>
      <c r="L684" s="1239">
        <v>2592</v>
      </c>
      <c r="M684" s="894"/>
      <c r="N684" s="895"/>
      <c r="O684" s="890"/>
      <c r="P684" s="890"/>
    </row>
    <row r="685" spans="1:16" s="896" customFormat="1" ht="18" customHeight="1">
      <c r="A685" s="455">
        <v>651</v>
      </c>
      <c r="B685" s="908"/>
      <c r="C685" s="919"/>
      <c r="D685" s="1146" t="s">
        <v>725</v>
      </c>
      <c r="E685" s="149"/>
      <c r="F685" s="149"/>
      <c r="G685" s="150"/>
      <c r="H685" s="893"/>
      <c r="I685" s="1241">
        <f>SUM(J685:N685)</f>
        <v>0</v>
      </c>
      <c r="J685" s="894"/>
      <c r="K685" s="894"/>
      <c r="L685" s="1474"/>
      <c r="M685" s="894"/>
      <c r="N685" s="895"/>
      <c r="O685" s="890"/>
      <c r="P685" s="890"/>
    </row>
    <row r="686" spans="1:16" s="896" customFormat="1" ht="18" customHeight="1">
      <c r="A686" s="455">
        <v>652</v>
      </c>
      <c r="B686" s="908"/>
      <c r="C686" s="919"/>
      <c r="D686" s="483" t="s">
        <v>1091</v>
      </c>
      <c r="E686" s="149"/>
      <c r="F686" s="149"/>
      <c r="G686" s="150"/>
      <c r="H686" s="893"/>
      <c r="I686" s="1238">
        <f>SUM(J686:N686)</f>
        <v>2592</v>
      </c>
      <c r="J686" s="894"/>
      <c r="K686" s="894"/>
      <c r="L686" s="1239">
        <f>SUM(L684:L685)</f>
        <v>2592</v>
      </c>
      <c r="M686" s="894"/>
      <c r="N686" s="895"/>
      <c r="O686" s="890"/>
      <c r="P686" s="890"/>
    </row>
    <row r="687" spans="1:16" s="896" customFormat="1" ht="22.5" customHeight="1">
      <c r="A687" s="455">
        <v>653</v>
      </c>
      <c r="B687" s="908"/>
      <c r="C687" s="120">
        <v>126</v>
      </c>
      <c r="D687" s="449" t="s">
        <v>646</v>
      </c>
      <c r="E687" s="149"/>
      <c r="F687" s="149"/>
      <c r="G687" s="150"/>
      <c r="H687" s="459" t="s">
        <v>23</v>
      </c>
      <c r="I687" s="879"/>
      <c r="J687" s="894"/>
      <c r="K687" s="894"/>
      <c r="L687" s="894"/>
      <c r="M687" s="894"/>
      <c r="N687" s="895"/>
      <c r="O687" s="890"/>
      <c r="P687" s="890"/>
    </row>
    <row r="688" spans="1:16" s="896" customFormat="1" ht="18" customHeight="1">
      <c r="A688" s="455">
        <v>654</v>
      </c>
      <c r="B688" s="908"/>
      <c r="C688" s="919"/>
      <c r="D688" s="886" t="s">
        <v>283</v>
      </c>
      <c r="E688" s="891"/>
      <c r="F688" s="891"/>
      <c r="G688" s="892"/>
      <c r="H688" s="893"/>
      <c r="I688" s="879">
        <f>SUM(J688:N688)</f>
        <v>1200</v>
      </c>
      <c r="J688" s="894"/>
      <c r="K688" s="894"/>
      <c r="L688" s="894">
        <v>1200</v>
      </c>
      <c r="M688" s="894"/>
      <c r="N688" s="895"/>
      <c r="O688" s="890"/>
      <c r="P688" s="890"/>
    </row>
    <row r="689" spans="1:16" s="896" customFormat="1" ht="18" customHeight="1">
      <c r="A689" s="455">
        <v>655</v>
      </c>
      <c r="B689" s="908"/>
      <c r="C689" s="919"/>
      <c r="D689" s="1679" t="s">
        <v>938</v>
      </c>
      <c r="E689" s="891"/>
      <c r="F689" s="891"/>
      <c r="G689" s="892"/>
      <c r="H689" s="893"/>
      <c r="I689" s="1238">
        <f>SUM(J689:N689)</f>
        <v>1200</v>
      </c>
      <c r="J689" s="894"/>
      <c r="K689" s="894"/>
      <c r="L689" s="1239">
        <v>1200</v>
      </c>
      <c r="M689" s="894"/>
      <c r="N689" s="895"/>
      <c r="O689" s="890"/>
      <c r="P689" s="890"/>
    </row>
    <row r="690" spans="1:16" s="896" customFormat="1" ht="18" customHeight="1">
      <c r="A690" s="455">
        <v>656</v>
      </c>
      <c r="B690" s="908"/>
      <c r="C690" s="919"/>
      <c r="D690" s="1146" t="s">
        <v>674</v>
      </c>
      <c r="E690" s="891"/>
      <c r="F690" s="891"/>
      <c r="G690" s="892"/>
      <c r="H690" s="893"/>
      <c r="I690" s="1241">
        <f aca="true" t="shared" si="7" ref="I690:I723">SUM(J690:N690)</f>
        <v>0</v>
      </c>
      <c r="J690" s="894"/>
      <c r="K690" s="894"/>
      <c r="L690" s="894"/>
      <c r="M690" s="894"/>
      <c r="N690" s="895"/>
      <c r="O690" s="890"/>
      <c r="P690" s="890"/>
    </row>
    <row r="691" spans="1:16" s="896" customFormat="1" ht="18" customHeight="1">
      <c r="A691" s="455">
        <v>657</v>
      </c>
      <c r="B691" s="908"/>
      <c r="C691" s="919"/>
      <c r="D691" s="483" t="s">
        <v>1091</v>
      </c>
      <c r="E691" s="891"/>
      <c r="F691" s="891"/>
      <c r="G691" s="892"/>
      <c r="H691" s="893"/>
      <c r="I691" s="1238">
        <f t="shared" si="7"/>
        <v>1200</v>
      </c>
      <c r="J691" s="894"/>
      <c r="K691" s="894"/>
      <c r="L691" s="1239">
        <f>SUM(L689:L690)</f>
        <v>1200</v>
      </c>
      <c r="M691" s="894"/>
      <c r="N691" s="895"/>
      <c r="O691" s="890"/>
      <c r="P691" s="890"/>
    </row>
    <row r="692" spans="1:16" s="896" customFormat="1" ht="22.5" customHeight="1">
      <c r="A692" s="455">
        <v>658</v>
      </c>
      <c r="B692" s="908"/>
      <c r="C692" s="120">
        <v>127</v>
      </c>
      <c r="D692" s="484" t="s">
        <v>723</v>
      </c>
      <c r="E692" s="891"/>
      <c r="F692" s="891"/>
      <c r="G692" s="892"/>
      <c r="H692" s="459" t="s">
        <v>23</v>
      </c>
      <c r="I692" s="1238"/>
      <c r="J692" s="894"/>
      <c r="K692" s="894"/>
      <c r="L692" s="1239"/>
      <c r="M692" s="894"/>
      <c r="N692" s="895"/>
      <c r="O692" s="890"/>
      <c r="P692" s="890"/>
    </row>
    <row r="693" spans="1:16" s="896" customFormat="1" ht="22.5" customHeight="1">
      <c r="A693" s="455">
        <v>659</v>
      </c>
      <c r="B693" s="908"/>
      <c r="C693" s="120"/>
      <c r="D693" s="1679" t="s">
        <v>938</v>
      </c>
      <c r="E693" s="891"/>
      <c r="F693" s="891"/>
      <c r="G693" s="892"/>
      <c r="H693" s="459"/>
      <c r="I693" s="1238">
        <f t="shared" si="7"/>
        <v>2286</v>
      </c>
      <c r="J693" s="894"/>
      <c r="K693" s="894"/>
      <c r="L693" s="1239">
        <v>2286</v>
      </c>
      <c r="M693" s="894"/>
      <c r="N693" s="895"/>
      <c r="O693" s="890"/>
      <c r="P693" s="890"/>
    </row>
    <row r="694" spans="1:16" s="896" customFormat="1" ht="18" customHeight="1">
      <c r="A694" s="455">
        <v>660</v>
      </c>
      <c r="B694" s="908"/>
      <c r="C694" s="919"/>
      <c r="D694" s="1146" t="s">
        <v>674</v>
      </c>
      <c r="E694" s="891"/>
      <c r="F694" s="891"/>
      <c r="G694" s="892"/>
      <c r="H694" s="893"/>
      <c r="I694" s="1241">
        <f t="shared" si="7"/>
        <v>0</v>
      </c>
      <c r="J694" s="894"/>
      <c r="K694" s="894"/>
      <c r="L694" s="1474"/>
      <c r="M694" s="894"/>
      <c r="N694" s="895"/>
      <c r="O694" s="890"/>
      <c r="P694" s="890"/>
    </row>
    <row r="695" spans="1:16" s="896" customFormat="1" ht="18" customHeight="1">
      <c r="A695" s="455">
        <v>661</v>
      </c>
      <c r="B695" s="908"/>
      <c r="C695" s="919"/>
      <c r="D695" s="483" t="s">
        <v>1091</v>
      </c>
      <c r="E695" s="891"/>
      <c r="F695" s="891"/>
      <c r="G695" s="892"/>
      <c r="H695" s="893"/>
      <c r="I695" s="1238">
        <f t="shared" si="7"/>
        <v>2286</v>
      </c>
      <c r="J695" s="894"/>
      <c r="K695" s="894"/>
      <c r="L695" s="1239">
        <f>SUM(L693:L694)</f>
        <v>2286</v>
      </c>
      <c r="M695" s="894"/>
      <c r="N695" s="895"/>
      <c r="O695" s="890"/>
      <c r="P695" s="890"/>
    </row>
    <row r="696" spans="1:16" s="3" customFormat="1" ht="22.5" customHeight="1">
      <c r="A696" s="455">
        <v>662</v>
      </c>
      <c r="B696" s="124"/>
      <c r="C696" s="120">
        <v>128</v>
      </c>
      <c r="D696" s="449" t="s">
        <v>254</v>
      </c>
      <c r="E696" s="122"/>
      <c r="F696" s="122">
        <v>1210</v>
      </c>
      <c r="G696" s="123">
        <v>0</v>
      </c>
      <c r="H696" s="457" t="s">
        <v>23</v>
      </c>
      <c r="I696" s="1038"/>
      <c r="J696" s="1039"/>
      <c r="K696" s="1039"/>
      <c r="L696" s="1039"/>
      <c r="M696" s="1039"/>
      <c r="N696" s="1040"/>
      <c r="O696" s="8"/>
      <c r="P696" s="8"/>
    </row>
    <row r="697" spans="1:16" s="3" customFormat="1" ht="22.5" customHeight="1">
      <c r="A697" s="455">
        <v>663</v>
      </c>
      <c r="B697" s="124"/>
      <c r="C697" s="120"/>
      <c r="D697" s="1679" t="s">
        <v>938</v>
      </c>
      <c r="E697" s="122"/>
      <c r="F697" s="122"/>
      <c r="G697" s="123"/>
      <c r="H697" s="457"/>
      <c r="I697" s="1238">
        <f t="shared" si="7"/>
        <v>1210</v>
      </c>
      <c r="J697" s="1039"/>
      <c r="K697" s="1039"/>
      <c r="L697" s="1250">
        <v>1210</v>
      </c>
      <c r="M697" s="1039"/>
      <c r="N697" s="1040"/>
      <c r="O697" s="8"/>
      <c r="P697" s="8"/>
    </row>
    <row r="698" spans="1:16" s="3" customFormat="1" ht="18" customHeight="1">
      <c r="A698" s="455">
        <v>664</v>
      </c>
      <c r="B698" s="124"/>
      <c r="C698" s="120"/>
      <c r="D698" s="1146" t="s">
        <v>680</v>
      </c>
      <c r="E698" s="122"/>
      <c r="F698" s="122"/>
      <c r="G698" s="123"/>
      <c r="H698" s="457"/>
      <c r="I698" s="1241">
        <f t="shared" si="7"/>
        <v>0</v>
      </c>
      <c r="J698" s="1039"/>
      <c r="K698" s="1039"/>
      <c r="L698" s="1475"/>
      <c r="M698" s="1039"/>
      <c r="N698" s="1040"/>
      <c r="O698" s="8"/>
      <c r="P698" s="8"/>
    </row>
    <row r="699" spans="1:16" s="3" customFormat="1" ht="18" customHeight="1">
      <c r="A699" s="455">
        <v>665</v>
      </c>
      <c r="B699" s="124"/>
      <c r="C699" s="120"/>
      <c r="D699" s="483" t="s">
        <v>1091</v>
      </c>
      <c r="E699" s="122"/>
      <c r="F699" s="122"/>
      <c r="G699" s="123"/>
      <c r="H699" s="457"/>
      <c r="I699" s="1238">
        <f t="shared" si="7"/>
        <v>1210</v>
      </c>
      <c r="J699" s="1039"/>
      <c r="K699" s="1039"/>
      <c r="L699" s="1476">
        <f>SUM(L697:L698)</f>
        <v>1210</v>
      </c>
      <c r="M699" s="1039"/>
      <c r="N699" s="1040"/>
      <c r="O699" s="8"/>
      <c r="P699" s="8"/>
    </row>
    <row r="700" spans="1:16" s="3" customFormat="1" ht="22.5" customHeight="1">
      <c r="A700" s="455">
        <v>666</v>
      </c>
      <c r="B700" s="124"/>
      <c r="C700" s="120">
        <v>129</v>
      </c>
      <c r="D700" s="449" t="s">
        <v>255</v>
      </c>
      <c r="E700" s="122"/>
      <c r="F700" s="122">
        <v>1254</v>
      </c>
      <c r="G700" s="123">
        <v>0</v>
      </c>
      <c r="H700" s="457" t="s">
        <v>23</v>
      </c>
      <c r="I700" s="1038"/>
      <c r="J700" s="1039"/>
      <c r="K700" s="1039"/>
      <c r="L700" s="1039"/>
      <c r="M700" s="1039"/>
      <c r="N700" s="1040"/>
      <c r="O700" s="8"/>
      <c r="P700" s="8"/>
    </row>
    <row r="701" spans="1:16" s="3" customFormat="1" ht="22.5" customHeight="1">
      <c r="A701" s="455">
        <v>667</v>
      </c>
      <c r="B701" s="124"/>
      <c r="C701" s="120"/>
      <c r="D701" s="1679" t="s">
        <v>938</v>
      </c>
      <c r="E701" s="122"/>
      <c r="F701" s="122"/>
      <c r="G701" s="123"/>
      <c r="H701" s="457"/>
      <c r="I701" s="1238">
        <f t="shared" si="7"/>
        <v>1254</v>
      </c>
      <c r="J701" s="1039"/>
      <c r="K701" s="1039"/>
      <c r="L701" s="1250">
        <v>1254</v>
      </c>
      <c r="M701" s="1039"/>
      <c r="N701" s="1040"/>
      <c r="O701" s="8"/>
      <c r="P701" s="8"/>
    </row>
    <row r="702" spans="1:16" s="3" customFormat="1" ht="18" customHeight="1">
      <c r="A702" s="455">
        <v>668</v>
      </c>
      <c r="B702" s="124"/>
      <c r="C702" s="120"/>
      <c r="D702" s="1146" t="s">
        <v>680</v>
      </c>
      <c r="E702" s="122"/>
      <c r="F702" s="122"/>
      <c r="G702" s="123"/>
      <c r="H702" s="457"/>
      <c r="I702" s="1241">
        <f t="shared" si="7"/>
        <v>0</v>
      </c>
      <c r="J702" s="1039"/>
      <c r="K702" s="1039"/>
      <c r="L702" s="1475"/>
      <c r="M702" s="1039"/>
      <c r="N702" s="1040"/>
      <c r="O702" s="8"/>
      <c r="P702" s="8"/>
    </row>
    <row r="703" spans="1:16" s="3" customFormat="1" ht="18" customHeight="1">
      <c r="A703" s="455">
        <v>669</v>
      </c>
      <c r="B703" s="124"/>
      <c r="C703" s="120"/>
      <c r="D703" s="483" t="s">
        <v>1091</v>
      </c>
      <c r="E703" s="122"/>
      <c r="F703" s="122"/>
      <c r="G703" s="123"/>
      <c r="H703" s="457"/>
      <c r="I703" s="1238">
        <f t="shared" si="7"/>
        <v>1254</v>
      </c>
      <c r="J703" s="1039"/>
      <c r="K703" s="1039"/>
      <c r="L703" s="1245">
        <f>SUM(L701:L702)</f>
        <v>1254</v>
      </c>
      <c r="M703" s="1039"/>
      <c r="N703" s="1040"/>
      <c r="O703" s="8"/>
      <c r="P703" s="8"/>
    </row>
    <row r="704" spans="1:14" ht="22.5" customHeight="1">
      <c r="A704" s="455">
        <v>670</v>
      </c>
      <c r="B704" s="1028"/>
      <c r="C704" s="120">
        <v>130</v>
      </c>
      <c r="D704" s="450" t="s">
        <v>654</v>
      </c>
      <c r="E704" s="1029"/>
      <c r="F704" s="149">
        <v>32172</v>
      </c>
      <c r="G704" s="149">
        <v>26352</v>
      </c>
      <c r="H704" s="1030" t="s">
        <v>23</v>
      </c>
      <c r="I704" s="1048"/>
      <c r="J704" s="1049"/>
      <c r="K704" s="1049"/>
      <c r="L704" s="1049"/>
      <c r="M704" s="1049"/>
      <c r="N704" s="1050"/>
    </row>
    <row r="705" spans="1:14" ht="22.5" customHeight="1">
      <c r="A705" s="455">
        <v>671</v>
      </c>
      <c r="B705" s="1028"/>
      <c r="C705" s="120"/>
      <c r="D705" s="1679" t="s">
        <v>938</v>
      </c>
      <c r="E705" s="1029"/>
      <c r="F705" s="149"/>
      <c r="G705" s="150"/>
      <c r="H705" s="1030"/>
      <c r="I705" s="1238">
        <f t="shared" si="7"/>
        <v>2818</v>
      </c>
      <c r="J705" s="1701"/>
      <c r="K705" s="1701"/>
      <c r="L705" s="1702">
        <v>2818</v>
      </c>
      <c r="M705" s="1049"/>
      <c r="N705" s="1050"/>
    </row>
    <row r="706" spans="1:16" s="3" customFormat="1" ht="18" customHeight="1">
      <c r="A706" s="455">
        <v>672</v>
      </c>
      <c r="B706" s="124"/>
      <c r="C706" s="120"/>
      <c r="D706" s="1146" t="s">
        <v>725</v>
      </c>
      <c r="E706" s="122"/>
      <c r="F706" s="122"/>
      <c r="G706" s="123"/>
      <c r="H706" s="457"/>
      <c r="I706" s="1241">
        <f t="shared" si="7"/>
        <v>0</v>
      </c>
      <c r="J706" s="1039"/>
      <c r="K706" s="1039"/>
      <c r="L706" s="1247"/>
      <c r="M706" s="1039"/>
      <c r="N706" s="1040"/>
      <c r="O706" s="8"/>
      <c r="P706" s="8"/>
    </row>
    <row r="707" spans="1:16" s="3" customFormat="1" ht="18" customHeight="1">
      <c r="A707" s="455">
        <v>673</v>
      </c>
      <c r="B707" s="124"/>
      <c r="C707" s="120"/>
      <c r="D707" s="1146"/>
      <c r="E707" s="122"/>
      <c r="F707" s="122"/>
      <c r="G707" s="123"/>
      <c r="H707" s="457"/>
      <c r="I707" s="1241">
        <f t="shared" si="7"/>
        <v>0</v>
      </c>
      <c r="J707" s="1039"/>
      <c r="K707" s="1039"/>
      <c r="L707" s="1247"/>
      <c r="M707" s="1039"/>
      <c r="N707" s="1040"/>
      <c r="O707" s="8"/>
      <c r="P707" s="8"/>
    </row>
    <row r="708" spans="1:16" s="3" customFormat="1" ht="18" customHeight="1">
      <c r="A708" s="455">
        <v>674</v>
      </c>
      <c r="B708" s="124"/>
      <c r="C708" s="120"/>
      <c r="D708" s="483" t="s">
        <v>1091</v>
      </c>
      <c r="E708" s="122"/>
      <c r="F708" s="122"/>
      <c r="G708" s="123"/>
      <c r="H708" s="457"/>
      <c r="I708" s="1238">
        <f t="shared" si="7"/>
        <v>2818</v>
      </c>
      <c r="J708" s="1039"/>
      <c r="K708" s="1039"/>
      <c r="L708" s="1245">
        <f>SUM(L705:L707)</f>
        <v>2818</v>
      </c>
      <c r="M708" s="1039"/>
      <c r="N708" s="1040"/>
      <c r="O708" s="8"/>
      <c r="P708" s="8"/>
    </row>
    <row r="709" spans="1:16" s="3" customFormat="1" ht="37.5" customHeight="1">
      <c r="A709" s="455">
        <v>675</v>
      </c>
      <c r="B709" s="124"/>
      <c r="C709" s="441">
        <v>131</v>
      </c>
      <c r="D709" s="450" t="s">
        <v>906</v>
      </c>
      <c r="E709" s="122"/>
      <c r="F709" s="122"/>
      <c r="G709" s="123"/>
      <c r="H709" s="1731" t="s">
        <v>23</v>
      </c>
      <c r="I709" s="1238"/>
      <c r="J709" s="1039"/>
      <c r="K709" s="1039"/>
      <c r="L709" s="1245"/>
      <c r="M709" s="1039"/>
      <c r="N709" s="1040"/>
      <c r="O709" s="8"/>
      <c r="P709" s="8"/>
    </row>
    <row r="710" spans="1:16" s="3" customFormat="1" ht="22.5" customHeight="1">
      <c r="A710" s="455">
        <v>676</v>
      </c>
      <c r="B710" s="124"/>
      <c r="C710" s="441"/>
      <c r="D710" s="1771" t="s">
        <v>938</v>
      </c>
      <c r="E710" s="122"/>
      <c r="F710" s="122"/>
      <c r="G710" s="123"/>
      <c r="H710" s="1731"/>
      <c r="I710" s="1238">
        <f t="shared" si="7"/>
        <v>7777</v>
      </c>
      <c r="J710" s="1039"/>
      <c r="K710" s="1039"/>
      <c r="L710" s="1245"/>
      <c r="M710" s="1039"/>
      <c r="N710" s="1251">
        <v>7777</v>
      </c>
      <c r="O710" s="8"/>
      <c r="P710" s="8"/>
    </row>
    <row r="711" spans="1:16" s="3" customFormat="1" ht="18" customHeight="1">
      <c r="A711" s="455">
        <v>677</v>
      </c>
      <c r="B711" s="124"/>
      <c r="C711" s="120"/>
      <c r="D711" s="1146" t="s">
        <v>725</v>
      </c>
      <c r="E711" s="122"/>
      <c r="F711" s="122"/>
      <c r="G711" s="123"/>
      <c r="H711" s="457"/>
      <c r="I711" s="1241">
        <f t="shared" si="7"/>
        <v>0</v>
      </c>
      <c r="J711" s="1039"/>
      <c r="K711" s="1039"/>
      <c r="L711" s="1245"/>
      <c r="M711" s="1039"/>
      <c r="N711" s="1730"/>
      <c r="O711" s="8"/>
      <c r="P711" s="8"/>
    </row>
    <row r="712" spans="1:16" s="3" customFormat="1" ht="18" customHeight="1">
      <c r="A712" s="455">
        <v>678</v>
      </c>
      <c r="B712" s="124"/>
      <c r="C712" s="120"/>
      <c r="D712" s="483" t="s">
        <v>1091</v>
      </c>
      <c r="E712" s="122"/>
      <c r="F712" s="122"/>
      <c r="G712" s="123"/>
      <c r="H712" s="457"/>
      <c r="I712" s="1238">
        <f t="shared" si="7"/>
        <v>7777</v>
      </c>
      <c r="J712" s="1039"/>
      <c r="K712" s="1039"/>
      <c r="L712" s="1245"/>
      <c r="M712" s="1039"/>
      <c r="N712" s="1266">
        <f>SUM(N710:N711)</f>
        <v>7777</v>
      </c>
      <c r="O712" s="8"/>
      <c r="P712" s="8"/>
    </row>
    <row r="713" spans="1:16" s="3" customFormat="1" ht="22.5" customHeight="1">
      <c r="A713" s="455">
        <v>679</v>
      </c>
      <c r="B713" s="124"/>
      <c r="C713" s="120">
        <v>132</v>
      </c>
      <c r="D713" s="484" t="s">
        <v>907</v>
      </c>
      <c r="E713" s="122"/>
      <c r="F713" s="122"/>
      <c r="G713" s="123"/>
      <c r="H713" s="457" t="s">
        <v>23</v>
      </c>
      <c r="I713" s="1238"/>
      <c r="J713" s="1039"/>
      <c r="K713" s="1039"/>
      <c r="L713" s="1245"/>
      <c r="M713" s="1039"/>
      <c r="N713" s="1266"/>
      <c r="O713" s="8"/>
      <c r="P713" s="8"/>
    </row>
    <row r="714" spans="1:16" s="3" customFormat="1" ht="22.5" customHeight="1">
      <c r="A714" s="455">
        <v>680</v>
      </c>
      <c r="B714" s="124"/>
      <c r="C714" s="120"/>
      <c r="D714" s="484" t="s">
        <v>938</v>
      </c>
      <c r="E714" s="122"/>
      <c r="F714" s="122"/>
      <c r="G714" s="123"/>
      <c r="H714" s="457"/>
      <c r="I714" s="1238">
        <f t="shared" si="7"/>
        <v>1500</v>
      </c>
      <c r="J714" s="1039"/>
      <c r="K714" s="1039"/>
      <c r="L714" s="1245"/>
      <c r="M714" s="1039"/>
      <c r="N714" s="1251">
        <v>1500</v>
      </c>
      <c r="O714" s="8"/>
      <c r="P714" s="8"/>
    </row>
    <row r="715" spans="1:16" s="3" customFormat="1" ht="18" customHeight="1">
      <c r="A715" s="455">
        <v>681</v>
      </c>
      <c r="B715" s="124"/>
      <c r="C715" s="120"/>
      <c r="D715" s="1146" t="s">
        <v>725</v>
      </c>
      <c r="E715" s="122"/>
      <c r="F715" s="122"/>
      <c r="G715" s="123"/>
      <c r="H715" s="457"/>
      <c r="I715" s="1241">
        <f t="shared" si="7"/>
        <v>0</v>
      </c>
      <c r="J715" s="1039"/>
      <c r="K715" s="1039"/>
      <c r="L715" s="1245"/>
      <c r="M715" s="1039"/>
      <c r="N715" s="1730"/>
      <c r="O715" s="8"/>
      <c r="P715" s="8"/>
    </row>
    <row r="716" spans="1:16" s="3" customFormat="1" ht="18" customHeight="1">
      <c r="A716" s="455">
        <v>682</v>
      </c>
      <c r="B716" s="124"/>
      <c r="C716" s="120"/>
      <c r="D716" s="483" t="s">
        <v>1091</v>
      </c>
      <c r="E716" s="122"/>
      <c r="F716" s="122"/>
      <c r="G716" s="123"/>
      <c r="H716" s="457"/>
      <c r="I716" s="1238">
        <f t="shared" si="7"/>
        <v>1500</v>
      </c>
      <c r="J716" s="1039"/>
      <c r="K716" s="1039"/>
      <c r="L716" s="1245"/>
      <c r="M716" s="1039"/>
      <c r="N716" s="1266">
        <f>SUM(N714:N715)</f>
        <v>1500</v>
      </c>
      <c r="O716" s="8"/>
      <c r="P716" s="8"/>
    </row>
    <row r="717" spans="1:16" s="3" customFormat="1" ht="36" customHeight="1">
      <c r="A717" s="455">
        <v>683</v>
      </c>
      <c r="B717" s="124"/>
      <c r="C717" s="441">
        <v>133</v>
      </c>
      <c r="D717" s="1940" t="s">
        <v>909</v>
      </c>
      <c r="E717" s="122"/>
      <c r="F717" s="122"/>
      <c r="G717" s="123"/>
      <c r="H717" s="457"/>
      <c r="I717" s="1238"/>
      <c r="J717" s="1039"/>
      <c r="K717" s="1039"/>
      <c r="L717" s="1245"/>
      <c r="M717" s="1039"/>
      <c r="N717" s="1266"/>
      <c r="O717" s="8"/>
      <c r="P717" s="8"/>
    </row>
    <row r="718" spans="1:16" s="3" customFormat="1" ht="22.5" customHeight="1">
      <c r="A718" s="455">
        <v>684</v>
      </c>
      <c r="B718" s="124"/>
      <c r="C718" s="441"/>
      <c r="D718" s="484" t="s">
        <v>938</v>
      </c>
      <c r="E718" s="122"/>
      <c r="F718" s="122"/>
      <c r="G718" s="123"/>
      <c r="H718" s="457" t="s">
        <v>23</v>
      </c>
      <c r="I718" s="1238">
        <f t="shared" si="7"/>
        <v>1000</v>
      </c>
      <c r="J718" s="1039"/>
      <c r="K718" s="1039"/>
      <c r="L718" s="1245">
        <v>1000</v>
      </c>
      <c r="M718" s="1039"/>
      <c r="N718" s="1266"/>
      <c r="O718" s="8"/>
      <c r="P718" s="8"/>
    </row>
    <row r="719" spans="1:16" s="3" customFormat="1" ht="18" customHeight="1">
      <c r="A719" s="455">
        <v>685</v>
      </c>
      <c r="B719" s="124"/>
      <c r="C719" s="120"/>
      <c r="D719" s="1146" t="s">
        <v>689</v>
      </c>
      <c r="E719" s="122"/>
      <c r="F719" s="122"/>
      <c r="G719" s="123"/>
      <c r="H719" s="457"/>
      <c r="I719" s="1241">
        <f t="shared" si="7"/>
        <v>0</v>
      </c>
      <c r="J719" s="1039"/>
      <c r="K719" s="1039"/>
      <c r="L719" s="1247"/>
      <c r="M719" s="1039"/>
      <c r="N719" s="1730"/>
      <c r="O719" s="8"/>
      <c r="P719" s="8"/>
    </row>
    <row r="720" spans="1:16" s="3" customFormat="1" ht="18" customHeight="1">
      <c r="A720" s="455">
        <v>686</v>
      </c>
      <c r="B720" s="124"/>
      <c r="C720" s="120"/>
      <c r="D720" s="483" t="s">
        <v>1091</v>
      </c>
      <c r="E720" s="122"/>
      <c r="F720" s="122"/>
      <c r="G720" s="123"/>
      <c r="H720" s="457"/>
      <c r="I720" s="1238">
        <f t="shared" si="7"/>
        <v>1000</v>
      </c>
      <c r="J720" s="1039"/>
      <c r="K720" s="1039"/>
      <c r="L720" s="1245">
        <f>SUM(L718:L719)</f>
        <v>1000</v>
      </c>
      <c r="M720" s="1039"/>
      <c r="N720" s="1266"/>
      <c r="O720" s="8"/>
      <c r="P720" s="8"/>
    </row>
    <row r="721" spans="1:16" s="3" customFormat="1" ht="22.5" customHeight="1">
      <c r="A721" s="455">
        <v>687</v>
      </c>
      <c r="B721" s="124"/>
      <c r="C721" s="120">
        <v>134</v>
      </c>
      <c r="D721" s="484" t="s">
        <v>1002</v>
      </c>
      <c r="E721" s="122"/>
      <c r="F721" s="122"/>
      <c r="G721" s="123"/>
      <c r="H721" s="457"/>
      <c r="I721" s="1238"/>
      <c r="J721" s="1039"/>
      <c r="K721" s="1039"/>
      <c r="L721" s="1245"/>
      <c r="M721" s="1039"/>
      <c r="N721" s="1266"/>
      <c r="O721" s="8"/>
      <c r="P721" s="8"/>
    </row>
    <row r="722" spans="1:16" s="3" customFormat="1" ht="18" customHeight="1">
      <c r="A722" s="455">
        <v>688</v>
      </c>
      <c r="B722" s="124"/>
      <c r="C722" s="120"/>
      <c r="D722" s="1146" t="s">
        <v>689</v>
      </c>
      <c r="E722" s="122"/>
      <c r="F722" s="122"/>
      <c r="G722" s="123"/>
      <c r="H722" s="457" t="s">
        <v>22</v>
      </c>
      <c r="I722" s="1241">
        <f t="shared" si="7"/>
        <v>1500</v>
      </c>
      <c r="J722" s="1039"/>
      <c r="K722" s="1039"/>
      <c r="L722" s="1247">
        <v>1500</v>
      </c>
      <c r="M722" s="1039"/>
      <c r="N722" s="1266"/>
      <c r="O722" s="8"/>
      <c r="P722" s="8"/>
    </row>
    <row r="723" spans="1:16" s="3" customFormat="1" ht="18" customHeight="1">
      <c r="A723" s="455">
        <v>689</v>
      </c>
      <c r="B723" s="124"/>
      <c r="C723" s="120"/>
      <c r="D723" s="483" t="s">
        <v>1091</v>
      </c>
      <c r="E723" s="122"/>
      <c r="F723" s="122"/>
      <c r="G723" s="123"/>
      <c r="H723" s="457"/>
      <c r="I723" s="1238">
        <f t="shared" si="7"/>
        <v>1500</v>
      </c>
      <c r="J723" s="1039"/>
      <c r="K723" s="1039"/>
      <c r="L723" s="1245">
        <f>SUM(L722)</f>
        <v>1500</v>
      </c>
      <c r="M723" s="1039"/>
      <c r="N723" s="1266"/>
      <c r="O723" s="8"/>
      <c r="P723" s="8"/>
    </row>
    <row r="724" spans="1:16" s="3" customFormat="1" ht="22.5" customHeight="1">
      <c r="A724" s="455">
        <v>690</v>
      </c>
      <c r="B724" s="124"/>
      <c r="C724" s="120">
        <v>135</v>
      </c>
      <c r="D724" s="126" t="s">
        <v>363</v>
      </c>
      <c r="E724" s="122"/>
      <c r="F724" s="122">
        <v>451</v>
      </c>
      <c r="G724" s="123">
        <v>0</v>
      </c>
      <c r="H724" s="457" t="s">
        <v>23</v>
      </c>
      <c r="I724" s="1038"/>
      <c r="J724" s="1039"/>
      <c r="K724" s="1039"/>
      <c r="L724" s="1039"/>
      <c r="M724" s="1039"/>
      <c r="N724" s="1040"/>
      <c r="O724" s="8"/>
      <c r="P724" s="8"/>
    </row>
    <row r="725" spans="1:16" s="3" customFormat="1" ht="22.5" customHeight="1">
      <c r="A725" s="455">
        <v>691</v>
      </c>
      <c r="B725" s="124"/>
      <c r="C725" s="120">
        <v>136</v>
      </c>
      <c r="D725" s="126" t="s">
        <v>364</v>
      </c>
      <c r="E725" s="122"/>
      <c r="F725" s="122">
        <v>259</v>
      </c>
      <c r="G725" s="123">
        <v>0</v>
      </c>
      <c r="H725" s="457" t="s">
        <v>23</v>
      </c>
      <c r="I725" s="1038"/>
      <c r="J725" s="1039"/>
      <c r="K725" s="1039"/>
      <c r="L725" s="1039"/>
      <c r="M725" s="1039"/>
      <c r="N725" s="1040"/>
      <c r="O725" s="8"/>
      <c r="P725" s="8"/>
    </row>
    <row r="726" spans="1:16" s="3" customFormat="1" ht="22.5" customHeight="1">
      <c r="A726" s="455">
        <v>692</v>
      </c>
      <c r="B726" s="124"/>
      <c r="C726" s="120">
        <v>137</v>
      </c>
      <c r="D726" s="126" t="s">
        <v>460</v>
      </c>
      <c r="E726" s="122"/>
      <c r="F726" s="122">
        <v>480</v>
      </c>
      <c r="G726" s="123">
        <v>0</v>
      </c>
      <c r="H726" s="457" t="s">
        <v>23</v>
      </c>
      <c r="I726" s="879"/>
      <c r="J726" s="1039"/>
      <c r="K726" s="1039"/>
      <c r="L726" s="1039"/>
      <c r="M726" s="1039"/>
      <c r="N726" s="1040"/>
      <c r="O726" s="8"/>
      <c r="P726" s="8"/>
    </row>
    <row r="727" spans="1:16" s="3" customFormat="1" ht="22.5" customHeight="1">
      <c r="A727" s="455">
        <v>693</v>
      </c>
      <c r="B727" s="124"/>
      <c r="C727" s="120">
        <v>138</v>
      </c>
      <c r="D727" s="126" t="s">
        <v>528</v>
      </c>
      <c r="E727" s="122"/>
      <c r="F727" s="122">
        <v>362</v>
      </c>
      <c r="G727" s="123">
        <v>0</v>
      </c>
      <c r="H727" s="457" t="s">
        <v>23</v>
      </c>
      <c r="I727" s="879"/>
      <c r="J727" s="1039"/>
      <c r="K727" s="1039"/>
      <c r="L727" s="1039"/>
      <c r="M727" s="1039"/>
      <c r="N727" s="1040"/>
      <c r="O727" s="8"/>
      <c r="P727" s="8"/>
    </row>
    <row r="728" spans="1:16" s="3" customFormat="1" ht="22.5" customHeight="1">
      <c r="A728" s="455">
        <v>694</v>
      </c>
      <c r="B728" s="124"/>
      <c r="C728" s="120">
        <v>139</v>
      </c>
      <c r="D728" s="126" t="s">
        <v>461</v>
      </c>
      <c r="E728" s="122"/>
      <c r="F728" s="122">
        <v>400</v>
      </c>
      <c r="G728" s="123">
        <v>0</v>
      </c>
      <c r="H728" s="457" t="s">
        <v>23</v>
      </c>
      <c r="I728" s="879"/>
      <c r="J728" s="1039"/>
      <c r="K728" s="1039"/>
      <c r="L728" s="1039"/>
      <c r="M728" s="1039"/>
      <c r="N728" s="1040"/>
      <c r="O728" s="8"/>
      <c r="P728" s="8"/>
    </row>
    <row r="729" spans="1:16" s="3" customFormat="1" ht="22.5" customHeight="1">
      <c r="A729" s="455">
        <v>695</v>
      </c>
      <c r="B729" s="124"/>
      <c r="C729" s="120">
        <v>140</v>
      </c>
      <c r="D729" s="126" t="s">
        <v>462</v>
      </c>
      <c r="E729" s="122"/>
      <c r="F729" s="122">
        <v>738</v>
      </c>
      <c r="G729" s="123">
        <v>0</v>
      </c>
      <c r="H729" s="457" t="s">
        <v>23</v>
      </c>
      <c r="I729" s="879"/>
      <c r="J729" s="1039"/>
      <c r="K729" s="1039"/>
      <c r="L729" s="1039"/>
      <c r="M729" s="1039"/>
      <c r="N729" s="1040"/>
      <c r="O729" s="8"/>
      <c r="P729" s="8"/>
    </row>
    <row r="730" spans="1:16" s="3" customFormat="1" ht="22.5" customHeight="1">
      <c r="A730" s="455">
        <v>696</v>
      </c>
      <c r="B730" s="124"/>
      <c r="C730" s="120">
        <v>141</v>
      </c>
      <c r="D730" s="126" t="s">
        <v>392</v>
      </c>
      <c r="E730" s="122"/>
      <c r="F730" s="122">
        <v>100</v>
      </c>
      <c r="G730" s="123">
        <v>0</v>
      </c>
      <c r="H730" s="457" t="s">
        <v>23</v>
      </c>
      <c r="I730" s="1038"/>
      <c r="J730" s="1039"/>
      <c r="K730" s="1039"/>
      <c r="L730" s="1039"/>
      <c r="M730" s="1039"/>
      <c r="N730" s="1040"/>
      <c r="O730" s="8"/>
      <c r="P730" s="8"/>
    </row>
    <row r="731" spans="1:14" s="8" customFormat="1" ht="22.5" customHeight="1">
      <c r="A731" s="455">
        <v>697</v>
      </c>
      <c r="B731" s="124"/>
      <c r="C731" s="120">
        <v>142</v>
      </c>
      <c r="D731" s="121" t="s">
        <v>385</v>
      </c>
      <c r="E731" s="122">
        <v>2112</v>
      </c>
      <c r="F731" s="122">
        <v>0</v>
      </c>
      <c r="G731" s="123">
        <v>159</v>
      </c>
      <c r="H731" s="457" t="s">
        <v>22</v>
      </c>
      <c r="I731" s="879"/>
      <c r="J731" s="1033"/>
      <c r="K731" s="1033"/>
      <c r="L731" s="1033"/>
      <c r="M731" s="1033"/>
      <c r="N731" s="1034"/>
    </row>
    <row r="732" spans="1:16" s="139" customFormat="1" ht="22.5" customHeight="1">
      <c r="A732" s="455">
        <v>698</v>
      </c>
      <c r="B732" s="138"/>
      <c r="C732" s="120">
        <v>143</v>
      </c>
      <c r="D732" s="121" t="s">
        <v>108</v>
      </c>
      <c r="E732" s="149"/>
      <c r="F732" s="149"/>
      <c r="G732" s="149">
        <v>49</v>
      </c>
      <c r="H732" s="459" t="s">
        <v>23</v>
      </c>
      <c r="I732" s="879"/>
      <c r="J732" s="1036"/>
      <c r="K732" s="1036"/>
      <c r="L732" s="1036"/>
      <c r="M732" s="1036"/>
      <c r="N732" s="1037"/>
      <c r="O732" s="115"/>
      <c r="P732" s="8"/>
    </row>
    <row r="733" spans="1:16" s="3" customFormat="1" ht="22.5" customHeight="1">
      <c r="A733" s="455">
        <v>699</v>
      </c>
      <c r="B733" s="119"/>
      <c r="C733" s="120">
        <v>144</v>
      </c>
      <c r="D733" s="121" t="s">
        <v>90</v>
      </c>
      <c r="E733" s="122">
        <v>21955</v>
      </c>
      <c r="F733" s="122">
        <v>0</v>
      </c>
      <c r="G733" s="123">
        <v>0</v>
      </c>
      <c r="H733" s="457" t="s">
        <v>23</v>
      </c>
      <c r="I733" s="879"/>
      <c r="J733" s="1033"/>
      <c r="K733" s="1033"/>
      <c r="L733" s="1033"/>
      <c r="M733" s="1033"/>
      <c r="N733" s="1034"/>
      <c r="P733" s="8"/>
    </row>
    <row r="734" spans="1:16" s="1067" customFormat="1" ht="22.5" customHeight="1">
      <c r="A734" s="455">
        <v>700</v>
      </c>
      <c r="B734" s="119"/>
      <c r="C734" s="120">
        <v>145</v>
      </c>
      <c r="D734" s="1074" t="s">
        <v>337</v>
      </c>
      <c r="E734" s="122">
        <v>135683</v>
      </c>
      <c r="F734" s="122">
        <v>70760</v>
      </c>
      <c r="G734" s="123">
        <v>70760</v>
      </c>
      <c r="H734" s="457" t="s">
        <v>22</v>
      </c>
      <c r="I734" s="879"/>
      <c r="J734" s="1033"/>
      <c r="K734" s="1033"/>
      <c r="L734" s="1033"/>
      <c r="M734" s="1033"/>
      <c r="N734" s="1034"/>
      <c r="O734" s="3"/>
      <c r="P734" s="1066"/>
    </row>
    <row r="735" spans="1:14" s="1066" customFormat="1" ht="22.5" customHeight="1">
      <c r="A735" s="455">
        <v>701</v>
      </c>
      <c r="B735" s="138"/>
      <c r="C735" s="120">
        <v>146</v>
      </c>
      <c r="D735" s="126" t="s">
        <v>504</v>
      </c>
      <c r="E735" s="149"/>
      <c r="F735" s="127">
        <v>41919</v>
      </c>
      <c r="G735" s="150">
        <v>14960</v>
      </c>
      <c r="H735" s="459" t="s">
        <v>22</v>
      </c>
      <c r="I735" s="879"/>
      <c r="J735" s="1036"/>
      <c r="K735" s="1036"/>
      <c r="L735" s="1036"/>
      <c r="M735" s="1036"/>
      <c r="N735" s="1037"/>
    </row>
    <row r="736" spans="1:14" s="1066" customFormat="1" ht="22.5" customHeight="1">
      <c r="A736" s="455">
        <v>702</v>
      </c>
      <c r="B736" s="138"/>
      <c r="C736" s="120">
        <v>147</v>
      </c>
      <c r="D736" s="126" t="s">
        <v>362</v>
      </c>
      <c r="E736" s="149">
        <v>268</v>
      </c>
      <c r="F736" s="127">
        <v>509</v>
      </c>
      <c r="G736" s="150">
        <v>0</v>
      </c>
      <c r="H736" s="457" t="s">
        <v>23</v>
      </c>
      <c r="I736" s="879"/>
      <c r="J736" s="1036"/>
      <c r="K736" s="1036"/>
      <c r="L736" s="1036"/>
      <c r="M736" s="1036"/>
      <c r="N736" s="1037"/>
    </row>
    <row r="737" spans="1:16" s="1067" customFormat="1" ht="22.5" customHeight="1">
      <c r="A737" s="455">
        <v>703</v>
      </c>
      <c r="B737" s="119"/>
      <c r="C737" s="120">
        <v>148</v>
      </c>
      <c r="D737" s="121" t="s">
        <v>383</v>
      </c>
      <c r="E737" s="122">
        <v>1000</v>
      </c>
      <c r="F737" s="122">
        <v>0</v>
      </c>
      <c r="G737" s="123">
        <v>0</v>
      </c>
      <c r="H737" s="457" t="s">
        <v>23</v>
      </c>
      <c r="I737" s="1038"/>
      <c r="J737" s="1039"/>
      <c r="K737" s="1039"/>
      <c r="L737" s="1039"/>
      <c r="M737" s="1039"/>
      <c r="N737" s="1040"/>
      <c r="O737" s="1066"/>
      <c r="P737" s="1066"/>
    </row>
    <row r="738" spans="1:16" s="1067" customFormat="1" ht="22.5" customHeight="1" thickBot="1">
      <c r="A738" s="455">
        <v>704</v>
      </c>
      <c r="B738" s="137"/>
      <c r="C738" s="120">
        <v>149</v>
      </c>
      <c r="D738" s="126" t="s">
        <v>459</v>
      </c>
      <c r="E738" s="149"/>
      <c r="F738" s="149">
        <v>4000</v>
      </c>
      <c r="G738" s="150"/>
      <c r="H738" s="459" t="s">
        <v>23</v>
      </c>
      <c r="I738" s="879"/>
      <c r="J738" s="1036"/>
      <c r="K738" s="1036"/>
      <c r="L738" s="1036"/>
      <c r="M738" s="1036"/>
      <c r="N738" s="1037"/>
      <c r="O738" s="1066"/>
      <c r="P738" s="1066"/>
    </row>
    <row r="739" spans="1:16" s="87" customFormat="1" ht="19.5" customHeight="1" thickTop="1">
      <c r="A739" s="455">
        <v>705</v>
      </c>
      <c r="B739" s="1255"/>
      <c r="C739" s="1256"/>
      <c r="D739" s="2222" t="s">
        <v>13</v>
      </c>
      <c r="E739" s="2223"/>
      <c r="F739" s="2223"/>
      <c r="G739" s="2224"/>
      <c r="H739" s="1257"/>
      <c r="I739" s="1258"/>
      <c r="J739" s="1258"/>
      <c r="K739" s="1258"/>
      <c r="L739" s="1258"/>
      <c r="M739" s="1258"/>
      <c r="N739" s="1268"/>
      <c r="O739" s="446"/>
      <c r="P739" s="8"/>
    </row>
    <row r="740" spans="1:16" s="1075" customFormat="1" ht="19.5" customHeight="1">
      <c r="A740" s="455">
        <v>706</v>
      </c>
      <c r="B740" s="448"/>
      <c r="C740" s="1262"/>
      <c r="D740" s="2196" t="s">
        <v>283</v>
      </c>
      <c r="E740" s="2197"/>
      <c r="F740" s="2197"/>
      <c r="G740" s="2198"/>
      <c r="H740" s="457"/>
      <c r="I740" s="639">
        <f>SUM(J740:N740)</f>
        <v>5426646</v>
      </c>
      <c r="J740" s="1403">
        <f>J688+J683+J678+J673+J664+J632+J626+J621+J616+J611+J606+J601+J596+J591+J586+J581+J576+J571+J566+J561+J556+J551+J546+J538+J533+J528+J523+J517+J511+J506+J501+J496+J491+J485+J480+J474+J469+J463+J458+J451+J446+J441+J436+J431+J424+J419+J414+J409+J404+J399+J393+J388+J383+J377+J372+J366+J361+J356+J351+J346+J341+J336+J331+J276+J271+J266+J261+J256+J237+J220+J215+J210+J205+J200+J195+J190+J185+J180+J175+J170+J165+J125+J119+J114+J109+J104+J88+J83+J52+J27+J22+J16+J11</f>
        <v>155795</v>
      </c>
      <c r="K740" s="1403">
        <f>K688+K683+K678+K673+K664+K632+K626+K621+K616+K611+K606+K601+K596+K591+K586+K581+K576+K571+K566+K561+K556+K551+K546+K538+K533+K528+K523+K517+K511+K506+K501+K496+K491+K485+K480+K474+K469+K463+K458+K451+K446+K441+K436+K431+K424+K419+K414+K409+K404+K399+K393+K388+K383+K377+K372+K366+K361+K356+K351+K346+K341+K336+K331+K276+K271+K266+K261+K256+K237+K220+K215+K210+K205+K200+K195+K190+K185+K180+K175+K170+K165+K125+K119+K114+K109+K104+K88+K83+K52+K27+K22+K16+K11</f>
        <v>23456</v>
      </c>
      <c r="L740" s="1403">
        <f>L688+L683+L678+L673+L664+L632+L626+L621+L616+L611+L606+L601+L596+L591+L586+L581+L576+L571+L566+L561+L556+L551+L546+L538+L533+L528+L523+L517+L511+L506+L501+L496+L491+L485+L480+L474+L469+L463+L458+L451+L446+L441+L436+L431+L424+L419+L414+L409+L404+L399+L393+L388+L383+L377+L372+L366+L361+L356+L351+L346+L341+L336+L331+L276+L271+L266+L261+L256+L237+L220+L215+L210+L205+L200+L195+L190+L185+L180+L175+L170+L165+L125+L119+L114+L109+L104+L88+L83+L52+L27+L22+L16+L11</f>
        <v>1768220</v>
      </c>
      <c r="M740" s="1403">
        <f>M688+M683+M678+M673+M664+M632+M626+M621+M616+M611+M606+M601+M596+M591+M586+M581+M576+M571+M566+M561+M556+M551+M546+M538+M533+M528+M523+M517+M511+M506+M501+M496+M491+M485+M480+M474+M469+M463+M458+M451+M446+M441+M436+M431+M424+M419+M414+M409+M404+M399+M393+M388+M383+M377+M372+M366+M361+M356+M351+M346+M341+M336+M331+M276+M271+M266+M261+M256+M237+M220+M215+M210+M205+M200+M195+M190+M185+M180+M175+M170+M165+M125+M119+M114+M109+M104+M88+M83+M52+M27+M22+M16+M11</f>
        <v>36460</v>
      </c>
      <c r="N740" s="1490">
        <f>N688+N683+N678+N673+N664+N632+N626+N621+N616+N611+N606+N601+N596+N591+N586+N581+N576+N571+N566+N561+N556+N551+N546+N538+N533+N528+N523+N517+N511+N506+N501+N496+N491+N485+N480+N474+N469+N463+N458+N451+N446+N441+N436+N431+N424+N419+N414+N409+N404+N399+N393+N388+N383+N377+N372+N366+N361+N356+N351+N346+N341+N336+N331+N276+N271+N266+N261+N256+N237+N220+N215+N210+N205+N200+N195+N190+N185+N180+N175+N170+N165+N125+N119+N114+N109+N104+N88+N83+N52+N27+N22+N16+N11</f>
        <v>3442715</v>
      </c>
      <c r="O740" s="1076"/>
      <c r="P740" s="8"/>
    </row>
    <row r="741" spans="1:16" s="1656" customFormat="1" ht="19.5" customHeight="1">
      <c r="A741" s="455">
        <v>707</v>
      </c>
      <c r="B741" s="1259"/>
      <c r="C741" s="1260"/>
      <c r="D741" s="2204" t="s">
        <v>938</v>
      </c>
      <c r="E741" s="2205"/>
      <c r="F741" s="2205"/>
      <c r="G741" s="2206"/>
      <c r="H741" s="1261"/>
      <c r="I741" s="1200">
        <f>SUM(J741:N741)</f>
        <v>6174313</v>
      </c>
      <c r="J741" s="1680">
        <f>J689+J684+J679+J674+J665+J633+J627+J622+J617+J612+J607+J602+J597+J592+J587+J582+J577+J572+J567+J562+J557+J552+J547+J539+J534+J529+J524+J518+J512+J507+J502+J497+J492+J486+J481+J475+J470+J464+J459+J452+J447+J442+J437+J432+J425+J420+J415+J410+J405+J400+J394+J389+J384+J378+J373+J367+J362+J357+J352+J347+J342+J337+J332+J277+J272+J267+J262+J257+J238+J221+J216+J211+J206+J201+J196+J191+J186+J181+J176+J171+J166+J126+J120+J115+J110+J105+J89+J84+J53+J28+J23+J17+J12+J705+J701+J697+J693+J669+J93+J718+J714+J710+J32</f>
        <v>195504</v>
      </c>
      <c r="K741" s="1680">
        <f>K689+K684+K679+K674+K665+K633+K627+K622+K617+K612+K607+K602+K597+K592+K587+K582+K577+K572+K567+K562+K557+K552+K547+K539+K534+K529+K524+K518+K512+K507+K502+K497+K492+K486+K481+K475+K470+K464+K459+K452+K447+K442+K437+K432+K425+K420+K415+K410+K405+K400+K394+K389+K384+K378+K373+K367+K362+K357+K352+K347+K342+K337+K332+K277+K272+K267+K262+K257+K238+K221+K216+K211+K206+K201+K196+K191+K186+K181+K176+K171+K166+K126+K120+K115+K110+K105+K89+K84+K53+K28+K23+K17+K12+K705+K701+K697+K693+K669+K93+K718+K714+K710+K32</f>
        <v>36391</v>
      </c>
      <c r="L741" s="1680">
        <f>L689+L684+L679+L674+L665+L633+L627+L622+L617+L612+L607+L602+L597+L592+L587+L582+L577+L572+L567+L562+L557+L552+L547+L539+L534+L529+L524+L518+L512+L507+L502+L497+L492+L486+L481+L475+L470+L464+L459+L452+L447+L442+L437+L432+L425+L420+L415+L410+L405+L400+L394+L389+L384+L378+L373+L367+L362+L357+L352+L347+L342+L337+L332+L277+L272+L267+L262+L257+L238+L221+L216+L211+L206+L201+L196+L191+L186+L181+L176+L171+L166+L126+L120+L115+L110+L105+L89+L84+L53+L28+L23+L17+L12+L705+L701+L697+L693+L669+L93+L718+L714+L710+L32</f>
        <v>1935795</v>
      </c>
      <c r="M741" s="1680">
        <f>M689+M684+M679+M674+M665+M633+M627+M622+M617+M612+M607+M602+M597+M592+M587+M582+M577+M572+M567+M562+M557+M552+M547+M539+M534+M529+M524+M518+M512+M507+M502+M497+M492+M486+M481+M475+M470+M464+M459+M452+M447+M442+M437+M432+M425+M420+M415+M410+M405+M400+M394+M389+M384+M378+M373+M367+M362+M357+M352+M347+M342+M337+M332+M277+M272+M267+M262+M257+M238+M221+M216+M211+M206+M201+M196+M191+M186+M181+M176+M171+M166+M126+M120+M115+M110+M105+M89+M84+M53+M28+M23+M17+M12+M705+M701+M697+M693+M669+M93+M718+M714+M710+M32</f>
        <v>47418</v>
      </c>
      <c r="N741" s="1741">
        <f>N689+N684+N679+N674+N665+N633+N627+N622+N617+N612+N607+N602+N597+N592+N587+N582+N577+N572+N567+N562+N557+N552+N547+N539+N534+N529+N524+N518+N512+N507+N502+N497+N492+N486+N481+N475+N470+N464+N459+N452+N447+N442+N437+N432+N425+N420+N415+N410+N405+N400+N394+N389+N384+N378+N373+N367+N362+N357+N352+N347+N342+N337+N332+N277+N272+N267+N262+N257+N238+N221+N216+N211+N206+N201+N196+N191+N186+N181+N176+N171+N166+N126+N120+N115+N110+N105+N89+N84+N53+N28+N23+N17+N12+N705+N701+N697+N693+N669+N93+N718+N714+N710+N32</f>
        <v>3959205</v>
      </c>
      <c r="O741" s="1657"/>
      <c r="P741" s="8"/>
    </row>
    <row r="742" spans="1:16" s="1075" customFormat="1" ht="19.5" customHeight="1">
      <c r="A742" s="455">
        <v>708</v>
      </c>
      <c r="B742" s="448"/>
      <c r="C742" s="1262"/>
      <c r="D742" s="2188" t="s">
        <v>674</v>
      </c>
      <c r="E742" s="2189"/>
      <c r="F742" s="2189"/>
      <c r="G742" s="2190"/>
      <c r="H742" s="457"/>
      <c r="I742" s="1240">
        <f>SUM(J742:N742)</f>
        <v>114022</v>
      </c>
      <c r="J742" s="1274">
        <f>J690+J685+J680+J675+J666+J634+J628+J623+J618+J613+J608+J603+J598+J593+J588+J583+J578+J573+J568+J563+J558+J553+J548+J540+J535+J530+J525+J519+J513+J508+J503+J498+J493+J487+J482+J476+J471+J465+J460+J453+J448+J443+J438+J433+J426+J421+J416+J411+J406+J401+J395+J390+J385+J379+J374+J368+J363+J358+J353+J348+J343+J338+J333+J278+J273+J268+J263+J258+J239+J222+J217+J212+J207+J202+J197+J192+J187+J182+J177+J172+J167+J127+J121+J116+J111+J106+J90+J85+J54+J29+J24+J18+J13+J369+J694+J670+J698+J702+J706+J94+J33+J711+J707+J715+J719+J427+J428+J722+J488</f>
        <v>963</v>
      </c>
      <c r="K742" s="1274">
        <f>K690+K685+K680+K675+K666+K634+K628+K623+K618+K613+K608+K603+K598+K593+K588+K583+K578+K573+K568+K563+K558+K553+K548+K540+K535+K530+K525+K519+K513+K508+K503+K498+K493+K487+K482+K476+K471+K465+K460+K453+K448+K443+K438+K433+K426+K421+K416+K411+K406+K401+K395+K390+K385+K379+K374+K368+K363+K358+K353+K348+K343+K338+K333+K278+K273+K268+K263+K258+K239+K222+K217+K212+K207+K202+K197+K192+K187+K182+K177+K172+K167+K127+K121+K116+K111+K106+K90+K85+K54+K29+K24+K18+K13+K369+K694+K670+K698+K702+K706+K94+K33+K711+K707+K715+K719+K427+K428+K722+K488</f>
        <v>116</v>
      </c>
      <c r="L742" s="1274">
        <f>L690+L685+L680+L675+L666+L634+L628+L623+L618+L613+L608+L603+L598+L593+L588+L583+L578+L573+L568+L563+L558+L553+L548+L540+L535+L530+L525+L519+L513+L508+L503+L498+L493+L487+L482+L476+L471+L465+L460+L453+L448+L443+L438+L433+L426+L421+L416+L411+L406+L401+L395+L390+L385+L379+L374+L368+L363+L358+L353+L348+L343+L338+L333+L278+L273+L268+L263+L258+L239+L222+L217+L212+L207+L202+L197+L192+L187+L182+L177+L172+L167+L127+L121+L116+L111+L106+L90+L85+L54+L29+L24+L18+L13+L369+L694+L670+L698+L702+L706+L94+L33+L711+L707+L715+L719+L427+L428+L722+L488</f>
        <v>7458</v>
      </c>
      <c r="M742" s="1274">
        <f>M690+M685+M680+M675+M666+M634+M628+M623+M618+M613+M608+M603+M598+M593+M588+M583+M578+M573+M568+M563+M558+M553+M548+M540+M535+M530+M525+M519+M513+M508+M503+M498+M493+M487+M482+M476+M471+M465+M460+M453+M448+M443+M438+M433+M426+M421+M416+M411+M406+M401+M395+M390+M385+M379+M374+M368+M363+M358+M353+M348+M343+M338+M333+M278+M273+M268+M263+M258+M239+M222+M217+M212+M207+M202+M197+M192+M187+M182+M177+M172+M167+M127+M121+M116+M111+M106+M90+M85+M54+M29+M24+M18+M13+M369+M694+M670+M698+M702+M706+M94+M33+M711+M707+M715+M719+M427+M428+M722+M488</f>
        <v>0</v>
      </c>
      <c r="N742" s="1986">
        <f>N690+N685+N680+N675+N666+N634+N628+N623+N618+N613+N608+N603+N598+N593+N588+N583+N578+N573+N568+N563+N558+N553+N548+N540+N535+N530+N525+N519+N513+N508+N503+N498+N493+N487+N482+N476+N471+N465+N460+N453+N448+N443+N438+N433+N426+N421+N416+N411+N406+N401+N395+N390+N385+N379+N374+N368+N363+N358+N353+N348+N343+N338+N333+N278+N273+N268+N263+N258+N239+N222+N217+N212+N207+N202+N197+N192+N187+N182+N177+N172+N167+N127+N121+N116+N111+N106+N90+N85+N54+N29+N24+N18+N13+N369+N694+N670+N698+N702+N706+N94+N33+N711+N707+N715+N719+N427+N428+N722+N488</f>
        <v>105485</v>
      </c>
      <c r="O742" s="1076"/>
      <c r="P742" s="8"/>
    </row>
    <row r="743" spans="1:16" s="1075" customFormat="1" ht="19.5" customHeight="1" thickBot="1">
      <c r="A743" s="455">
        <v>709</v>
      </c>
      <c r="B743" s="1263"/>
      <c r="C743" s="1264"/>
      <c r="D743" s="2191" t="s">
        <v>1091</v>
      </c>
      <c r="E743" s="2192"/>
      <c r="F743" s="2192"/>
      <c r="G743" s="2193"/>
      <c r="H743" s="1265"/>
      <c r="I743" s="1238">
        <f>SUM(J743:N743)</f>
        <v>6288335</v>
      </c>
      <c r="J743" s="1273">
        <f>SUM(J741:J742)</f>
        <v>196467</v>
      </c>
      <c r="K743" s="1273">
        <f>SUM(K741:K742)</f>
        <v>36507</v>
      </c>
      <c r="L743" s="1273">
        <f>SUM(L741:L742)</f>
        <v>1943253</v>
      </c>
      <c r="M743" s="1273">
        <f>SUM(M741:M742)</f>
        <v>47418</v>
      </c>
      <c r="N743" s="1742">
        <f>SUM(N741:N742)</f>
        <v>4064690</v>
      </c>
      <c r="O743" s="1076"/>
      <c r="P743" s="8"/>
    </row>
    <row r="744" spans="1:16" s="87" customFormat="1" ht="18" customHeight="1" thickTop="1">
      <c r="A744" s="455">
        <v>710</v>
      </c>
      <c r="B744" s="90"/>
      <c r="C744" s="91"/>
      <c r="D744" s="2227" t="s">
        <v>109</v>
      </c>
      <c r="E744" s="2228"/>
      <c r="F744" s="2228"/>
      <c r="G744" s="2229"/>
      <c r="H744" s="460"/>
      <c r="I744" s="1270"/>
      <c r="J744" s="1051"/>
      <c r="K744" s="1051"/>
      <c r="L744" s="1051"/>
      <c r="M744" s="1051"/>
      <c r="N744" s="1072"/>
      <c r="O744" s="446"/>
      <c r="P744" s="8"/>
    </row>
    <row r="745" spans="1:16" s="920" customFormat="1" ht="18" customHeight="1">
      <c r="A745" s="455">
        <v>711</v>
      </c>
      <c r="B745" s="884"/>
      <c r="C745" s="885"/>
      <c r="D745" s="2196" t="s">
        <v>283</v>
      </c>
      <c r="E745" s="2197"/>
      <c r="F745" s="2197"/>
      <c r="G745" s="2198"/>
      <c r="H745" s="889"/>
      <c r="I745" s="639">
        <f>SUM(J745:N745)</f>
        <v>4698100</v>
      </c>
      <c r="J745" s="880">
        <f>J632+J626+J621+J616+J606+J601+J596+J591+J586+J581+J576+J571+J566+J561+J556+J551+J546+J538+J533+J528+J523+J511+J506+J501+J496+J485+J441+J431+J419+J414+J404+J399+J372+J366+J361+J356+J351+J331+J281+J271+J266+J261+J190+J180+J11+J424+J195+J185</f>
        <v>148380</v>
      </c>
      <c r="K745" s="880">
        <f>K632+K626+K621+K616+K606+K601+K596+K591+K586+K581+K576+K571+K566+K561+K556+K551+K546+K538+K533+K528+K523+K511+K506+K501+K496+K485+K441+K431+K419+K414+K404+K399+K372+K366+K361+K356+K351+K331+K281+K271+K266+K261+K190+K180+K11+K424+K195+K185</f>
        <v>22676</v>
      </c>
      <c r="L745" s="880">
        <f>L632+L626+L621+L616+L606+L601+L596+L591+L586+L581+L576+L571+L566+L561+L556+L551+L546+L538+L533+L528+L523+L511+L506+L501+L496+L485+L441+L431+L419+L414+L404+L399+L372+L366+L361+L356+L351+L331+L281+L271+L266+L261+L190+L180+L11+L424+L195+L185</f>
        <v>1376129</v>
      </c>
      <c r="M745" s="880">
        <f>M632+M626+M621+M616+M606+M601+M596+M591+M586+M581+M576+M571+M566+M561+M556+M551+M546+M538+M533+M528+M523+M511+M506+M501+M496+M485+M441+M431+M419+M414+M404+M399+M372+M366+M361+M356+M351+M331+M281+M271+M266+M261+M190+M180+M11+M424+M195+M185</f>
        <v>8600</v>
      </c>
      <c r="N745" s="881">
        <f>N632+N626+N621+N616+N606+N601+N596+N591+N586+N581+N576+N571+N566+N561+N556+N551+N546+N538+N533+N528+N523+N511+N506+N501+N496+N485+N441+N431+N419+N414+N404+N399+N372+N366+N361+N356+N351+N331+N281+N271+N266+N261+N190+N180+N11+N424+N195+N185</f>
        <v>3142315</v>
      </c>
      <c r="O745" s="890"/>
      <c r="P745" s="890"/>
    </row>
    <row r="746" spans="1:16" s="920" customFormat="1" ht="18" customHeight="1">
      <c r="A746" s="455">
        <v>712</v>
      </c>
      <c r="B746" s="884"/>
      <c r="C746" s="885"/>
      <c r="D746" s="2204" t="s">
        <v>938</v>
      </c>
      <c r="E746" s="2205"/>
      <c r="F746" s="2205"/>
      <c r="G746" s="2206"/>
      <c r="H746" s="889"/>
      <c r="I746" s="1200">
        <f>SUM(J746:N746)</f>
        <v>5436045</v>
      </c>
      <c r="J746" s="1245">
        <f>J633+J627+J622+J617+J607+J602+J597+J592+J587+J582+J577+J572+J567+J562+J557+J552+J547+J539+J534+J529+J524+J512+J507+J502+J497+J486+J442+J432+J420+J415+J405+J400+J373+J367+J362+J357+J352+J332+J282+J272+J267+J262+J191+J181+J12+J425+J196+J186+J48+J40</f>
        <v>187079</v>
      </c>
      <c r="K746" s="1245">
        <f>K633+K627+K622+K617+K607+K602+K597+K592+K587+K582+K577+K572+K567+K562+K557+K552+K547+K539+K534+K529+K524+K512+K507+K502+K497+K486+K442+K432+K420+K415+K405+K400+K373+K367+K362+K357+K352+K332+K282+K272+K267+K262+K191+K181+K12+K425+K196+K186+K48+K40</f>
        <v>35407</v>
      </c>
      <c r="L746" s="1245">
        <f>L633+L627+L622+L617+L607+L602+L597+L592+L587+L582+L577+L572+L567+L562+L557+L552+L547+L539+L534+L529+L524+L512+L507+L502+L497+L486+L442+L432+L420+L415+L405+L400+L373+L367+L362+L357+L352+L332+L282+L272+L267+L262+L191+L181+L12+L425+L196+L186+L48+L40</f>
        <v>1553705</v>
      </c>
      <c r="M746" s="1245">
        <f>M633+M627+M622+M617+M607+M602+M597+M592+M587+M582+M577+M572+M567+M562+M557+M552+M547+M539+M534+M529+M524+M512+M507+M502+M497+M486+M442+M432+M420+M415+M405+M400+M373+M367+M362+M357+M352+M332+M282+M272+M267+M262+M191+M181+M12+M425+M196+M186+M48+M40</f>
        <v>10608</v>
      </c>
      <c r="N746" s="1251">
        <f>N633+N627+N622+N617+N607+N602+N597+N592+N587+N582+N577+N572+N567+N562+N557+N552+N547+N539+N534+N529+N524+N512+N507+N502+N497+N486+N442+N432+N420+N415+N405+N400+N373+N367+N362+N357+N352+N332+N282+N272+N267+N262+N191+N181+N12+N425+N196+N186+N48+N40</f>
        <v>3649246</v>
      </c>
      <c r="O746" s="890"/>
      <c r="P746" s="890"/>
    </row>
    <row r="747" spans="1:16" s="920" customFormat="1" ht="18" customHeight="1">
      <c r="A747" s="455">
        <v>713</v>
      </c>
      <c r="B747" s="884"/>
      <c r="C747" s="885"/>
      <c r="D747" s="2188" t="s">
        <v>674</v>
      </c>
      <c r="E747" s="2189"/>
      <c r="F747" s="2189"/>
      <c r="G747" s="2190"/>
      <c r="H747" s="889"/>
      <c r="I747" s="1241">
        <f>SUM(J747:N747)</f>
        <v>113522</v>
      </c>
      <c r="J747" s="1247">
        <f>J634+J628+J623+J618+J608+J603+J598+J593+J588+J583+J578+J573+J568+J563+J558+J553+J548+J540+J535+J530+J525+J513+J508+J503+J498+J487+J443+J433+J421+J416+J406+J401+J374+J368+J363+J358+J353+J333+J283+J273+J268+J263+J192+J182+J13+J426+J197+J187+J369+J41+J49+J427+J428+J722+J488</f>
        <v>881</v>
      </c>
      <c r="K747" s="1247">
        <f>K634+K628+K623+K618+K608+K603+K598+K593+K588+K583+K578+K573+K568+K563+K558+K553+K548+K540+K535+K530+K525+K513+K508+K503+K498+K487+K443+K433+K421+K416+K406+K401+K374+K368+K363+K358+K353+K333+K283+K273+K268+K263+K192+K182+K13+K426+K197+K187+K369+K41+K49+K427+K428+K722+K488</f>
        <v>100</v>
      </c>
      <c r="L747" s="1247">
        <f>L634+L628+L623+L618+L608+L603+L598+L593+L588+L583+L578+L573+L568+L563+L558+L553+L548+L540+L535+L530+L525+L513+L508+L503+L498+L487+L443+L433+L421+L416+L406+L401+L374+L368+L363+L358+L353+L333+L283+L273+L268+L263+L192+L182+L13+L426+L197+L187+L369+L41+L49+L427+L428+L722+L488</f>
        <v>1556</v>
      </c>
      <c r="M747" s="1247">
        <f>M634+M628+M623+M618+M608+M603+M598+M593+M588+M583+M578+M573+M568+M563+M558+M553+M548+M540+M535+M530+M525+M513+M508+M503+M498+M487+M443+M433+M421+M416+M406+M401+M374+M368+M363+M358+M353+M333+M283+M273+M268+M263+M192+M182+M13+M426+M197+M187+M369+M41+M49+M427+M428+M722+M488</f>
        <v>0</v>
      </c>
      <c r="N747" s="1246">
        <f>N634+N628+N623+N618+N608+N603+N598+N593+N588+N583+N578+N573+N568+N563+N558+N553+N548+N540+N535+N530+N525+N513+N508+N503+N498+N487+N443+N433+N421+N416+N406+N401+N374+N368+N363+N358+N353+N333+N283+N273+N268+N263+N192+N182+N13+N426+N197+N187+N369+N41+N49+N427+N428+N722+N488</f>
        <v>110985</v>
      </c>
      <c r="O747" s="890"/>
      <c r="P747" s="890"/>
    </row>
    <row r="748" spans="1:16" s="920" customFormat="1" ht="18" customHeight="1">
      <c r="A748" s="455">
        <v>714</v>
      </c>
      <c r="B748" s="884"/>
      <c r="C748" s="885"/>
      <c r="D748" s="2059" t="s">
        <v>1091</v>
      </c>
      <c r="E748" s="2194"/>
      <c r="F748" s="2194"/>
      <c r="G748" s="2195"/>
      <c r="H748" s="889"/>
      <c r="I748" s="1238">
        <f>SUM(J748:N748)</f>
        <v>5549567</v>
      </c>
      <c r="J748" s="1245">
        <f>SUM(J746:J747)</f>
        <v>187960</v>
      </c>
      <c r="K748" s="1245">
        <f>SUM(K746:K747)</f>
        <v>35507</v>
      </c>
      <c r="L748" s="1245">
        <f>SUM(L746:L747)</f>
        <v>1555261</v>
      </c>
      <c r="M748" s="1245">
        <f>SUM(M746:M747)</f>
        <v>10608</v>
      </c>
      <c r="N748" s="1251">
        <f>SUM(N746:N747)</f>
        <v>3760231</v>
      </c>
      <c r="O748" s="890"/>
      <c r="P748" s="890"/>
    </row>
    <row r="749" spans="1:16" s="87" customFormat="1" ht="18" customHeight="1">
      <c r="A749" s="455">
        <v>715</v>
      </c>
      <c r="B749" s="92"/>
      <c r="C749" s="93"/>
      <c r="D749" s="2230" t="s">
        <v>110</v>
      </c>
      <c r="E749" s="2197"/>
      <c r="F749" s="2197"/>
      <c r="G749" s="2198"/>
      <c r="H749" s="461"/>
      <c r="I749" s="1052"/>
      <c r="J749" s="1033"/>
      <c r="K749" s="1033"/>
      <c r="L749" s="1033"/>
      <c r="M749" s="1033"/>
      <c r="N749" s="1034"/>
      <c r="O749" s="446"/>
      <c r="P749" s="8"/>
    </row>
    <row r="750" spans="1:16" s="925" customFormat="1" ht="18" customHeight="1">
      <c r="A750" s="455">
        <v>716</v>
      </c>
      <c r="B750" s="884"/>
      <c r="C750" s="885"/>
      <c r="D750" s="2196" t="s">
        <v>283</v>
      </c>
      <c r="E750" s="2197"/>
      <c r="F750" s="2197"/>
      <c r="G750" s="2198"/>
      <c r="H750" s="889"/>
      <c r="I750" s="1052">
        <f>SUM(J750:N750)</f>
        <v>728546</v>
      </c>
      <c r="J750" s="880">
        <f>J688+J683+J678+J673+J664+J611+J491+J480+J474+J469+J463+J458+J451+J446+J436+J409+J393+J388+J383+J377+J346+J341+J336+J326+J321+J316+J311+J306+J301+J296+J291+J286+J256+J237+J220+J215+J210+J205+J200+J175+J170+J165+J125+J119+J114+J109+J104+J88+J83+J52+J27+J22+J16+J517</f>
        <v>7415</v>
      </c>
      <c r="K750" s="880">
        <f>K688+K683+K678+K673+K664+K611+K491+K480+K474+K469+K463+K458+K451+K446+K436+K409+K393+K388+K383+K377+K346+K341+K336+K326+K321+K316+K311+K306+K301+K296+K291+K286+K256+K237+K220+K215+K210+K205+K200+K175+K170+K165+K125+K119+K114+K109+K104+K88+K83+K52+K27+K22+K16+K517</f>
        <v>780</v>
      </c>
      <c r="L750" s="880">
        <f>L688+L683+L678+L673+L664+L611+L491+L480+L474+L469+L463+L458+L451+L446+L436+L409+L393+L388+L383+L377+L346+L341+L336+L326+L321+L316+L311+L306+L301+L296+L291+L286+L256+L237+L220+L215+L210+L205+L200+L175+L170+L165+L125+L119+L114+L109+L104+L88+L83+L52+L27+L22+L16+L517</f>
        <v>392091</v>
      </c>
      <c r="M750" s="880">
        <f>M688+M683+M678+M673+M664+M611+M491+M480+M474+M469+M463+M458+M451+M446+M436+M409+M393+M388+M383+M377+M346+M341+M336+M326+M321+M316+M311+M306+M301+M296+M291+M286+M256+M237+M220+M215+M210+M205+M200+M175+M170+M165+M125+M119+M114+M109+M104+M88+M83+M52+M27+M22+M16+M517</f>
        <v>27860</v>
      </c>
      <c r="N750" s="881">
        <f>N688+N683+N678+N673+N664+N611+N491+N480+N474+N469+N463+N458+N451+N446+N436+N409+N393+N388+N383+N377+N346+N341+N336+N326+N321+N316+N311+N306+N301+N296+N291+N286+N256+N237+N220+N215+N210+N205+N200+N175+N170+N165+N125+N119+N114+N109+N104+N88+N83+N52+N27+N22+N16+N517</f>
        <v>300400</v>
      </c>
      <c r="O750" s="924"/>
      <c r="P750" s="890"/>
    </row>
    <row r="751" spans="1:16" s="925" customFormat="1" ht="18" customHeight="1">
      <c r="A751" s="455">
        <v>717</v>
      </c>
      <c r="B751" s="884"/>
      <c r="C751" s="885"/>
      <c r="D751" s="2204" t="s">
        <v>938</v>
      </c>
      <c r="E751" s="2205"/>
      <c r="F751" s="2205"/>
      <c r="G751" s="2206"/>
      <c r="H751" s="889"/>
      <c r="I751" s="1681">
        <f>SUM(J751:N751)</f>
        <v>738268</v>
      </c>
      <c r="J751" s="1245">
        <f>J689+J684+J679+J674+J665+J612+J492+J481+J475+J470+J464+J459+J452+J447+J437+J410+J394+J389+J384+J378+J347+J342+J337+J327+J322+J317+J312+J307+J302+J297+J292+J287+J257+J238+J221+J216+J211+J206+J201+J176+J171+J166+J126+J120+J115+J110+J105+J89+J84+J53+J28+J23+J17+J518+J705+J701+J697+J693+J669+J93+J718+J714+J710+J44+J36</f>
        <v>8425</v>
      </c>
      <c r="K751" s="1245">
        <f>K689+K684+K679+K674+K665+K612+K492+K481+K475+K470+K464+K459+K452+K447+K437+K410+K394+K389+K384+K378+K347+K342+K337+K327+K322+K317+K312+K307+K302+K297+K292+K287+K257+K238+K221+K216+K211+K206+K201+K176+K171+K166+K126+K120+K115+K110+K105+K89+K84+K53+K28+K23+K17+K518+K705+K701+K697+K693+K669+K93+K718+K714+K710+K44+K36</f>
        <v>984</v>
      </c>
      <c r="L751" s="1245">
        <f>L689+L684+L679+L674+L665+L612+L492+L481+L475+L470+L464+L459+L452+L447+L437+L410+L394+L389+L384+L378+L347+L342+L337+L327+L322+L317+L312+L307+L302+L297+L292+L287+L257+L238+L221+L216+L211+L206+L201+L176+L171+L166+L126+L120+L115+L110+L105+L89+L84+L53+L28+L23+L17+L518+L705+L701+L697+L693+L669+L93+L718+L714+L710+L44+L36</f>
        <v>382090</v>
      </c>
      <c r="M751" s="1245">
        <f>M689+M684+M679+M674+M665+M612+M492+M481+M475+M470+M464+M459+M452+M447+M437+M410+M394+M389+M384+M378+M347+M342+M337+M327+M322+M317+M312+M307+M302+M297+M292+M287+M257+M238+M221+M216+M211+M206+M201+M176+M171+M166+M126+M120+M115+M110+M105+M89+M84+M53+M28+M23+M17+M518+M705+M701+M697+M693+M669+M93+M718+M714+M710+M44+M36</f>
        <v>36810</v>
      </c>
      <c r="N751" s="1251">
        <f>N689+N684+N679+N674+N665+N612+N492+N481+N475+N470+N464+N459+N452+N447+N437+N410+N394+N389+N384+N378+N347+N342+N337+N327+N322+N317+N312+N307+N302+N297+N292+N287+N257+N238+N221+N216+N211+N206+N201+N176+N171+N166+N126+N120+N115+N110+N105+N89+N84+N53+N28+N23+N17+N518+N705+N701+N697+N693+N669+N93+N718+N714+N710+N44+N36</f>
        <v>309959</v>
      </c>
      <c r="O751" s="924"/>
      <c r="P751" s="890"/>
    </row>
    <row r="752" spans="1:16" s="925" customFormat="1" ht="18" customHeight="1">
      <c r="A752" s="455">
        <v>718</v>
      </c>
      <c r="B752" s="884"/>
      <c r="C752" s="885"/>
      <c r="D752" s="2188" t="s">
        <v>674</v>
      </c>
      <c r="E752" s="2189"/>
      <c r="F752" s="2189"/>
      <c r="G752" s="2190"/>
      <c r="H752" s="889"/>
      <c r="I752" s="1241">
        <f>SUM(J752:N752)</f>
        <v>500</v>
      </c>
      <c r="J752" s="1247">
        <f>J690+J685+J680+J675+J666+J613+J493+J482+J476+J471+J465+J460+J453+J448+J438+J411+J395+J390+J385+J379+J348+J343+J338+J328+J323+J318+J313+J308+J303+J298+J293+J288+J258+J239+J222+J217+J212+J207+J202+J177+J172+J167+J127+J121+J116+J111+J106+J90+J85+J54+J29+J24+J18+J519+J694+J670+J698+J702+J706+J94+J45+J37+J711+J707+J715+J719</f>
        <v>82</v>
      </c>
      <c r="K752" s="1247">
        <f>K690+K685+K680+K675+K666+K613+K493+K482+K476+K471+K465+K460+K453+K448+K438+K411+K395+K390+K385+K379+K348+K343+K338+K328+K323+K318+K313+K308+K303+K298+K293+K288+K258+K239+K222+K217+K212+K207+K202+K177+K172+K167+K127+K121+K116+K111+K106+K90+K85+K54+K29+K24+K18+K519+K694+K670+K698+K702+K706+K94+K45+K37+K711+K707+K715+K719</f>
        <v>16</v>
      </c>
      <c r="L752" s="1247">
        <f>L690+L685+L680+L675+L666+L613+L493+L482+L476+L471+L465+L460+L453+L448+L438+L411+L395+L390+L385+L379+L348+L343+L338+L328+L323+L318+L313+L308+L303+L298+L293+L288+L258+L239+L222+L217+L212+L207+L202+L177+L172+L167+L127+L121+L116+L111+L106+L90+L85+L54+L29+L24+L18+L519+L694+L670+L698+L702+L706+L94+L45+L37+L711+L707+L715+L719</f>
        <v>5902</v>
      </c>
      <c r="M752" s="1247">
        <f>M690+M685+M680+M675+M666+M613+M493+M482+M476+M471+M465+M460+M453+M448+M438+M411+M395+M390+M385+M379+M348+M343+M338+M328+M323+M318+M313+M308+M303+M298+M293+M288+M258+M239+M222+M217+M212+M207+M202+M177+M172+M167+M127+M121+M116+M111+M106+M90+M85+M54+M29+M24+M18+M519+M694+M670+M698+M702+M706+M94+M45+M37+M711+M707+M715+M719</f>
        <v>0</v>
      </c>
      <c r="N752" s="1246">
        <f>N690+N685+N680+N675+N666+N613+N493+N482+N476+N471+N465+N460+N453+N448+N438+N411+N395+N390+N385+N379+N348+N343+N338+N328+N323+N318+N313+N308+N303+N298+N293+N288+N258+N239+N222+N217+N212+N207+N202+N177+N172+N167+N127+N121+N116+N111+N106+N90+N85+N54+N29+N24+N18+N519+N694+N670+N698+N702+N706+N94+N45+N37+N711+N707+N715+N719</f>
        <v>-5500</v>
      </c>
      <c r="O752" s="924"/>
      <c r="P752" s="890"/>
    </row>
    <row r="753" spans="1:16" s="925" customFormat="1" ht="18" customHeight="1" thickBot="1">
      <c r="A753" s="455">
        <v>719</v>
      </c>
      <c r="B753" s="921"/>
      <c r="C753" s="922"/>
      <c r="D753" s="2185" t="s">
        <v>1091</v>
      </c>
      <c r="E753" s="2186"/>
      <c r="F753" s="2186"/>
      <c r="G753" s="2187"/>
      <c r="H753" s="923"/>
      <c r="I753" s="1272">
        <f>SUM(J753:N753)</f>
        <v>738768</v>
      </c>
      <c r="J753" s="1271">
        <f>SUM(J751:J752)</f>
        <v>8507</v>
      </c>
      <c r="K753" s="1271">
        <f>SUM(K751:K752)</f>
        <v>1000</v>
      </c>
      <c r="L753" s="1271">
        <f>SUM(L751:L752)</f>
        <v>387992</v>
      </c>
      <c r="M753" s="1271">
        <f>SUM(M751:M752)</f>
        <v>36810</v>
      </c>
      <c r="N753" s="1743">
        <f>SUM(N751:N752)</f>
        <v>304459</v>
      </c>
      <c r="O753" s="924"/>
      <c r="P753" s="890"/>
    </row>
    <row r="754" spans="1:14" ht="18" customHeight="1">
      <c r="A754" s="456"/>
      <c r="B754" s="2207" t="s">
        <v>26</v>
      </c>
      <c r="C754" s="2207"/>
      <c r="D754" s="2207"/>
      <c r="E754" s="117"/>
      <c r="F754" s="117"/>
      <c r="G754" s="117"/>
      <c r="H754" s="447"/>
      <c r="I754" s="118"/>
      <c r="J754" s="117"/>
      <c r="K754" s="117"/>
      <c r="L754" s="117"/>
      <c r="M754" s="117"/>
      <c r="N754" s="117"/>
    </row>
    <row r="755" spans="1:14" ht="18" customHeight="1">
      <c r="A755" s="456"/>
      <c r="B755" s="468" t="s">
        <v>27</v>
      </c>
      <c r="C755" s="468"/>
      <c r="D755" s="468"/>
      <c r="E755" s="117"/>
      <c r="F755" s="117"/>
      <c r="G755" s="117"/>
      <c r="H755" s="447"/>
      <c r="I755" s="118"/>
      <c r="J755" s="117"/>
      <c r="K755" s="117"/>
      <c r="L755" s="117"/>
      <c r="M755" s="117"/>
      <c r="N755" s="117"/>
    </row>
    <row r="756" spans="1:14" ht="18" customHeight="1">
      <c r="A756" s="456"/>
      <c r="B756" s="2207" t="s">
        <v>28</v>
      </c>
      <c r="C756" s="2207"/>
      <c r="D756" s="2207"/>
      <c r="E756" s="117"/>
      <c r="F756" s="117"/>
      <c r="G756" s="117"/>
      <c r="H756" s="447"/>
      <c r="I756" s="118"/>
      <c r="J756" s="117"/>
      <c r="K756" s="117"/>
      <c r="L756" s="117"/>
      <c r="M756" s="117"/>
      <c r="N756" s="117"/>
    </row>
    <row r="757" spans="4:14" ht="18" customHeight="1">
      <c r="D757" s="11"/>
      <c r="E757" s="293"/>
      <c r="F757" s="293"/>
      <c r="G757" s="293"/>
      <c r="H757" s="12"/>
      <c r="I757" s="293">
        <f aca="true" t="shared" si="8" ref="I757:N757">+I739-I744-I749</f>
        <v>0</v>
      </c>
      <c r="J757" s="293">
        <f t="shared" si="8"/>
        <v>0</v>
      </c>
      <c r="K757" s="293">
        <f t="shared" si="8"/>
        <v>0</v>
      </c>
      <c r="L757" s="293">
        <f t="shared" si="8"/>
        <v>0</v>
      </c>
      <c r="M757" s="293">
        <f t="shared" si="8"/>
        <v>0</v>
      </c>
      <c r="N757" s="293">
        <f t="shared" si="8"/>
        <v>0</v>
      </c>
    </row>
    <row r="758" spans="4:8" ht="18" customHeight="1">
      <c r="D758" s="11"/>
      <c r="E758" s="293"/>
      <c r="F758" s="293"/>
      <c r="G758" s="293"/>
      <c r="H758" s="12"/>
    </row>
    <row r="759" spans="4:8" ht="18" customHeight="1">
      <c r="D759" s="11"/>
      <c r="E759" s="293"/>
      <c r="F759" s="293"/>
      <c r="G759" s="293"/>
      <c r="H759" s="12"/>
    </row>
    <row r="760" spans="1:15" s="13" customFormat="1" ht="18" customHeight="1">
      <c r="A760" s="455"/>
      <c r="B760" s="3"/>
      <c r="C760" s="7"/>
      <c r="D760" s="11"/>
      <c r="E760" s="293"/>
      <c r="F760" s="293"/>
      <c r="G760" s="293"/>
      <c r="H760" s="12"/>
      <c r="J760" s="293"/>
      <c r="K760" s="293"/>
      <c r="L760" s="293"/>
      <c r="M760" s="293"/>
      <c r="N760" s="293"/>
      <c r="O760" s="4"/>
    </row>
    <row r="761" spans="1:15" s="13" customFormat="1" ht="18" customHeight="1">
      <c r="A761" s="455"/>
      <c r="B761" s="3"/>
      <c r="C761" s="7"/>
      <c r="D761" s="11"/>
      <c r="E761" s="293"/>
      <c r="F761" s="293"/>
      <c r="G761" s="293"/>
      <c r="H761" s="12"/>
      <c r="J761" s="293"/>
      <c r="K761" s="293"/>
      <c r="L761" s="293"/>
      <c r="M761" s="293"/>
      <c r="N761" s="293"/>
      <c r="O761" s="4"/>
    </row>
    <row r="762" spans="1:15" s="13" customFormat="1" ht="18" customHeight="1">
      <c r="A762" s="455"/>
      <c r="B762" s="3"/>
      <c r="C762" s="7"/>
      <c r="D762" s="11"/>
      <c r="E762" s="293"/>
      <c r="F762" s="293"/>
      <c r="G762" s="293"/>
      <c r="H762" s="12"/>
      <c r="J762" s="293"/>
      <c r="K762" s="293"/>
      <c r="L762" s="293"/>
      <c r="M762" s="293"/>
      <c r="N762" s="293"/>
      <c r="O762" s="4"/>
    </row>
    <row r="763" spans="1:15" s="13" customFormat="1" ht="18" customHeight="1">
      <c r="A763" s="455"/>
      <c r="B763" s="3"/>
      <c r="C763" s="7"/>
      <c r="D763" s="11"/>
      <c r="E763" s="293"/>
      <c r="F763" s="293"/>
      <c r="G763" s="293"/>
      <c r="H763" s="12"/>
      <c r="J763" s="293"/>
      <c r="K763" s="293"/>
      <c r="L763" s="293"/>
      <c r="M763" s="293"/>
      <c r="N763" s="293"/>
      <c r="O763" s="4"/>
    </row>
    <row r="764" spans="1:15" s="13" customFormat="1" ht="18" customHeight="1">
      <c r="A764" s="455"/>
      <c r="B764" s="3"/>
      <c r="C764" s="7"/>
      <c r="D764" s="11"/>
      <c r="E764" s="293"/>
      <c r="F764" s="293"/>
      <c r="G764" s="293"/>
      <c r="H764" s="12"/>
      <c r="J764" s="293"/>
      <c r="K764" s="293"/>
      <c r="L764" s="293"/>
      <c r="M764" s="293"/>
      <c r="N764" s="293"/>
      <c r="O764" s="4"/>
    </row>
    <row r="765" spans="1:15" s="13" customFormat="1" ht="18" customHeight="1">
      <c r="A765" s="455"/>
      <c r="B765" s="3"/>
      <c r="C765" s="7"/>
      <c r="D765" s="14"/>
      <c r="E765" s="293"/>
      <c r="F765" s="293"/>
      <c r="G765" s="293"/>
      <c r="H765" s="12"/>
      <c r="J765" s="293"/>
      <c r="K765" s="293"/>
      <c r="L765" s="293"/>
      <c r="M765" s="293"/>
      <c r="N765" s="293"/>
      <c r="O765" s="4"/>
    </row>
    <row r="766" spans="1:15" s="13" customFormat="1" ht="18" customHeight="1">
      <c r="A766" s="455"/>
      <c r="B766" s="3"/>
      <c r="C766" s="7"/>
      <c r="D766" s="14"/>
      <c r="E766" s="293"/>
      <c r="F766" s="293"/>
      <c r="G766" s="293"/>
      <c r="H766" s="12"/>
      <c r="J766" s="293"/>
      <c r="K766" s="293"/>
      <c r="L766" s="293"/>
      <c r="M766" s="293"/>
      <c r="N766" s="293"/>
      <c r="O766" s="4"/>
    </row>
    <row r="767" spans="1:15" s="13" customFormat="1" ht="18" customHeight="1">
      <c r="A767" s="455"/>
      <c r="B767" s="3"/>
      <c r="C767" s="7"/>
      <c r="D767" s="11"/>
      <c r="E767" s="293"/>
      <c r="F767" s="293"/>
      <c r="G767" s="293"/>
      <c r="H767" s="12"/>
      <c r="J767" s="293"/>
      <c r="K767" s="293"/>
      <c r="L767" s="293"/>
      <c r="M767" s="293"/>
      <c r="N767" s="293"/>
      <c r="O767" s="4"/>
    </row>
    <row r="768" spans="1:15" s="13" customFormat="1" ht="18" customHeight="1">
      <c r="A768" s="455"/>
      <c r="B768" s="3"/>
      <c r="C768" s="7"/>
      <c r="D768" s="11"/>
      <c r="E768" s="293"/>
      <c r="F768" s="293"/>
      <c r="G768" s="293"/>
      <c r="H768" s="12"/>
      <c r="J768" s="293"/>
      <c r="K768" s="293"/>
      <c r="L768" s="293"/>
      <c r="M768" s="293"/>
      <c r="N768" s="293"/>
      <c r="O768" s="4"/>
    </row>
    <row r="769" spans="1:15" s="13" customFormat="1" ht="18" customHeight="1">
      <c r="A769" s="455"/>
      <c r="B769" s="3"/>
      <c r="C769" s="7"/>
      <c r="D769" s="16"/>
      <c r="E769" s="4"/>
      <c r="F769" s="4"/>
      <c r="G769" s="4"/>
      <c r="H769" s="3"/>
      <c r="J769" s="293"/>
      <c r="K769" s="293"/>
      <c r="L769" s="293"/>
      <c r="M769" s="293"/>
      <c r="N769" s="293"/>
      <c r="O769" s="4"/>
    </row>
    <row r="770" spans="1:15" s="13" customFormat="1" ht="18" customHeight="1">
      <c r="A770" s="455"/>
      <c r="B770" s="3"/>
      <c r="C770" s="7"/>
      <c r="D770" s="16"/>
      <c r="E770" s="4"/>
      <c r="F770" s="4"/>
      <c r="G770" s="4"/>
      <c r="H770" s="3"/>
      <c r="J770" s="293"/>
      <c r="K770" s="293"/>
      <c r="L770" s="293"/>
      <c r="M770" s="293"/>
      <c r="N770" s="293"/>
      <c r="O770" s="4"/>
    </row>
    <row r="771" spans="1:15" s="13" customFormat="1" ht="18" customHeight="1">
      <c r="A771" s="455"/>
      <c r="B771" s="3"/>
      <c r="C771" s="7"/>
      <c r="D771" s="16"/>
      <c r="E771" s="4"/>
      <c r="F771" s="4"/>
      <c r="G771" s="4"/>
      <c r="H771" s="3"/>
      <c r="J771" s="293"/>
      <c r="K771" s="293"/>
      <c r="L771" s="293"/>
      <c r="M771" s="293"/>
      <c r="N771" s="293"/>
      <c r="O771" s="4"/>
    </row>
    <row r="772" spans="1:15" s="13" customFormat="1" ht="18" customHeight="1">
      <c r="A772" s="455"/>
      <c r="B772" s="3"/>
      <c r="C772" s="7"/>
      <c r="D772" s="16"/>
      <c r="E772" s="4"/>
      <c r="F772" s="4"/>
      <c r="G772" s="4"/>
      <c r="H772" s="3"/>
      <c r="J772" s="293"/>
      <c r="K772" s="293"/>
      <c r="L772" s="293"/>
      <c r="M772" s="293"/>
      <c r="N772" s="293"/>
      <c r="O772" s="4"/>
    </row>
    <row r="773" spans="1:15" s="13" customFormat="1" ht="18" customHeight="1">
      <c r="A773" s="455"/>
      <c r="B773" s="3"/>
      <c r="C773" s="7"/>
      <c r="D773" s="16"/>
      <c r="E773" s="4"/>
      <c r="F773" s="4"/>
      <c r="G773" s="4"/>
      <c r="H773" s="3"/>
      <c r="J773" s="293"/>
      <c r="K773" s="293"/>
      <c r="L773" s="293"/>
      <c r="M773" s="293"/>
      <c r="N773" s="293"/>
      <c r="O773" s="4"/>
    </row>
    <row r="774" spans="1:15" s="13" customFormat="1" ht="18" customHeight="1">
      <c r="A774" s="455"/>
      <c r="B774" s="3"/>
      <c r="C774" s="7"/>
      <c r="D774" s="16"/>
      <c r="E774" s="4"/>
      <c r="F774" s="4"/>
      <c r="G774" s="4"/>
      <c r="H774" s="3"/>
      <c r="J774" s="293"/>
      <c r="K774" s="293"/>
      <c r="L774" s="293"/>
      <c r="M774" s="293"/>
      <c r="N774" s="293"/>
      <c r="O774" s="4"/>
    </row>
    <row r="775" spans="1:15" s="13" customFormat="1" ht="18" customHeight="1">
      <c r="A775" s="455"/>
      <c r="B775" s="3"/>
      <c r="C775" s="7"/>
      <c r="D775" s="16"/>
      <c r="E775" s="4"/>
      <c r="F775" s="4"/>
      <c r="G775" s="4"/>
      <c r="H775" s="3"/>
      <c r="J775" s="293"/>
      <c r="K775" s="293"/>
      <c r="L775" s="293"/>
      <c r="M775" s="293"/>
      <c r="N775" s="293"/>
      <c r="O775" s="4"/>
    </row>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spans="4:8" ht="18" customHeight="1">
      <c r="D788" s="11"/>
      <c r="E788" s="293"/>
      <c r="F788" s="293"/>
      <c r="G788" s="293"/>
      <c r="H788" s="12"/>
    </row>
    <row r="789" spans="4:8" ht="18" customHeight="1">
      <c r="D789" s="11"/>
      <c r="E789" s="293"/>
      <c r="F789" s="293"/>
      <c r="G789" s="293"/>
      <c r="H789" s="12"/>
    </row>
    <row r="790" spans="4:8" ht="18" customHeight="1">
      <c r="D790" s="11"/>
      <c r="E790" s="293"/>
      <c r="F790" s="293"/>
      <c r="G790" s="293"/>
      <c r="H790" s="12"/>
    </row>
    <row r="791" spans="4:14" ht="18" customHeight="1">
      <c r="D791" s="17"/>
      <c r="E791" s="12"/>
      <c r="F791" s="12"/>
      <c r="G791" s="12"/>
      <c r="H791" s="12"/>
      <c r="I791" s="15"/>
      <c r="J791" s="12"/>
      <c r="K791" s="12"/>
      <c r="L791" s="12"/>
      <c r="M791" s="12"/>
      <c r="N791" s="12"/>
    </row>
    <row r="792" spans="4:14" ht="18" customHeight="1">
      <c r="D792" s="17"/>
      <c r="E792" s="12"/>
      <c r="F792" s="12"/>
      <c r="G792" s="12"/>
      <c r="H792" s="12"/>
      <c r="I792" s="15"/>
      <c r="J792" s="12"/>
      <c r="K792" s="12"/>
      <c r="L792" s="12"/>
      <c r="M792" s="12"/>
      <c r="N792" s="12"/>
    </row>
    <row r="793" spans="4:14" ht="18" customHeight="1">
      <c r="D793" s="17"/>
      <c r="E793" s="12"/>
      <c r="F793" s="12"/>
      <c r="G793" s="12"/>
      <c r="H793" s="12"/>
      <c r="I793" s="15"/>
      <c r="J793" s="12"/>
      <c r="K793" s="12"/>
      <c r="L793" s="12"/>
      <c r="M793" s="12"/>
      <c r="N793" s="12"/>
    </row>
    <row r="794" spans="4:14" ht="18" customHeight="1">
      <c r="D794" s="17"/>
      <c r="E794" s="12"/>
      <c r="F794" s="12"/>
      <c r="G794" s="12"/>
      <c r="H794" s="12"/>
      <c r="I794" s="15"/>
      <c r="J794" s="12"/>
      <c r="K794" s="12"/>
      <c r="L794" s="12"/>
      <c r="M794" s="12"/>
      <c r="N794" s="12"/>
    </row>
    <row r="795" spans="4:8" ht="18" customHeight="1">
      <c r="D795" s="11"/>
      <c r="E795" s="293"/>
      <c r="F795" s="293"/>
      <c r="G795" s="293"/>
      <c r="H795" s="12"/>
    </row>
    <row r="796" spans="4:8" ht="18" customHeight="1">
      <c r="D796" s="11"/>
      <c r="E796" s="293"/>
      <c r="F796" s="293"/>
      <c r="G796" s="293"/>
      <c r="H796" s="12"/>
    </row>
    <row r="797" spans="4:8" ht="18" customHeight="1">
      <c r="D797" s="11"/>
      <c r="E797" s="293"/>
      <c r="F797" s="293"/>
      <c r="G797" s="293"/>
      <c r="H797" s="12"/>
    </row>
    <row r="798" spans="4:8" ht="18" customHeight="1">
      <c r="D798" s="11"/>
      <c r="E798" s="293"/>
      <c r="F798" s="293"/>
      <c r="G798" s="293"/>
      <c r="H798" s="12"/>
    </row>
    <row r="799" spans="4:8" ht="18" customHeight="1">
      <c r="D799" s="11"/>
      <c r="E799" s="293"/>
      <c r="F799" s="293"/>
      <c r="G799" s="293"/>
      <c r="H799" s="12"/>
    </row>
    <row r="800" spans="4:8" ht="18" customHeight="1">
      <c r="D800" s="14"/>
      <c r="E800" s="293"/>
      <c r="F800" s="293"/>
      <c r="G800" s="293"/>
      <c r="H800" s="12"/>
    </row>
    <row r="801" spans="4:8" ht="18" customHeight="1">
      <c r="D801" s="14"/>
      <c r="E801" s="293"/>
      <c r="F801" s="293"/>
      <c r="G801" s="293"/>
      <c r="H801" s="12"/>
    </row>
    <row r="802" spans="1:14" s="5" customFormat="1" ht="18" customHeight="1">
      <c r="A802" s="455"/>
      <c r="B802" s="3"/>
      <c r="C802" s="7"/>
      <c r="D802" s="18"/>
      <c r="E802" s="4"/>
      <c r="F802" s="4"/>
      <c r="G802" s="4"/>
      <c r="H802" s="3"/>
      <c r="I802" s="13"/>
      <c r="J802" s="293"/>
      <c r="K802" s="293"/>
      <c r="L802" s="293"/>
      <c r="M802" s="293"/>
      <c r="N802" s="293"/>
    </row>
    <row r="803" spans="1:14" s="5" customFormat="1" ht="18" customHeight="1">
      <c r="A803" s="455"/>
      <c r="B803" s="3"/>
      <c r="C803" s="7"/>
      <c r="D803" s="18"/>
      <c r="E803" s="4"/>
      <c r="F803" s="4"/>
      <c r="G803" s="4"/>
      <c r="H803" s="3"/>
      <c r="I803" s="13"/>
      <c r="J803" s="293"/>
      <c r="K803" s="293"/>
      <c r="L803" s="293"/>
      <c r="M803" s="293"/>
      <c r="N803" s="293"/>
    </row>
    <row r="804" spans="1:14" s="5" customFormat="1" ht="18" customHeight="1">
      <c r="A804" s="455"/>
      <c r="B804" s="3"/>
      <c r="C804" s="7"/>
      <c r="D804" s="14"/>
      <c r="E804" s="293"/>
      <c r="F804" s="293"/>
      <c r="G804" s="293"/>
      <c r="H804" s="12"/>
      <c r="I804" s="13"/>
      <c r="J804" s="293"/>
      <c r="K804" s="293"/>
      <c r="L804" s="293"/>
      <c r="M804" s="293"/>
      <c r="N804" s="293"/>
    </row>
    <row r="805" spans="1:14" s="5" customFormat="1" ht="18" customHeight="1">
      <c r="A805" s="455"/>
      <c r="B805" s="3"/>
      <c r="C805" s="7"/>
      <c r="D805" s="14"/>
      <c r="E805" s="293"/>
      <c r="F805" s="293"/>
      <c r="G805" s="293"/>
      <c r="H805" s="12"/>
      <c r="I805" s="13"/>
      <c r="J805" s="293"/>
      <c r="K805" s="293"/>
      <c r="L805" s="293"/>
      <c r="M805" s="293"/>
      <c r="N805" s="293"/>
    </row>
    <row r="806" spans="1:14" s="5" customFormat="1" ht="18" customHeight="1">
      <c r="A806" s="455"/>
      <c r="B806" s="3"/>
      <c r="C806" s="7"/>
      <c r="D806" s="14"/>
      <c r="E806" s="293"/>
      <c r="F806" s="293"/>
      <c r="G806" s="293"/>
      <c r="H806" s="12"/>
      <c r="I806" s="13"/>
      <c r="J806" s="293"/>
      <c r="K806" s="293"/>
      <c r="L806" s="293"/>
      <c r="M806" s="293"/>
      <c r="N806" s="293"/>
    </row>
    <row r="807" spans="1:14" s="5" customFormat="1" ht="18" customHeight="1">
      <c r="A807" s="455"/>
      <c r="B807" s="3"/>
      <c r="C807" s="7"/>
      <c r="D807" s="14"/>
      <c r="E807" s="293"/>
      <c r="F807" s="293"/>
      <c r="G807" s="293"/>
      <c r="H807" s="12"/>
      <c r="I807" s="13"/>
      <c r="J807" s="293"/>
      <c r="K807" s="293"/>
      <c r="L807" s="293"/>
      <c r="M807" s="293"/>
      <c r="N807" s="293"/>
    </row>
    <row r="808" spans="1:14" s="5" customFormat="1" ht="18" customHeight="1">
      <c r="A808" s="455"/>
      <c r="B808" s="3"/>
      <c r="C808" s="7"/>
      <c r="D808" s="14"/>
      <c r="E808" s="293"/>
      <c r="F808" s="293"/>
      <c r="G808" s="293"/>
      <c r="H808" s="12"/>
      <c r="I808" s="13"/>
      <c r="J808" s="293"/>
      <c r="K808" s="293"/>
      <c r="L808" s="293"/>
      <c r="M808" s="293"/>
      <c r="N808" s="293"/>
    </row>
    <row r="809" spans="4:8" ht="18" customHeight="1">
      <c r="D809" s="11"/>
      <c r="E809" s="293"/>
      <c r="F809" s="293"/>
      <c r="G809" s="293"/>
      <c r="H809" s="12"/>
    </row>
    <row r="810" spans="4:8" ht="18" customHeight="1">
      <c r="D810" s="11"/>
      <c r="E810" s="293"/>
      <c r="F810" s="293"/>
      <c r="G810" s="293"/>
      <c r="H810" s="12"/>
    </row>
    <row r="811" spans="4:8" ht="18" customHeight="1">
      <c r="D811" s="11"/>
      <c r="E811" s="293"/>
      <c r="F811" s="293"/>
      <c r="G811" s="293"/>
      <c r="H811" s="12"/>
    </row>
    <row r="812" spans="4:8" ht="18" customHeight="1">
      <c r="D812" s="11"/>
      <c r="E812" s="293"/>
      <c r="F812" s="293"/>
      <c r="G812" s="293"/>
      <c r="H812" s="12"/>
    </row>
    <row r="813" spans="4:8" ht="18" customHeight="1">
      <c r="D813" s="11"/>
      <c r="E813" s="293"/>
      <c r="F813" s="293"/>
      <c r="G813" s="293"/>
      <c r="H813" s="12"/>
    </row>
    <row r="814" spans="4:8" ht="18" customHeight="1">
      <c r="D814" s="11"/>
      <c r="E814" s="293"/>
      <c r="F814" s="293"/>
      <c r="G814" s="293"/>
      <c r="H814" s="12"/>
    </row>
    <row r="815" spans="4:8" ht="18" customHeight="1">
      <c r="D815" s="11"/>
      <c r="E815" s="293"/>
      <c r="F815" s="293"/>
      <c r="G815" s="293"/>
      <c r="H815" s="12"/>
    </row>
    <row r="816" spans="4:8" ht="18" customHeight="1">
      <c r="D816" s="11"/>
      <c r="E816" s="293"/>
      <c r="F816" s="293"/>
      <c r="G816" s="293"/>
      <c r="H816" s="12"/>
    </row>
    <row r="817" spans="4:8" ht="18" customHeight="1">
      <c r="D817" s="11"/>
      <c r="E817" s="293"/>
      <c r="F817" s="293"/>
      <c r="G817" s="293"/>
      <c r="H817" s="12"/>
    </row>
    <row r="818" spans="4:8" ht="18" customHeight="1">
      <c r="D818" s="11"/>
      <c r="E818" s="293"/>
      <c r="F818" s="293"/>
      <c r="G818" s="293"/>
      <c r="H818" s="12"/>
    </row>
    <row r="819" spans="4:8" ht="18" customHeight="1">
      <c r="D819" s="11"/>
      <c r="E819" s="293"/>
      <c r="F819" s="293"/>
      <c r="G819" s="293"/>
      <c r="H819" s="12"/>
    </row>
    <row r="820" spans="4:8" ht="18" customHeight="1">
      <c r="D820" s="11"/>
      <c r="E820" s="293"/>
      <c r="F820" s="293"/>
      <c r="G820" s="293"/>
      <c r="H820" s="12"/>
    </row>
    <row r="821" spans="4:8" ht="18" customHeight="1">
      <c r="D821" s="11"/>
      <c r="E821" s="293"/>
      <c r="F821" s="293"/>
      <c r="G821" s="293"/>
      <c r="H821" s="12"/>
    </row>
    <row r="822" spans="1:14" s="5" customFormat="1" ht="18" customHeight="1">
      <c r="A822" s="455"/>
      <c r="B822" s="3"/>
      <c r="C822" s="7"/>
      <c r="D822" s="14"/>
      <c r="E822" s="293"/>
      <c r="F822" s="293"/>
      <c r="G822" s="293"/>
      <c r="H822" s="12"/>
      <c r="I822" s="13"/>
      <c r="J822" s="293"/>
      <c r="K822" s="293"/>
      <c r="L822" s="293"/>
      <c r="M822" s="293"/>
      <c r="N822" s="293"/>
    </row>
    <row r="823" spans="4:8" ht="18" customHeight="1">
      <c r="D823" s="11"/>
      <c r="E823" s="293"/>
      <c r="F823" s="293"/>
      <c r="G823" s="293"/>
      <c r="H823" s="12"/>
    </row>
    <row r="824" spans="1:15" s="13" customFormat="1" ht="18" customHeight="1">
      <c r="A824" s="455"/>
      <c r="B824" s="3"/>
      <c r="C824" s="7"/>
      <c r="D824" s="11"/>
      <c r="E824" s="293"/>
      <c r="F824" s="293"/>
      <c r="G824" s="293"/>
      <c r="H824" s="12"/>
      <c r="J824" s="293"/>
      <c r="K824" s="293"/>
      <c r="L824" s="293"/>
      <c r="M824" s="293"/>
      <c r="N824" s="293"/>
      <c r="O824" s="4"/>
    </row>
    <row r="825" spans="1:15" s="13" customFormat="1" ht="18" customHeight="1">
      <c r="A825" s="455"/>
      <c r="B825" s="3"/>
      <c r="C825" s="7"/>
      <c r="D825" s="11"/>
      <c r="E825" s="293"/>
      <c r="F825" s="293"/>
      <c r="G825" s="293"/>
      <c r="H825" s="12"/>
      <c r="J825" s="293"/>
      <c r="K825" s="293"/>
      <c r="L825" s="293"/>
      <c r="M825" s="293"/>
      <c r="N825" s="293"/>
      <c r="O825" s="4"/>
    </row>
    <row r="826" spans="1:15" s="13" customFormat="1" ht="17.25">
      <c r="A826" s="455"/>
      <c r="B826" s="3"/>
      <c r="C826" s="7"/>
      <c r="D826" s="11"/>
      <c r="E826" s="293"/>
      <c r="F826" s="293"/>
      <c r="G826" s="293"/>
      <c r="H826" s="12"/>
      <c r="J826" s="293"/>
      <c r="K826" s="293"/>
      <c r="L826" s="293"/>
      <c r="M826" s="293"/>
      <c r="N826" s="293"/>
      <c r="O826" s="4"/>
    </row>
    <row r="827" spans="1:15" s="13" customFormat="1" ht="17.25">
      <c r="A827" s="455"/>
      <c r="B827" s="3"/>
      <c r="C827" s="7"/>
      <c r="D827" s="11"/>
      <c r="E827" s="293"/>
      <c r="F827" s="293"/>
      <c r="G827" s="293"/>
      <c r="H827" s="12"/>
      <c r="J827" s="293"/>
      <c r="K827" s="293"/>
      <c r="L827" s="293"/>
      <c r="M827" s="293"/>
      <c r="N827" s="293"/>
      <c r="O827" s="4"/>
    </row>
    <row r="828" spans="1:15" s="13" customFormat="1" ht="17.25">
      <c r="A828" s="455"/>
      <c r="B828" s="3"/>
      <c r="C828" s="7"/>
      <c r="D828" s="11"/>
      <c r="E828" s="293"/>
      <c r="F828" s="293"/>
      <c r="G828" s="293"/>
      <c r="H828" s="12"/>
      <c r="J828" s="293"/>
      <c r="K828" s="293"/>
      <c r="L828" s="293"/>
      <c r="M828" s="293"/>
      <c r="N828" s="293"/>
      <c r="O828" s="4"/>
    </row>
    <row r="829" spans="1:15" s="13" customFormat="1" ht="17.25">
      <c r="A829" s="455"/>
      <c r="B829" s="3"/>
      <c r="C829" s="7"/>
      <c r="D829" s="11"/>
      <c r="E829" s="293"/>
      <c r="F829" s="293"/>
      <c r="G829" s="293"/>
      <c r="H829" s="12"/>
      <c r="J829" s="293"/>
      <c r="K829" s="293"/>
      <c r="L829" s="293"/>
      <c r="M829" s="293"/>
      <c r="N829" s="293"/>
      <c r="O829" s="4"/>
    </row>
    <row r="830" spans="1:15" s="13" customFormat="1" ht="17.25">
      <c r="A830" s="455"/>
      <c r="B830" s="3"/>
      <c r="C830" s="7"/>
      <c r="D830" s="11"/>
      <c r="E830" s="293"/>
      <c r="F830" s="293"/>
      <c r="G830" s="293"/>
      <c r="H830" s="12"/>
      <c r="J830" s="293"/>
      <c r="K830" s="293"/>
      <c r="L830" s="293"/>
      <c r="M830" s="293"/>
      <c r="N830" s="293"/>
      <c r="O830" s="4"/>
    </row>
    <row r="831" spans="1:15" s="13" customFormat="1" ht="17.25">
      <c r="A831" s="455"/>
      <c r="B831" s="3"/>
      <c r="C831" s="7"/>
      <c r="D831" s="11"/>
      <c r="E831" s="293"/>
      <c r="F831" s="293"/>
      <c r="G831" s="293"/>
      <c r="H831" s="12"/>
      <c r="J831" s="293"/>
      <c r="K831" s="293"/>
      <c r="L831" s="293"/>
      <c r="M831" s="293"/>
      <c r="N831" s="293"/>
      <c r="O831" s="4"/>
    </row>
    <row r="832" spans="1:15" s="13" customFormat="1" ht="17.25">
      <c r="A832" s="455"/>
      <c r="B832" s="3"/>
      <c r="C832" s="7"/>
      <c r="D832" s="11"/>
      <c r="E832" s="293"/>
      <c r="F832" s="293"/>
      <c r="G832" s="293"/>
      <c r="H832" s="12"/>
      <c r="J832" s="293"/>
      <c r="K832" s="293"/>
      <c r="L832" s="293"/>
      <c r="M832" s="293"/>
      <c r="N832" s="293"/>
      <c r="O832" s="4"/>
    </row>
    <row r="833" spans="1:15" s="13" customFormat="1" ht="17.25">
      <c r="A833" s="455"/>
      <c r="B833" s="3"/>
      <c r="C833" s="7"/>
      <c r="D833" s="11"/>
      <c r="E833" s="293"/>
      <c r="F833" s="293"/>
      <c r="G833" s="293"/>
      <c r="H833" s="12"/>
      <c r="J833" s="293"/>
      <c r="K833" s="293"/>
      <c r="L833" s="293"/>
      <c r="M833" s="293"/>
      <c r="N833" s="293"/>
      <c r="O833" s="4"/>
    </row>
    <row r="834" spans="1:15" s="13" customFormat="1" ht="17.25">
      <c r="A834" s="455"/>
      <c r="B834" s="3"/>
      <c r="C834" s="7"/>
      <c r="D834" s="11"/>
      <c r="E834" s="293"/>
      <c r="F834" s="293"/>
      <c r="G834" s="293"/>
      <c r="H834" s="12"/>
      <c r="J834" s="293"/>
      <c r="K834" s="293"/>
      <c r="L834" s="293"/>
      <c r="M834" s="293"/>
      <c r="N834" s="293"/>
      <c r="O834" s="4"/>
    </row>
    <row r="835" spans="1:15" s="13" customFormat="1" ht="17.25">
      <c r="A835" s="455"/>
      <c r="B835" s="3"/>
      <c r="C835" s="7"/>
      <c r="D835" s="11"/>
      <c r="E835" s="293"/>
      <c r="F835" s="293"/>
      <c r="G835" s="293"/>
      <c r="H835" s="12"/>
      <c r="J835" s="293"/>
      <c r="K835" s="293"/>
      <c r="L835" s="293"/>
      <c r="M835" s="293"/>
      <c r="N835" s="293"/>
      <c r="O835" s="4"/>
    </row>
    <row r="836" spans="1:15" s="13" customFormat="1" ht="17.25">
      <c r="A836" s="455"/>
      <c r="B836" s="3"/>
      <c r="C836" s="7"/>
      <c r="D836" s="11"/>
      <c r="E836" s="293"/>
      <c r="F836" s="293"/>
      <c r="G836" s="293"/>
      <c r="H836" s="12"/>
      <c r="J836" s="293"/>
      <c r="K836" s="293"/>
      <c r="L836" s="293"/>
      <c r="M836" s="293"/>
      <c r="N836" s="293"/>
      <c r="O836" s="4"/>
    </row>
    <row r="837" spans="1:15" s="13" customFormat="1" ht="17.25">
      <c r="A837" s="455"/>
      <c r="B837" s="3"/>
      <c r="C837" s="7"/>
      <c r="D837" s="11"/>
      <c r="E837" s="293"/>
      <c r="F837" s="293"/>
      <c r="G837" s="293"/>
      <c r="H837" s="12"/>
      <c r="J837" s="293"/>
      <c r="K837" s="293"/>
      <c r="L837" s="293"/>
      <c r="M837" s="293"/>
      <c r="N837" s="293"/>
      <c r="O837" s="4"/>
    </row>
    <row r="838" spans="1:15" s="13" customFormat="1" ht="17.25">
      <c r="A838" s="455"/>
      <c r="B838" s="3"/>
      <c r="C838" s="7"/>
      <c r="D838" s="11"/>
      <c r="E838" s="293"/>
      <c r="F838" s="293"/>
      <c r="G838" s="293"/>
      <c r="H838" s="12"/>
      <c r="J838" s="293"/>
      <c r="K838" s="293"/>
      <c r="L838" s="293"/>
      <c r="M838" s="293"/>
      <c r="N838" s="293"/>
      <c r="O838" s="4"/>
    </row>
    <row r="839" spans="1:15" s="13" customFormat="1" ht="17.25">
      <c r="A839" s="455"/>
      <c r="B839" s="3"/>
      <c r="C839" s="7"/>
      <c r="D839" s="11"/>
      <c r="E839" s="293"/>
      <c r="F839" s="293"/>
      <c r="G839" s="293"/>
      <c r="H839" s="12"/>
      <c r="J839" s="293"/>
      <c r="K839" s="293"/>
      <c r="L839" s="293"/>
      <c r="M839" s="293"/>
      <c r="N839" s="293"/>
      <c r="O839" s="4"/>
    </row>
    <row r="840" spans="1:15" s="13" customFormat="1" ht="17.25">
      <c r="A840" s="455"/>
      <c r="B840" s="3"/>
      <c r="C840" s="7"/>
      <c r="D840" s="11"/>
      <c r="E840" s="293"/>
      <c r="F840" s="293"/>
      <c r="G840" s="293"/>
      <c r="H840" s="12"/>
      <c r="J840" s="293"/>
      <c r="K840" s="293"/>
      <c r="L840" s="293"/>
      <c r="M840" s="293"/>
      <c r="N840" s="293"/>
      <c r="O840" s="4"/>
    </row>
    <row r="841" spans="1:15" s="13" customFormat="1" ht="17.25">
      <c r="A841" s="455"/>
      <c r="B841" s="3"/>
      <c r="C841" s="7"/>
      <c r="D841" s="11"/>
      <c r="E841" s="293"/>
      <c r="F841" s="293"/>
      <c r="G841" s="293"/>
      <c r="H841" s="12"/>
      <c r="J841" s="293"/>
      <c r="K841" s="293"/>
      <c r="L841" s="293"/>
      <c r="M841" s="293"/>
      <c r="N841" s="293"/>
      <c r="O841" s="4"/>
    </row>
    <row r="842" spans="1:15" s="13" customFormat="1" ht="17.25">
      <c r="A842" s="455"/>
      <c r="B842" s="3"/>
      <c r="C842" s="7"/>
      <c r="D842" s="11"/>
      <c r="E842" s="293"/>
      <c r="F842" s="293"/>
      <c r="G842" s="293"/>
      <c r="H842" s="12"/>
      <c r="J842" s="293"/>
      <c r="K842" s="293"/>
      <c r="L842" s="293"/>
      <c r="M842" s="293"/>
      <c r="N842" s="293"/>
      <c r="O842" s="4"/>
    </row>
    <row r="843" spans="1:15" s="13" customFormat="1" ht="17.25">
      <c r="A843" s="455"/>
      <c r="B843" s="3"/>
      <c r="C843" s="7"/>
      <c r="D843" s="11"/>
      <c r="E843" s="293"/>
      <c r="F843" s="293"/>
      <c r="G843" s="293"/>
      <c r="H843" s="12"/>
      <c r="J843" s="293"/>
      <c r="K843" s="293"/>
      <c r="L843" s="293"/>
      <c r="M843" s="293"/>
      <c r="N843" s="293"/>
      <c r="O843" s="4"/>
    </row>
    <row r="844" spans="1:15" s="13" customFormat="1" ht="17.25">
      <c r="A844" s="455"/>
      <c r="B844" s="3"/>
      <c r="C844" s="7"/>
      <c r="D844" s="11"/>
      <c r="E844" s="293"/>
      <c r="F844" s="293"/>
      <c r="G844" s="293"/>
      <c r="H844" s="12"/>
      <c r="J844" s="293"/>
      <c r="K844" s="293"/>
      <c r="L844" s="293"/>
      <c r="M844" s="293"/>
      <c r="N844" s="293"/>
      <c r="O844" s="4"/>
    </row>
    <row r="845" spans="1:15" s="13" customFormat="1" ht="17.25">
      <c r="A845" s="455"/>
      <c r="B845" s="3"/>
      <c r="C845" s="7"/>
      <c r="D845" s="11"/>
      <c r="E845" s="293"/>
      <c r="F845" s="293"/>
      <c r="G845" s="293"/>
      <c r="H845" s="12"/>
      <c r="J845" s="293"/>
      <c r="K845" s="293"/>
      <c r="L845" s="293"/>
      <c r="M845" s="293"/>
      <c r="N845" s="293"/>
      <c r="O845" s="4"/>
    </row>
    <row r="846" spans="1:15" s="13" customFormat="1" ht="17.25">
      <c r="A846" s="455"/>
      <c r="B846" s="3"/>
      <c r="C846" s="7"/>
      <c r="D846" s="11"/>
      <c r="E846" s="293"/>
      <c r="F846" s="293"/>
      <c r="G846" s="293"/>
      <c r="H846" s="12"/>
      <c r="J846" s="293"/>
      <c r="K846" s="293"/>
      <c r="L846" s="293"/>
      <c r="M846" s="293"/>
      <c r="N846" s="293"/>
      <c r="O846" s="4"/>
    </row>
    <row r="847" spans="1:15" s="13" customFormat="1" ht="17.25">
      <c r="A847" s="455"/>
      <c r="B847" s="3"/>
      <c r="C847" s="7"/>
      <c r="D847" s="11"/>
      <c r="E847" s="293"/>
      <c r="F847" s="293"/>
      <c r="G847" s="293"/>
      <c r="H847" s="12"/>
      <c r="J847" s="293"/>
      <c r="K847" s="293"/>
      <c r="L847" s="293"/>
      <c r="M847" s="293"/>
      <c r="N847" s="293"/>
      <c r="O847" s="4"/>
    </row>
    <row r="848" spans="1:15" s="13" customFormat="1" ht="17.25">
      <c r="A848" s="455"/>
      <c r="B848" s="3"/>
      <c r="C848" s="7"/>
      <c r="D848" s="11"/>
      <c r="E848" s="293"/>
      <c r="F848" s="293"/>
      <c r="G848" s="293"/>
      <c r="H848" s="12"/>
      <c r="J848" s="293"/>
      <c r="K848" s="293"/>
      <c r="L848" s="293"/>
      <c r="M848" s="293"/>
      <c r="N848" s="293"/>
      <c r="O848" s="4"/>
    </row>
    <row r="849" spans="1:15" s="13" customFormat="1" ht="17.25">
      <c r="A849" s="455"/>
      <c r="B849" s="3"/>
      <c r="C849" s="7"/>
      <c r="D849" s="11"/>
      <c r="E849" s="293"/>
      <c r="F849" s="293"/>
      <c r="G849" s="293"/>
      <c r="H849" s="12"/>
      <c r="J849" s="293"/>
      <c r="K849" s="293"/>
      <c r="L849" s="293"/>
      <c r="M849" s="293"/>
      <c r="N849" s="293"/>
      <c r="O849" s="4"/>
    </row>
    <row r="850" spans="1:15" s="13" customFormat="1" ht="17.25">
      <c r="A850" s="455"/>
      <c r="B850" s="3"/>
      <c r="C850" s="7"/>
      <c r="D850" s="11"/>
      <c r="E850" s="293"/>
      <c r="F850" s="293"/>
      <c r="G850" s="293"/>
      <c r="H850" s="12"/>
      <c r="J850" s="293"/>
      <c r="K850" s="293"/>
      <c r="L850" s="293"/>
      <c r="M850" s="293"/>
      <c r="N850" s="293"/>
      <c r="O850" s="4"/>
    </row>
    <row r="851" spans="1:15" s="13" customFormat="1" ht="17.25">
      <c r="A851" s="455"/>
      <c r="B851" s="3"/>
      <c r="C851" s="7"/>
      <c r="D851" s="11"/>
      <c r="E851" s="293"/>
      <c r="F851" s="293"/>
      <c r="G851" s="293"/>
      <c r="H851" s="12"/>
      <c r="J851" s="293"/>
      <c r="K851" s="293"/>
      <c r="L851" s="293"/>
      <c r="M851" s="293"/>
      <c r="N851" s="293"/>
      <c r="O851" s="4"/>
    </row>
    <row r="852" spans="1:15" s="13" customFormat="1" ht="17.25">
      <c r="A852" s="455"/>
      <c r="B852" s="3"/>
      <c r="C852" s="7"/>
      <c r="D852" s="11"/>
      <c r="E852" s="293"/>
      <c r="F852" s="293"/>
      <c r="G852" s="293"/>
      <c r="H852" s="12"/>
      <c r="J852" s="293"/>
      <c r="K852" s="293"/>
      <c r="L852" s="293"/>
      <c r="M852" s="293"/>
      <c r="N852" s="293"/>
      <c r="O852" s="4"/>
    </row>
    <row r="853" spans="1:15" s="13" customFormat="1" ht="17.25">
      <c r="A853" s="455"/>
      <c r="B853" s="3"/>
      <c r="C853" s="7"/>
      <c r="D853" s="11"/>
      <c r="E853" s="293"/>
      <c r="F853" s="293"/>
      <c r="G853" s="293"/>
      <c r="H853" s="12"/>
      <c r="J853" s="293"/>
      <c r="K853" s="293"/>
      <c r="L853" s="293"/>
      <c r="M853" s="293"/>
      <c r="N853" s="293"/>
      <c r="O853" s="4"/>
    </row>
    <row r="854" spans="1:15" s="13" customFormat="1" ht="17.25">
      <c r="A854" s="455"/>
      <c r="B854" s="3"/>
      <c r="C854" s="7"/>
      <c r="D854" s="11"/>
      <c r="E854" s="293"/>
      <c r="F854" s="293"/>
      <c r="G854" s="293"/>
      <c r="H854" s="12"/>
      <c r="J854" s="293"/>
      <c r="K854" s="293"/>
      <c r="L854" s="293"/>
      <c r="M854" s="293"/>
      <c r="N854" s="293"/>
      <c r="O854" s="4"/>
    </row>
    <row r="855" spans="1:15" s="13" customFormat="1" ht="17.25">
      <c r="A855" s="455"/>
      <c r="B855" s="3"/>
      <c r="C855" s="7"/>
      <c r="D855" s="11"/>
      <c r="E855" s="293"/>
      <c r="F855" s="293"/>
      <c r="G855" s="293"/>
      <c r="H855" s="12"/>
      <c r="J855" s="293"/>
      <c r="K855" s="293"/>
      <c r="L855" s="293"/>
      <c r="M855" s="293"/>
      <c r="N855" s="293"/>
      <c r="O855" s="4"/>
    </row>
    <row r="856" spans="1:15" s="13" customFormat="1" ht="17.25">
      <c r="A856" s="455"/>
      <c r="B856" s="3"/>
      <c r="C856" s="7"/>
      <c r="D856" s="11"/>
      <c r="E856" s="293"/>
      <c r="F856" s="293"/>
      <c r="G856" s="293"/>
      <c r="H856" s="12"/>
      <c r="J856" s="293"/>
      <c r="K856" s="293"/>
      <c r="L856" s="293"/>
      <c r="M856" s="293"/>
      <c r="N856" s="293"/>
      <c r="O856" s="4"/>
    </row>
    <row r="857" spans="1:15" s="13" customFormat="1" ht="17.25">
      <c r="A857" s="455"/>
      <c r="B857" s="3"/>
      <c r="C857" s="7"/>
      <c r="D857" s="11"/>
      <c r="E857" s="293"/>
      <c r="F857" s="293"/>
      <c r="G857" s="293"/>
      <c r="H857" s="12"/>
      <c r="J857" s="293"/>
      <c r="K857" s="293"/>
      <c r="L857" s="293"/>
      <c r="M857" s="293"/>
      <c r="N857" s="293"/>
      <c r="O857" s="4"/>
    </row>
    <row r="858" spans="1:15" s="13" customFormat="1" ht="17.25">
      <c r="A858" s="455"/>
      <c r="B858" s="3"/>
      <c r="C858" s="7"/>
      <c r="D858" s="11"/>
      <c r="E858" s="293"/>
      <c r="F858" s="293"/>
      <c r="G858" s="293"/>
      <c r="H858" s="12"/>
      <c r="J858" s="293"/>
      <c r="K858" s="293"/>
      <c r="L858" s="293"/>
      <c r="M858" s="293"/>
      <c r="N858" s="293"/>
      <c r="O858" s="4"/>
    </row>
    <row r="859" spans="1:15" s="13" customFormat="1" ht="17.25">
      <c r="A859" s="455"/>
      <c r="B859" s="3"/>
      <c r="C859" s="7"/>
      <c r="D859" s="11"/>
      <c r="E859" s="293"/>
      <c r="F859" s="293"/>
      <c r="G859" s="293"/>
      <c r="H859" s="12"/>
      <c r="J859" s="293"/>
      <c r="K859" s="293"/>
      <c r="L859" s="293"/>
      <c r="M859" s="293"/>
      <c r="N859" s="293"/>
      <c r="O859" s="4"/>
    </row>
    <row r="860" spans="1:15" s="13" customFormat="1" ht="17.25">
      <c r="A860" s="455"/>
      <c r="B860" s="3"/>
      <c r="C860" s="7"/>
      <c r="D860" s="11"/>
      <c r="E860" s="293"/>
      <c r="F860" s="293"/>
      <c r="G860" s="293"/>
      <c r="H860" s="12"/>
      <c r="J860" s="293"/>
      <c r="K860" s="293"/>
      <c r="L860" s="293"/>
      <c r="M860" s="293"/>
      <c r="N860" s="293"/>
      <c r="O860" s="4"/>
    </row>
    <row r="861" spans="1:15" s="13" customFormat="1" ht="17.25">
      <c r="A861" s="455"/>
      <c r="B861" s="3"/>
      <c r="C861" s="7"/>
      <c r="D861" s="11"/>
      <c r="E861" s="293"/>
      <c r="F861" s="293"/>
      <c r="G861" s="293"/>
      <c r="H861" s="12"/>
      <c r="J861" s="293"/>
      <c r="K861" s="293"/>
      <c r="L861" s="293"/>
      <c r="M861" s="293"/>
      <c r="N861" s="293"/>
      <c r="O861" s="4"/>
    </row>
    <row r="862" spans="1:15" s="13" customFormat="1" ht="17.25">
      <c r="A862" s="455"/>
      <c r="B862" s="3"/>
      <c r="C862" s="7"/>
      <c r="D862" s="11"/>
      <c r="E862" s="293"/>
      <c r="F862" s="293"/>
      <c r="G862" s="293"/>
      <c r="H862" s="12"/>
      <c r="J862" s="293"/>
      <c r="K862" s="293"/>
      <c r="L862" s="293"/>
      <c r="M862" s="293"/>
      <c r="N862" s="293"/>
      <c r="O862" s="4"/>
    </row>
    <row r="863" spans="1:15" s="13" customFormat="1" ht="17.25">
      <c r="A863" s="455"/>
      <c r="B863" s="3"/>
      <c r="C863" s="7"/>
      <c r="D863" s="11"/>
      <c r="E863" s="293"/>
      <c r="F863" s="293"/>
      <c r="G863" s="293"/>
      <c r="H863" s="12"/>
      <c r="J863" s="293"/>
      <c r="K863" s="293"/>
      <c r="L863" s="293"/>
      <c r="M863" s="293"/>
      <c r="N863" s="293"/>
      <c r="O863" s="4"/>
    </row>
    <row r="864" spans="1:15" s="13" customFormat="1" ht="17.25">
      <c r="A864" s="455"/>
      <c r="B864" s="3"/>
      <c r="C864" s="7"/>
      <c r="D864" s="11"/>
      <c r="E864" s="293"/>
      <c r="F864" s="293"/>
      <c r="G864" s="293"/>
      <c r="H864" s="12"/>
      <c r="J864" s="293"/>
      <c r="K864" s="293"/>
      <c r="L864" s="293"/>
      <c r="M864" s="293"/>
      <c r="N864" s="293"/>
      <c r="O864" s="4"/>
    </row>
    <row r="865" spans="1:15" s="13" customFormat="1" ht="17.25">
      <c r="A865" s="455"/>
      <c r="B865" s="3"/>
      <c r="C865" s="7"/>
      <c r="D865" s="11"/>
      <c r="E865" s="293"/>
      <c r="F865" s="293"/>
      <c r="G865" s="293"/>
      <c r="H865" s="12"/>
      <c r="J865" s="293"/>
      <c r="K865" s="293"/>
      <c r="L865" s="293"/>
      <c r="M865" s="293"/>
      <c r="N865" s="293"/>
      <c r="O865" s="4"/>
    </row>
    <row r="866" spans="1:15" s="13" customFormat="1" ht="17.25">
      <c r="A866" s="455"/>
      <c r="B866" s="3"/>
      <c r="C866" s="7"/>
      <c r="D866" s="11"/>
      <c r="E866" s="293"/>
      <c r="F866" s="293"/>
      <c r="G866" s="293"/>
      <c r="H866" s="12"/>
      <c r="J866" s="293"/>
      <c r="K866" s="293"/>
      <c r="L866" s="293"/>
      <c r="M866" s="293"/>
      <c r="N866" s="293"/>
      <c r="O866" s="4"/>
    </row>
    <row r="867" spans="1:15" s="13" customFormat="1" ht="17.25">
      <c r="A867" s="455"/>
      <c r="B867" s="3"/>
      <c r="C867" s="7"/>
      <c r="D867" s="16"/>
      <c r="E867" s="4"/>
      <c r="F867" s="4"/>
      <c r="G867" s="4"/>
      <c r="H867" s="3"/>
      <c r="J867" s="293"/>
      <c r="K867" s="293"/>
      <c r="L867" s="293"/>
      <c r="M867" s="293"/>
      <c r="N867" s="293"/>
      <c r="O867" s="4"/>
    </row>
    <row r="868" spans="1:15" s="13" customFormat="1" ht="17.25">
      <c r="A868" s="455"/>
      <c r="B868" s="3"/>
      <c r="C868" s="7"/>
      <c r="D868" s="16"/>
      <c r="E868" s="4"/>
      <c r="F868" s="4"/>
      <c r="G868" s="4"/>
      <c r="H868" s="3"/>
      <c r="J868" s="293"/>
      <c r="K868" s="293"/>
      <c r="L868" s="293"/>
      <c r="M868" s="293"/>
      <c r="N868" s="293"/>
      <c r="O868" s="4"/>
    </row>
    <row r="869" spans="1:15" s="13" customFormat="1" ht="17.25">
      <c r="A869" s="455"/>
      <c r="B869" s="3"/>
      <c r="C869" s="7"/>
      <c r="D869" s="16"/>
      <c r="E869" s="4"/>
      <c r="F869" s="4"/>
      <c r="G869" s="4"/>
      <c r="H869" s="3"/>
      <c r="J869" s="293"/>
      <c r="K869" s="293"/>
      <c r="L869" s="293"/>
      <c r="M869" s="293"/>
      <c r="N869" s="293"/>
      <c r="O869" s="4"/>
    </row>
    <row r="870" spans="1:15" s="13" customFormat="1" ht="17.25">
      <c r="A870" s="455"/>
      <c r="B870" s="3"/>
      <c r="C870" s="7"/>
      <c r="D870" s="16"/>
      <c r="E870" s="4"/>
      <c r="F870" s="4"/>
      <c r="G870" s="4"/>
      <c r="H870" s="3"/>
      <c r="J870" s="293"/>
      <c r="K870" s="293"/>
      <c r="L870" s="293"/>
      <c r="M870" s="293"/>
      <c r="N870" s="293"/>
      <c r="O870" s="4"/>
    </row>
    <row r="871" spans="1:15" s="13" customFormat="1" ht="17.25">
      <c r="A871" s="455"/>
      <c r="B871" s="3"/>
      <c r="C871" s="7"/>
      <c r="D871" s="16"/>
      <c r="E871" s="4"/>
      <c r="F871" s="4"/>
      <c r="G871" s="4"/>
      <c r="H871" s="3"/>
      <c r="J871" s="293"/>
      <c r="K871" s="293"/>
      <c r="L871" s="293"/>
      <c r="M871" s="293"/>
      <c r="N871" s="293"/>
      <c r="O871" s="4"/>
    </row>
    <row r="872" spans="1:15" s="13" customFormat="1" ht="17.25">
      <c r="A872" s="455"/>
      <c r="B872" s="3"/>
      <c r="C872" s="7"/>
      <c r="D872" s="16"/>
      <c r="E872" s="4"/>
      <c r="F872" s="4"/>
      <c r="G872" s="4"/>
      <c r="H872" s="3"/>
      <c r="J872" s="293"/>
      <c r="K872" s="293"/>
      <c r="L872" s="293"/>
      <c r="M872" s="293"/>
      <c r="N872" s="293"/>
      <c r="O872" s="4"/>
    </row>
    <row r="873" spans="1:15" s="13" customFormat="1" ht="17.25">
      <c r="A873" s="455"/>
      <c r="B873" s="3"/>
      <c r="C873" s="7"/>
      <c r="D873" s="16"/>
      <c r="E873" s="4"/>
      <c r="F873" s="4"/>
      <c r="G873" s="4"/>
      <c r="H873" s="3"/>
      <c r="J873" s="293"/>
      <c r="K873" s="293"/>
      <c r="L873" s="293"/>
      <c r="M873" s="293"/>
      <c r="N873" s="293"/>
      <c r="O873" s="4"/>
    </row>
    <row r="874" spans="1:15" s="13" customFormat="1" ht="17.25">
      <c r="A874" s="455"/>
      <c r="B874" s="3"/>
      <c r="C874" s="7"/>
      <c r="D874" s="16"/>
      <c r="E874" s="4"/>
      <c r="F874" s="4"/>
      <c r="G874" s="4"/>
      <c r="H874" s="3"/>
      <c r="J874" s="293"/>
      <c r="K874" s="293"/>
      <c r="L874" s="293"/>
      <c r="M874" s="293"/>
      <c r="N874" s="293"/>
      <c r="O874" s="4"/>
    </row>
    <row r="875" spans="1:15" s="13" customFormat="1" ht="17.25">
      <c r="A875" s="455"/>
      <c r="B875" s="3"/>
      <c r="C875" s="7"/>
      <c r="D875" s="16"/>
      <c r="E875" s="4"/>
      <c r="F875" s="4"/>
      <c r="G875" s="4"/>
      <c r="H875" s="3"/>
      <c r="J875" s="293"/>
      <c r="K875" s="293"/>
      <c r="L875" s="293"/>
      <c r="M875" s="293"/>
      <c r="N875" s="293"/>
      <c r="O875" s="4"/>
    </row>
    <row r="876" spans="1:15" s="13" customFormat="1" ht="17.25">
      <c r="A876" s="455"/>
      <c r="B876" s="3"/>
      <c r="C876" s="7"/>
      <c r="D876" s="16"/>
      <c r="E876" s="4"/>
      <c r="F876" s="4"/>
      <c r="G876" s="4"/>
      <c r="H876" s="3"/>
      <c r="J876" s="293"/>
      <c r="K876" s="293"/>
      <c r="L876" s="293"/>
      <c r="M876" s="293"/>
      <c r="N876" s="293"/>
      <c r="O876" s="4"/>
    </row>
  </sheetData>
  <sheetProtection/>
  <mergeCells count="32">
    <mergeCell ref="B756:D756"/>
    <mergeCell ref="I7:I8"/>
    <mergeCell ref="J7:N7"/>
    <mergeCell ref="E7:E8"/>
    <mergeCell ref="B7:B8"/>
    <mergeCell ref="C7:C8"/>
    <mergeCell ref="G7:G8"/>
    <mergeCell ref="D7:D8"/>
    <mergeCell ref="F7:F8"/>
    <mergeCell ref="D739:G739"/>
    <mergeCell ref="H7:H8"/>
    <mergeCell ref="D744:G744"/>
    <mergeCell ref="D745:G745"/>
    <mergeCell ref="D749:G749"/>
    <mergeCell ref="D750:G750"/>
    <mergeCell ref="B754:D754"/>
    <mergeCell ref="B1:M1"/>
    <mergeCell ref="D753:G753"/>
    <mergeCell ref="D742:G742"/>
    <mergeCell ref="D743:G743"/>
    <mergeCell ref="D747:G747"/>
    <mergeCell ref="D748:G748"/>
    <mergeCell ref="D752:G752"/>
    <mergeCell ref="D740:G740"/>
    <mergeCell ref="B2:D2"/>
    <mergeCell ref="G2:I2"/>
    <mergeCell ref="B3:N3"/>
    <mergeCell ref="B4:N4"/>
    <mergeCell ref="M5:N5"/>
    <mergeCell ref="D746:G746"/>
    <mergeCell ref="D741:G741"/>
    <mergeCell ref="D751:G751"/>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64"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M96"/>
  <sheetViews>
    <sheetView view="pageBreakPreview" zoomScaleSheetLayoutView="100" zoomScalePageLayoutView="0" workbookViewId="0" topLeftCell="A1">
      <selection activeCell="B1" sqref="B1"/>
    </sheetView>
  </sheetViews>
  <sheetFormatPr defaultColWidth="9.125" defaultRowHeight="12.75"/>
  <cols>
    <col min="1" max="1" width="3.75390625" style="480" customWidth="1"/>
    <col min="2" max="2" width="79.875" style="205" bestFit="1" customWidth="1"/>
    <col min="3" max="3" width="12.75390625" style="205" customWidth="1"/>
    <col min="4" max="4" width="9.125" style="205" customWidth="1"/>
    <col min="5" max="5" width="90.375" style="205" customWidth="1"/>
    <col min="6" max="16384" width="9.125" style="205" customWidth="1"/>
  </cols>
  <sheetData>
    <row r="1" spans="2:13" ht="45" customHeight="1">
      <c r="B1" s="1077" t="s">
        <v>1103</v>
      </c>
      <c r="C1" s="1064"/>
      <c r="D1" s="1064"/>
      <c r="E1" s="1064"/>
      <c r="F1" s="1064"/>
      <c r="G1" s="1064"/>
      <c r="H1" s="1064"/>
      <c r="I1" s="1064"/>
      <c r="J1" s="1064"/>
      <c r="K1" s="1064"/>
      <c r="L1" s="1064"/>
      <c r="M1" s="1064"/>
    </row>
    <row r="2" spans="1:3" s="365" customFormat="1" ht="16.5">
      <c r="A2" s="741"/>
      <c r="B2" s="742" t="s">
        <v>732</v>
      </c>
      <c r="C2" s="743"/>
    </row>
    <row r="3" spans="1:3" ht="19.5" customHeight="1">
      <c r="A3" s="741"/>
      <c r="B3" s="2202" t="s">
        <v>111</v>
      </c>
      <c r="C3" s="2202"/>
    </row>
    <row r="4" spans="1:3" ht="19.5" customHeight="1">
      <c r="A4" s="741"/>
      <c r="B4" s="2202" t="s">
        <v>288</v>
      </c>
      <c r="C4" s="2202"/>
    </row>
    <row r="5" spans="1:3" ht="33.75" customHeight="1">
      <c r="A5" s="741"/>
      <c r="B5" s="2231" t="s">
        <v>665</v>
      </c>
      <c r="C5" s="2231"/>
    </row>
    <row r="6" spans="1:3" s="744" customFormat="1" ht="19.5" customHeight="1">
      <c r="A6" s="740"/>
      <c r="B6" s="2232" t="s">
        <v>0</v>
      </c>
      <c r="C6" s="2232"/>
    </row>
    <row r="7" spans="1:3" s="103" customFormat="1" ht="15" thickBot="1">
      <c r="A7" s="479"/>
      <c r="B7" s="713" t="s">
        <v>1</v>
      </c>
      <c r="C7" s="712" t="s">
        <v>3</v>
      </c>
    </row>
    <row r="8" spans="1:3" ht="19.5" customHeight="1">
      <c r="A8" s="152"/>
      <c r="B8" s="2233" t="s">
        <v>292</v>
      </c>
      <c r="C8" s="2235" t="s">
        <v>289</v>
      </c>
    </row>
    <row r="9" spans="1:3" ht="19.5" customHeight="1" thickBot="1">
      <c r="A9" s="152"/>
      <c r="B9" s="2234"/>
      <c r="C9" s="2236"/>
    </row>
    <row r="10" spans="1:5" s="206" customFormat="1" ht="18" customHeight="1" thickTop="1">
      <c r="A10" s="151">
        <v>1</v>
      </c>
      <c r="B10" s="144" t="s">
        <v>492</v>
      </c>
      <c r="C10" s="145">
        <v>1250</v>
      </c>
      <c r="D10" s="207"/>
      <c r="E10" s="208"/>
    </row>
    <row r="11" spans="1:5" s="206" customFormat="1" ht="18" customHeight="1">
      <c r="A11" s="151">
        <v>2</v>
      </c>
      <c r="B11" s="144" t="s">
        <v>493</v>
      </c>
      <c r="C11" s="145">
        <v>1250</v>
      </c>
      <c r="D11" s="207"/>
      <c r="E11" s="208"/>
    </row>
    <row r="12" spans="1:5" s="206" customFormat="1" ht="18" customHeight="1">
      <c r="A12" s="151">
        <v>3</v>
      </c>
      <c r="B12" s="144" t="s">
        <v>494</v>
      </c>
      <c r="C12" s="145">
        <v>800</v>
      </c>
      <c r="D12" s="207"/>
      <c r="E12" s="208"/>
    </row>
    <row r="13" spans="1:5" s="206" customFormat="1" ht="18" customHeight="1">
      <c r="A13" s="151">
        <v>4</v>
      </c>
      <c r="B13" s="144" t="s">
        <v>393</v>
      </c>
      <c r="C13" s="145">
        <v>500</v>
      </c>
      <c r="D13" s="207"/>
      <c r="E13" s="208"/>
    </row>
    <row r="14" spans="1:5" s="206" customFormat="1" ht="18" customHeight="1">
      <c r="A14" s="151">
        <v>5</v>
      </c>
      <c r="B14" s="144" t="s">
        <v>301</v>
      </c>
      <c r="C14" s="145">
        <v>25000</v>
      </c>
      <c r="D14" s="207"/>
      <c r="E14" s="208"/>
    </row>
    <row r="15" spans="1:5" s="206" customFormat="1" ht="18" customHeight="1">
      <c r="A15" s="151">
        <v>6</v>
      </c>
      <c r="B15" s="144" t="s">
        <v>1011</v>
      </c>
      <c r="C15" s="145">
        <v>5000</v>
      </c>
      <c r="D15" s="207"/>
      <c r="E15" s="208"/>
    </row>
    <row r="16" spans="1:5" s="206" customFormat="1" ht="18" customHeight="1">
      <c r="A16" s="151">
        <v>7</v>
      </c>
      <c r="B16" s="144" t="s">
        <v>664</v>
      </c>
      <c r="C16" s="145">
        <v>12000</v>
      </c>
      <c r="D16" s="207"/>
      <c r="E16" s="208"/>
    </row>
    <row r="17" spans="1:5" s="206" customFormat="1" ht="18" customHeight="1">
      <c r="A17" s="151">
        <v>8</v>
      </c>
      <c r="B17" s="144" t="s">
        <v>365</v>
      </c>
      <c r="C17" s="145">
        <v>60000</v>
      </c>
      <c r="D17" s="440"/>
      <c r="E17" s="208"/>
    </row>
    <row r="18" spans="1:5" s="206" customFormat="1" ht="18" customHeight="1">
      <c r="A18" s="151">
        <v>9</v>
      </c>
      <c r="B18" s="144" t="s">
        <v>907</v>
      </c>
      <c r="C18" s="145">
        <v>1500</v>
      </c>
      <c r="D18" s="440"/>
      <c r="E18" s="208"/>
    </row>
    <row r="19" spans="1:5" s="206" customFormat="1" ht="18" customHeight="1">
      <c r="A19" s="151">
        <v>10</v>
      </c>
      <c r="B19" s="144" t="s">
        <v>911</v>
      </c>
      <c r="C19" s="145">
        <v>50000</v>
      </c>
      <c r="D19" s="440"/>
      <c r="E19" s="208"/>
    </row>
    <row r="20" spans="1:5" s="206" customFormat="1" ht="18" customHeight="1">
      <c r="A20" s="151">
        <v>11</v>
      </c>
      <c r="B20" s="1558" t="s">
        <v>893</v>
      </c>
      <c r="C20" s="145"/>
      <c r="D20" s="440"/>
      <c r="E20" s="208"/>
    </row>
    <row r="21" spans="1:5" s="206" customFormat="1" ht="18" customHeight="1">
      <c r="A21" s="151">
        <v>12</v>
      </c>
      <c r="B21" s="144" t="s">
        <v>894</v>
      </c>
      <c r="C21" s="145">
        <v>500</v>
      </c>
      <c r="D21" s="440"/>
      <c r="E21" s="208"/>
    </row>
    <row r="22" spans="1:5" s="206" customFormat="1" ht="18" customHeight="1">
      <c r="A22" s="151">
        <v>13</v>
      </c>
      <c r="B22" s="144" t="s">
        <v>895</v>
      </c>
      <c r="C22" s="145">
        <v>1500</v>
      </c>
      <c r="D22" s="440"/>
      <c r="E22" s="208"/>
    </row>
    <row r="23" spans="1:5" s="206" customFormat="1" ht="18" customHeight="1">
      <c r="A23" s="151">
        <v>14</v>
      </c>
      <c r="B23" s="1558" t="s">
        <v>924</v>
      </c>
      <c r="C23" s="145"/>
      <c r="D23" s="440"/>
      <c r="E23" s="208"/>
    </row>
    <row r="24" spans="1:5" s="206" customFormat="1" ht="18" customHeight="1">
      <c r="A24" s="151">
        <v>15</v>
      </c>
      <c r="B24" s="144" t="s">
        <v>925</v>
      </c>
      <c r="C24" s="145">
        <v>120</v>
      </c>
      <c r="D24" s="440"/>
      <c r="E24" s="208"/>
    </row>
    <row r="25" spans="1:5" s="206" customFormat="1" ht="18" customHeight="1">
      <c r="A25" s="151">
        <v>16</v>
      </c>
      <c r="B25" s="144" t="s">
        <v>926</v>
      </c>
      <c r="C25" s="145">
        <v>30</v>
      </c>
      <c r="D25" s="440"/>
      <c r="E25" s="208"/>
    </row>
    <row r="26" spans="1:5" s="206" customFormat="1" ht="24.75" customHeight="1">
      <c r="A26" s="151">
        <v>17</v>
      </c>
      <c r="B26" s="1558" t="s">
        <v>62</v>
      </c>
      <c r="C26" s="145"/>
      <c r="D26" s="440"/>
      <c r="E26" s="208"/>
    </row>
    <row r="27" spans="1:5" s="206" customFormat="1" ht="18" customHeight="1">
      <c r="A27" s="151">
        <v>18</v>
      </c>
      <c r="B27" s="1467" t="s">
        <v>712</v>
      </c>
      <c r="C27" s="1468">
        <v>12500</v>
      </c>
      <c r="D27" s="440"/>
      <c r="E27" s="208"/>
    </row>
    <row r="28" spans="1:5" s="206" customFormat="1" ht="18" customHeight="1">
      <c r="A28" s="151">
        <v>19</v>
      </c>
      <c r="B28" s="144" t="s">
        <v>713</v>
      </c>
      <c r="C28" s="145">
        <v>15000</v>
      </c>
      <c r="D28" s="440"/>
      <c r="E28" s="208"/>
    </row>
    <row r="29" spans="1:5" s="206" customFormat="1" ht="18" customHeight="1">
      <c r="A29" s="151">
        <v>20</v>
      </c>
      <c r="B29" s="144" t="s">
        <v>744</v>
      </c>
      <c r="C29" s="145">
        <v>8500</v>
      </c>
      <c r="D29" s="440"/>
      <c r="E29" s="208"/>
    </row>
    <row r="30" spans="1:5" s="206" customFormat="1" ht="18" customHeight="1">
      <c r="A30" s="151">
        <v>21</v>
      </c>
      <c r="B30" s="144" t="s">
        <v>714</v>
      </c>
      <c r="C30" s="145">
        <v>25000</v>
      </c>
      <c r="D30" s="440"/>
      <c r="E30" s="208"/>
    </row>
    <row r="31" spans="1:5" s="206" customFormat="1" ht="18" customHeight="1">
      <c r="A31" s="151">
        <v>22</v>
      </c>
      <c r="B31" s="144" t="s">
        <v>745</v>
      </c>
      <c r="C31" s="145">
        <v>3000</v>
      </c>
      <c r="D31" s="440"/>
      <c r="E31" s="208"/>
    </row>
    <row r="32" spans="1:5" s="206" customFormat="1" ht="18" customHeight="1">
      <c r="A32" s="151">
        <v>23</v>
      </c>
      <c r="B32" s="144" t="s">
        <v>746</v>
      </c>
      <c r="C32" s="145">
        <v>1500</v>
      </c>
      <c r="D32" s="440"/>
      <c r="E32" s="208"/>
    </row>
    <row r="33" spans="1:5" s="206" customFormat="1" ht="18" customHeight="1">
      <c r="A33" s="151">
        <v>24</v>
      </c>
      <c r="B33" s="144" t="s">
        <v>747</v>
      </c>
      <c r="C33" s="145">
        <v>1750</v>
      </c>
      <c r="D33" s="440"/>
      <c r="E33" s="208"/>
    </row>
    <row r="34" spans="1:5" s="206" customFormat="1" ht="18" customHeight="1">
      <c r="A34" s="151">
        <v>25</v>
      </c>
      <c r="B34" s="144" t="s">
        <v>748</v>
      </c>
      <c r="C34" s="145">
        <v>3000</v>
      </c>
      <c r="D34" s="440"/>
      <c r="E34" s="208"/>
    </row>
    <row r="35" spans="1:5" s="206" customFormat="1" ht="18" customHeight="1">
      <c r="A35" s="151">
        <v>26</v>
      </c>
      <c r="B35" s="144" t="s">
        <v>749</v>
      </c>
      <c r="C35" s="145">
        <v>2500</v>
      </c>
      <c r="D35" s="440"/>
      <c r="E35" s="208"/>
    </row>
    <row r="36" spans="1:5" s="206" customFormat="1" ht="18" customHeight="1">
      <c r="A36" s="151">
        <v>27</v>
      </c>
      <c r="B36" s="144" t="s">
        <v>750</v>
      </c>
      <c r="C36" s="145">
        <v>1600</v>
      </c>
      <c r="D36" s="440"/>
      <c r="E36" s="208"/>
    </row>
    <row r="37" spans="1:5" s="206" customFormat="1" ht="18" customHeight="1">
      <c r="A37" s="151">
        <v>28</v>
      </c>
      <c r="B37" s="144" t="s">
        <v>751</v>
      </c>
      <c r="C37" s="145">
        <v>500</v>
      </c>
      <c r="D37" s="440"/>
      <c r="E37" s="208"/>
    </row>
    <row r="38" spans="1:5" s="206" customFormat="1" ht="18" customHeight="1">
      <c r="A38" s="151">
        <v>29</v>
      </c>
      <c r="B38" s="144" t="s">
        <v>752</v>
      </c>
      <c r="C38" s="145">
        <v>4750</v>
      </c>
      <c r="D38" s="440"/>
      <c r="E38" s="208"/>
    </row>
    <row r="39" spans="1:5" s="206" customFormat="1" ht="18" customHeight="1">
      <c r="A39" s="151">
        <v>30</v>
      </c>
      <c r="B39" s="144" t="s">
        <v>753</v>
      </c>
      <c r="C39" s="145">
        <v>1500</v>
      </c>
      <c r="D39" s="440"/>
      <c r="E39" s="208"/>
    </row>
    <row r="40" spans="1:5" s="206" customFormat="1" ht="18" customHeight="1">
      <c r="A40" s="151">
        <v>31</v>
      </c>
      <c r="B40" s="144" t="s">
        <v>754</v>
      </c>
      <c r="C40" s="145">
        <v>500</v>
      </c>
      <c r="D40" s="440"/>
      <c r="E40" s="208"/>
    </row>
    <row r="41" spans="1:5" s="206" customFormat="1" ht="18" customHeight="1">
      <c r="A41" s="151">
        <v>32</v>
      </c>
      <c r="B41" s="144" t="s">
        <v>755</v>
      </c>
      <c r="C41" s="145">
        <v>500</v>
      </c>
      <c r="D41" s="440"/>
      <c r="E41" s="208"/>
    </row>
    <row r="42" spans="1:5" s="206" customFormat="1" ht="18" customHeight="1">
      <c r="A42" s="151">
        <v>33</v>
      </c>
      <c r="B42" s="144" t="s">
        <v>756</v>
      </c>
      <c r="C42" s="145">
        <v>400</v>
      </c>
      <c r="D42" s="440"/>
      <c r="E42" s="208"/>
    </row>
    <row r="43" spans="1:5" s="206" customFormat="1" ht="18" customHeight="1">
      <c r="A43" s="151">
        <v>34</v>
      </c>
      <c r="B43" s="144" t="s">
        <v>757</v>
      </c>
      <c r="C43" s="145">
        <v>400</v>
      </c>
      <c r="D43" s="440"/>
      <c r="E43" s="208"/>
    </row>
    <row r="44" spans="1:5" s="206" customFormat="1" ht="18" customHeight="1">
      <c r="A44" s="151">
        <v>35</v>
      </c>
      <c r="B44" s="144" t="s">
        <v>758</v>
      </c>
      <c r="C44" s="145">
        <v>400</v>
      </c>
      <c r="D44" s="440"/>
      <c r="E44" s="208"/>
    </row>
    <row r="45" spans="1:5" s="206" customFormat="1" ht="18" customHeight="1">
      <c r="A45" s="151">
        <v>36</v>
      </c>
      <c r="B45" s="144" t="s">
        <v>759</v>
      </c>
      <c r="C45" s="145">
        <v>200</v>
      </c>
      <c r="D45" s="440"/>
      <c r="E45" s="208"/>
    </row>
    <row r="46" spans="1:5" s="206" customFormat="1" ht="18" customHeight="1">
      <c r="A46" s="151">
        <v>37</v>
      </c>
      <c r="B46" s="144" t="s">
        <v>760</v>
      </c>
      <c r="C46" s="145">
        <v>200</v>
      </c>
      <c r="D46" s="440"/>
      <c r="E46" s="208"/>
    </row>
    <row r="47" spans="1:5" s="206" customFormat="1" ht="18" customHeight="1">
      <c r="A47" s="151">
        <v>38</v>
      </c>
      <c r="B47" s="144" t="s">
        <v>761</v>
      </c>
      <c r="C47" s="145">
        <v>200</v>
      </c>
      <c r="D47" s="440"/>
      <c r="E47" s="208"/>
    </row>
    <row r="48" spans="1:5" s="206" customFormat="1" ht="18" customHeight="1">
      <c r="A48" s="151">
        <v>39</v>
      </c>
      <c r="B48" s="144" t="s">
        <v>762</v>
      </c>
      <c r="C48" s="145">
        <v>200</v>
      </c>
      <c r="D48" s="440"/>
      <c r="E48" s="208"/>
    </row>
    <row r="49" spans="1:5" s="206" customFormat="1" ht="18" customHeight="1">
      <c r="A49" s="151">
        <v>40</v>
      </c>
      <c r="B49" s="144" t="s">
        <v>763</v>
      </c>
      <c r="C49" s="145">
        <v>200</v>
      </c>
      <c r="D49" s="440"/>
      <c r="E49" s="208"/>
    </row>
    <row r="50" spans="1:5" s="206" customFormat="1" ht="18" customHeight="1">
      <c r="A50" s="151">
        <v>41</v>
      </c>
      <c r="B50" s="144" t="s">
        <v>764</v>
      </c>
      <c r="C50" s="145">
        <v>150</v>
      </c>
      <c r="D50" s="440"/>
      <c r="E50" s="208"/>
    </row>
    <row r="51" spans="1:5" s="206" customFormat="1" ht="18" customHeight="1">
      <c r="A51" s="151">
        <v>42</v>
      </c>
      <c r="B51" s="144" t="s">
        <v>765</v>
      </c>
      <c r="C51" s="145">
        <v>150</v>
      </c>
      <c r="D51" s="440"/>
      <c r="E51" s="208"/>
    </row>
    <row r="52" spans="1:5" s="206" customFormat="1" ht="18" customHeight="1">
      <c r="A52" s="151">
        <v>43</v>
      </c>
      <c r="B52" s="144" t="s">
        <v>766</v>
      </c>
      <c r="C52" s="145">
        <v>150</v>
      </c>
      <c r="D52" s="440"/>
      <c r="E52" s="208"/>
    </row>
    <row r="53" spans="1:5" s="206" customFormat="1" ht="18" customHeight="1">
      <c r="A53" s="151">
        <v>44</v>
      </c>
      <c r="B53" s="144" t="s">
        <v>767</v>
      </c>
      <c r="C53" s="145">
        <v>100</v>
      </c>
      <c r="D53" s="440"/>
      <c r="E53" s="208"/>
    </row>
    <row r="54" spans="1:5" s="206" customFormat="1" ht="18" customHeight="1">
      <c r="A54" s="151">
        <v>45</v>
      </c>
      <c r="B54" s="144" t="s">
        <v>768</v>
      </c>
      <c r="C54" s="145">
        <v>100</v>
      </c>
      <c r="D54" s="440"/>
      <c r="E54" s="208"/>
    </row>
    <row r="55" spans="1:5" s="206" customFormat="1" ht="18" customHeight="1">
      <c r="A55" s="151">
        <v>46</v>
      </c>
      <c r="B55" s="144" t="s">
        <v>769</v>
      </c>
      <c r="C55" s="145">
        <v>100</v>
      </c>
      <c r="D55" s="440"/>
      <c r="E55" s="208"/>
    </row>
    <row r="56" spans="1:5" s="206" customFormat="1" ht="18" customHeight="1">
      <c r="A56" s="151">
        <v>47</v>
      </c>
      <c r="B56" s="144" t="s">
        <v>770</v>
      </c>
      <c r="C56" s="145">
        <v>100</v>
      </c>
      <c r="D56" s="440"/>
      <c r="E56" s="208"/>
    </row>
    <row r="57" spans="1:5" s="206" customFormat="1" ht="18" customHeight="1">
      <c r="A57" s="151">
        <v>48</v>
      </c>
      <c r="B57" s="144" t="s">
        <v>771</v>
      </c>
      <c r="C57" s="145">
        <v>100</v>
      </c>
      <c r="D57" s="440"/>
      <c r="E57" s="208"/>
    </row>
    <row r="58" spans="1:5" s="206" customFormat="1" ht="18" customHeight="1">
      <c r="A58" s="151">
        <v>49</v>
      </c>
      <c r="B58" s="144" t="s">
        <v>772</v>
      </c>
      <c r="C58" s="145">
        <v>100</v>
      </c>
      <c r="D58" s="440"/>
      <c r="E58" s="208"/>
    </row>
    <row r="59" spans="1:5" s="206" customFormat="1" ht="18" customHeight="1">
      <c r="A59" s="151">
        <v>50</v>
      </c>
      <c r="B59" s="144" t="s">
        <v>773</v>
      </c>
      <c r="C59" s="145">
        <v>100</v>
      </c>
      <c r="D59" s="440"/>
      <c r="E59" s="208"/>
    </row>
    <row r="60" spans="1:5" s="206" customFormat="1" ht="18" customHeight="1">
      <c r="A60" s="151">
        <v>51</v>
      </c>
      <c r="B60" s="144" t="s">
        <v>774</v>
      </c>
      <c r="C60" s="145">
        <v>100</v>
      </c>
      <c r="D60" s="440"/>
      <c r="E60" s="208"/>
    </row>
    <row r="61" spans="1:5" s="206" customFormat="1" ht="18" customHeight="1">
      <c r="A61" s="151">
        <v>52</v>
      </c>
      <c r="B61" s="144" t="s">
        <v>775</v>
      </c>
      <c r="C61" s="145">
        <v>100</v>
      </c>
      <c r="D61" s="440"/>
      <c r="E61" s="208"/>
    </row>
    <row r="62" spans="1:5" s="206" customFormat="1" ht="18" customHeight="1">
      <c r="A62" s="151">
        <v>53</v>
      </c>
      <c r="B62" s="144" t="s">
        <v>776</v>
      </c>
      <c r="C62" s="145">
        <v>100</v>
      </c>
      <c r="D62" s="440"/>
      <c r="E62" s="208"/>
    </row>
    <row r="63" spans="1:5" s="206" customFormat="1" ht="18" customHeight="1">
      <c r="A63" s="151">
        <v>54</v>
      </c>
      <c r="B63" s="144" t="s">
        <v>777</v>
      </c>
      <c r="C63" s="145">
        <v>100</v>
      </c>
      <c r="D63" s="440"/>
      <c r="E63" s="208"/>
    </row>
    <row r="64" spans="1:5" s="206" customFormat="1" ht="18" customHeight="1">
      <c r="A64" s="151">
        <v>55</v>
      </c>
      <c r="B64" s="144" t="s">
        <v>778</v>
      </c>
      <c r="C64" s="145">
        <v>100</v>
      </c>
      <c r="D64" s="440"/>
      <c r="E64" s="208"/>
    </row>
    <row r="65" spans="1:5" s="206" customFormat="1" ht="18" customHeight="1">
      <c r="A65" s="151">
        <v>56</v>
      </c>
      <c r="B65" s="144" t="s">
        <v>779</v>
      </c>
      <c r="C65" s="145">
        <v>100</v>
      </c>
      <c r="D65" s="440"/>
      <c r="E65" s="208"/>
    </row>
    <row r="66" spans="1:5" s="206" customFormat="1" ht="18" customHeight="1">
      <c r="A66" s="151">
        <v>57</v>
      </c>
      <c r="B66" s="144" t="s">
        <v>780</v>
      </c>
      <c r="C66" s="145">
        <v>100</v>
      </c>
      <c r="D66" s="440"/>
      <c r="E66" s="208"/>
    </row>
    <row r="67" spans="1:5" s="206" customFormat="1" ht="18" customHeight="1">
      <c r="A67" s="151">
        <v>58</v>
      </c>
      <c r="B67" s="144" t="s">
        <v>781</v>
      </c>
      <c r="C67" s="145">
        <v>100</v>
      </c>
      <c r="D67" s="440"/>
      <c r="E67" s="208"/>
    </row>
    <row r="68" spans="1:5" s="206" customFormat="1" ht="32.25" customHeight="1">
      <c r="A68" s="151">
        <v>59</v>
      </c>
      <c r="B68" s="144" t="s">
        <v>913</v>
      </c>
      <c r="C68" s="145">
        <v>100</v>
      </c>
      <c r="D68" s="440"/>
      <c r="E68" s="208"/>
    </row>
    <row r="69" spans="1:5" s="206" customFormat="1" ht="18" customHeight="1">
      <c r="A69" s="151">
        <v>60</v>
      </c>
      <c r="B69" s="144" t="s">
        <v>782</v>
      </c>
      <c r="C69" s="145">
        <v>100</v>
      </c>
      <c r="D69" s="440"/>
      <c r="E69" s="208"/>
    </row>
    <row r="70" spans="1:5" s="206" customFormat="1" ht="18" customHeight="1">
      <c r="A70" s="151">
        <v>61</v>
      </c>
      <c r="B70" s="144" t="s">
        <v>920</v>
      </c>
      <c r="C70" s="145">
        <v>500</v>
      </c>
      <c r="D70" s="440"/>
      <c r="E70" s="208"/>
    </row>
    <row r="71" spans="1:5" s="206" customFormat="1" ht="18" customHeight="1">
      <c r="A71" s="151">
        <v>62</v>
      </c>
      <c r="B71" s="144" t="s">
        <v>921</v>
      </c>
      <c r="C71" s="145">
        <v>500</v>
      </c>
      <c r="D71" s="440"/>
      <c r="E71" s="208"/>
    </row>
    <row r="72" spans="1:5" s="206" customFormat="1" ht="18" customHeight="1">
      <c r="A72" s="151">
        <v>63</v>
      </c>
      <c r="B72" s="144" t="s">
        <v>922</v>
      </c>
      <c r="C72" s="145">
        <v>500</v>
      </c>
      <c r="D72" s="440"/>
      <c r="E72" s="208"/>
    </row>
    <row r="73" spans="1:5" s="206" customFormat="1" ht="24.75" customHeight="1">
      <c r="A73" s="151">
        <v>64</v>
      </c>
      <c r="B73" s="1556" t="s">
        <v>783</v>
      </c>
      <c r="C73" s="1468"/>
      <c r="D73" s="440"/>
      <c r="E73" s="208"/>
    </row>
    <row r="74" spans="1:5" s="206" customFormat="1" ht="18" customHeight="1">
      <c r="A74" s="151">
        <v>65</v>
      </c>
      <c r="B74" s="144" t="s">
        <v>760</v>
      </c>
      <c r="C74" s="145">
        <v>1100</v>
      </c>
      <c r="D74" s="440"/>
      <c r="E74" s="208"/>
    </row>
    <row r="75" spans="1:5" s="206" customFormat="1" ht="18" customHeight="1">
      <c r="A75" s="151">
        <v>66</v>
      </c>
      <c r="B75" s="144" t="s">
        <v>748</v>
      </c>
      <c r="C75" s="145">
        <v>200</v>
      </c>
      <c r="D75" s="440"/>
      <c r="E75" s="208"/>
    </row>
    <row r="76" spans="1:5" s="206" customFormat="1" ht="18" customHeight="1">
      <c r="A76" s="151">
        <v>67</v>
      </c>
      <c r="B76" s="144" t="s">
        <v>781</v>
      </c>
      <c r="C76" s="145">
        <v>200</v>
      </c>
      <c r="D76" s="440"/>
      <c r="E76" s="208"/>
    </row>
    <row r="77" spans="1:5" s="206" customFormat="1" ht="18" customHeight="1">
      <c r="A77" s="151">
        <v>68</v>
      </c>
      <c r="B77" s="144" t="s">
        <v>762</v>
      </c>
      <c r="C77" s="145">
        <v>250</v>
      </c>
      <c r="D77" s="440"/>
      <c r="E77" s="208"/>
    </row>
    <row r="78" spans="1:5" s="206" customFormat="1" ht="18" customHeight="1">
      <c r="A78" s="151">
        <v>69</v>
      </c>
      <c r="B78" s="144" t="s">
        <v>782</v>
      </c>
      <c r="C78" s="145">
        <v>300</v>
      </c>
      <c r="D78" s="440"/>
      <c r="E78" s="208"/>
    </row>
    <row r="79" spans="1:5" s="206" customFormat="1" ht="18" customHeight="1">
      <c r="A79" s="151">
        <v>70</v>
      </c>
      <c r="B79" s="144" t="s">
        <v>784</v>
      </c>
      <c r="C79" s="145">
        <v>90</v>
      </c>
      <c r="D79" s="440"/>
      <c r="E79" s="208"/>
    </row>
    <row r="80" spans="1:5" s="206" customFormat="1" ht="18" customHeight="1">
      <c r="A80" s="151">
        <v>71</v>
      </c>
      <c r="B80" s="144" t="s">
        <v>785</v>
      </c>
      <c r="C80" s="145">
        <v>5000</v>
      </c>
      <c r="D80" s="440"/>
      <c r="E80" s="208"/>
    </row>
    <row r="81" spans="1:5" s="206" customFormat="1" ht="18" customHeight="1">
      <c r="A81" s="151">
        <v>72</v>
      </c>
      <c r="B81" s="144" t="s">
        <v>786</v>
      </c>
      <c r="C81" s="145">
        <v>300</v>
      </c>
      <c r="D81" s="440"/>
      <c r="E81" s="208"/>
    </row>
    <row r="82" spans="1:5" s="206" customFormat="1" ht="18" customHeight="1">
      <c r="A82" s="151">
        <v>73</v>
      </c>
      <c r="B82" s="144" t="s">
        <v>768</v>
      </c>
      <c r="C82" s="145">
        <v>225</v>
      </c>
      <c r="D82" s="440"/>
      <c r="E82" s="208"/>
    </row>
    <row r="83" spans="1:5" s="206" customFormat="1" ht="18" customHeight="1">
      <c r="A83" s="151">
        <v>74</v>
      </c>
      <c r="B83" s="144" t="s">
        <v>787</v>
      </c>
      <c r="C83" s="145">
        <v>350</v>
      </c>
      <c r="D83" s="440"/>
      <c r="E83" s="208"/>
    </row>
    <row r="84" spans="1:5" s="206" customFormat="1" ht="18" customHeight="1">
      <c r="A84" s="151">
        <v>75</v>
      </c>
      <c r="B84" s="144" t="s">
        <v>765</v>
      </c>
      <c r="C84" s="145">
        <v>250</v>
      </c>
      <c r="D84" s="440"/>
      <c r="E84" s="208"/>
    </row>
    <row r="85" spans="1:5" s="206" customFormat="1" ht="18" customHeight="1">
      <c r="A85" s="151">
        <v>76</v>
      </c>
      <c r="B85" s="144" t="s">
        <v>788</v>
      </c>
      <c r="C85" s="145">
        <v>500</v>
      </c>
      <c r="D85" s="440"/>
      <c r="E85" s="208"/>
    </row>
    <row r="86" spans="1:5" s="206" customFormat="1" ht="18" customHeight="1">
      <c r="A86" s="151">
        <v>77</v>
      </c>
      <c r="B86" s="144" t="s">
        <v>753</v>
      </c>
      <c r="C86" s="145">
        <v>500</v>
      </c>
      <c r="D86" s="440"/>
      <c r="E86" s="208"/>
    </row>
    <row r="87" spans="1:5" s="206" customFormat="1" ht="18" customHeight="1">
      <c r="A87" s="151">
        <v>78</v>
      </c>
      <c r="B87" s="144" t="s">
        <v>769</v>
      </c>
      <c r="C87" s="145">
        <v>150</v>
      </c>
      <c r="D87" s="440"/>
      <c r="E87" s="208"/>
    </row>
    <row r="88" spans="1:5" s="206" customFormat="1" ht="24.75" customHeight="1">
      <c r="A88" s="151">
        <v>79</v>
      </c>
      <c r="B88" s="1556" t="s">
        <v>796</v>
      </c>
      <c r="C88" s="145"/>
      <c r="D88" s="440"/>
      <c r="E88" s="208"/>
    </row>
    <row r="89" spans="1:5" s="206" customFormat="1" ht="18" customHeight="1">
      <c r="A89" s="151">
        <v>80</v>
      </c>
      <c r="B89" s="144" t="s">
        <v>789</v>
      </c>
      <c r="C89" s="145">
        <f>1000+250</f>
        <v>1250</v>
      </c>
      <c r="D89" s="440"/>
      <c r="E89" s="208"/>
    </row>
    <row r="90" spans="1:5" s="206" customFormat="1" ht="18" customHeight="1">
      <c r="A90" s="151">
        <v>81</v>
      </c>
      <c r="B90" s="144" t="s">
        <v>790</v>
      </c>
      <c r="C90" s="145">
        <f>1000+250</f>
        <v>1250</v>
      </c>
      <c r="D90" s="440"/>
      <c r="E90" s="208"/>
    </row>
    <row r="91" spans="1:5" s="206" customFormat="1" ht="18" customHeight="1">
      <c r="A91" s="151">
        <v>82</v>
      </c>
      <c r="B91" s="144" t="s">
        <v>791</v>
      </c>
      <c r="C91" s="145">
        <f>1000+250</f>
        <v>1250</v>
      </c>
      <c r="D91" s="440"/>
      <c r="E91" s="208"/>
    </row>
    <row r="92" spans="1:5" s="206" customFormat="1" ht="18" customHeight="1">
      <c r="A92" s="151">
        <v>83</v>
      </c>
      <c r="B92" s="144" t="s">
        <v>792</v>
      </c>
      <c r="C92" s="145">
        <f>1000+250</f>
        <v>1250</v>
      </c>
      <c r="D92" s="440"/>
      <c r="E92" s="208"/>
    </row>
    <row r="93" spans="1:5" s="206" customFormat="1" ht="18" customHeight="1">
      <c r="A93" s="151">
        <v>84</v>
      </c>
      <c r="B93" s="144" t="s">
        <v>793</v>
      </c>
      <c r="C93" s="145">
        <v>2500</v>
      </c>
      <c r="D93" s="440"/>
      <c r="E93" s="208"/>
    </row>
    <row r="94" spans="1:5" s="206" customFormat="1" ht="18" customHeight="1">
      <c r="A94" s="151">
        <v>85</v>
      </c>
      <c r="B94" s="144" t="s">
        <v>794</v>
      </c>
      <c r="C94" s="145">
        <v>2500</v>
      </c>
      <c r="D94" s="440"/>
      <c r="E94" s="208"/>
    </row>
    <row r="95" spans="1:5" s="206" customFormat="1" ht="18" customHeight="1" thickBot="1">
      <c r="A95" s="151">
        <v>86</v>
      </c>
      <c r="B95" s="1557" t="s">
        <v>795</v>
      </c>
      <c r="C95" s="1559">
        <v>2000</v>
      </c>
      <c r="D95" s="440"/>
      <c r="E95" s="208"/>
    </row>
    <row r="96" spans="1:3" ht="30" customHeight="1" thickBot="1">
      <c r="A96" s="151">
        <v>87</v>
      </c>
      <c r="B96" s="146" t="s">
        <v>13</v>
      </c>
      <c r="C96" s="147">
        <f>SUM(C10:C95)</f>
        <v>268815</v>
      </c>
    </row>
  </sheetData>
  <sheetProtection/>
  <mergeCells count="6">
    <mergeCell ref="B3:C3"/>
    <mergeCell ref="B4:C4"/>
    <mergeCell ref="B5:C5"/>
    <mergeCell ref="B6:C6"/>
    <mergeCell ref="B8:B9"/>
    <mergeCell ref="C8:C9"/>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80"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2021-09-16T09:06:09Z</cp:lastPrinted>
  <dcterms:created xsi:type="dcterms:W3CDTF">2015-02-11T07:38:58Z</dcterms:created>
  <dcterms:modified xsi:type="dcterms:W3CDTF">2021-10-04T13:42:36Z</dcterms:modified>
  <cp:category/>
  <cp:version/>
  <cp:contentType/>
  <cp:contentStatus/>
</cp:coreProperties>
</file>