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34" activeTab="0"/>
  </bookViews>
  <sheets>
    <sheet name="1.Onbe" sheetId="1" r:id="rId1"/>
    <sheet name="2.Onki" sheetId="2" r:id="rId2"/>
    <sheet name="3.Inbe " sheetId="3" r:id="rId3"/>
    <sheet name="4.Inki" sheetId="4" r:id="rId4"/>
    <sheet name="5.Infelhki" sheetId="5" r:id="rId5"/>
    <sheet name="6.Önk.műk." sheetId="6" r:id="rId6"/>
    <sheet name="7.Beruh." sheetId="7" r:id="rId7"/>
    <sheet name="8.Felúj." sheetId="8" r:id="rId8"/>
    <sheet name="9.Projekt" sheetId="9" r:id="rId9"/>
    <sheet name="10.MVP és hazai" sheetId="10" r:id="rId10"/>
    <sheet name="11.EKF" sheetId="11" r:id="rId11"/>
    <sheet name="12.Mérleg" sheetId="12" r:id="rId12"/>
    <sheet name="13.Létszám" sheetId="13" r:id="rId13"/>
    <sheet name="14. AKÜ" sheetId="14" r:id="rId14"/>
    <sheet name="15.Beruh.hitelcélok" sheetId="15" r:id="rId15"/>
    <sheet name="16.EU" sheetId="16" r:id="rId16"/>
  </sheets>
  <definedNames>
    <definedName name="_4._sz._sor_részletezése" localSheetId="0">#REF!</definedName>
    <definedName name="_4._sz._sor_részletezése" localSheetId="9">#REF!</definedName>
    <definedName name="_4._sz._sor_részletezése" localSheetId="10">#REF!</definedName>
    <definedName name="_4._sz._sor_részletezése" localSheetId="15">#REF!</definedName>
    <definedName name="_4._sz._sor_részletezése" localSheetId="4">#REF!</definedName>
    <definedName name="_4._sz._sor_részletezése" localSheetId="6">#REF!</definedName>
    <definedName name="_4._sz._sor_részletezése" localSheetId="7">#REF!</definedName>
    <definedName name="_4._sz._sor_részletezése" localSheetId="8">#REF!</definedName>
    <definedName name="_4._sz._sor_részletezése">#REF!</definedName>
    <definedName name="_xlnm.Print_Titles" localSheetId="0">'1.Onbe'!$4:$6</definedName>
    <definedName name="_xlnm.Print_Titles" localSheetId="9">'10.MVP és hazai'!$4:$8</definedName>
    <definedName name="_xlnm.Print_Titles" localSheetId="10">'11.EKF'!$4:$8</definedName>
    <definedName name="_xlnm.Print_Titles" localSheetId="12">'13.Létszám'!$5:$5</definedName>
    <definedName name="_xlnm.Print_Titles" localSheetId="15">'16.EU'!$5:$9</definedName>
    <definedName name="_xlnm.Print_Titles" localSheetId="1">'2.Onki'!$4:$6</definedName>
    <definedName name="_xlnm.Print_Titles" localSheetId="2">'3.Inbe '!$4:$7</definedName>
    <definedName name="_xlnm.Print_Titles" localSheetId="3">'4.Inki'!$4:$7</definedName>
    <definedName name="_xlnm.Print_Titles" localSheetId="4">'5.Infelhki'!$4:$7</definedName>
    <definedName name="_xlnm.Print_Titles" localSheetId="5">'6.Önk.műk.'!$4:$7</definedName>
    <definedName name="_xlnm.Print_Titles" localSheetId="6">'7.Beruh.'!$4:$8</definedName>
    <definedName name="_xlnm.Print_Titles" localSheetId="7">'8.Felúj.'!$4:$8</definedName>
    <definedName name="_xlnm.Print_Titles" localSheetId="8">'9.Projekt'!$4:$8</definedName>
    <definedName name="_xlnm.Print_Area" localSheetId="0">'1.Onbe'!$A$1:$J$68</definedName>
    <definedName name="_xlnm.Print_Area" localSheetId="9">'10.MVP és hazai'!$A$1:$P$40</definedName>
    <definedName name="_xlnm.Print_Area" localSheetId="10">'11.EKF'!$A$1:$Q$136</definedName>
    <definedName name="_xlnm.Print_Area" localSheetId="11">'12.Mérleg'!$A$1:$I$37</definedName>
    <definedName name="_xlnm.Print_Area" localSheetId="12">'13.Létszám'!$A$1:$G$32</definedName>
    <definedName name="_xlnm.Print_Area" localSheetId="13">'14. AKÜ'!$A$1:$X$25</definedName>
    <definedName name="_xlnm.Print_Area" localSheetId="14">'15.Beruh.hitelcélok'!$A$1:$E$21</definedName>
    <definedName name="_xlnm.Print_Area" localSheetId="1">'2.Onki'!$A$1:$J$41</definedName>
    <definedName name="_xlnm.Print_Area" localSheetId="2">'3.Inbe '!$A$1:$R$80</definedName>
    <definedName name="_xlnm.Print_Area" localSheetId="3">'4.Inki'!$A$1:$R$165</definedName>
    <definedName name="_xlnm.Print_Area" localSheetId="4">'5.Infelhki'!$A$1:$I$105</definedName>
    <definedName name="_xlnm.Print_Area" localSheetId="5">'6.Önk.műk.'!$A$1:$N$332</definedName>
    <definedName name="_xlnm.Print_Area" localSheetId="6">'7.Beruh.'!$A$1:$M$55</definedName>
    <definedName name="_xlnm.Print_Area" localSheetId="7">'8.Felúj.'!$A$1:$L$49</definedName>
    <definedName name="_xlnm.Print_Area" localSheetId="8">'9.Projekt'!$A$1:$P$52</definedName>
  </definedNames>
  <calcPr fullCalcOnLoad="1"/>
</workbook>
</file>

<file path=xl/comments9.xml><?xml version="1.0" encoding="utf-8"?>
<comments xmlns="http://schemas.openxmlformats.org/spreadsheetml/2006/main">
  <authors>
    <author>Eckert Szilvia</author>
  </authors>
  <commentList>
    <comment ref="E6" authorId="0">
      <text>
        <r>
          <rPr>
            <b/>
            <sz val="9"/>
            <rFont val="Tahoma"/>
            <family val="2"/>
          </rPr>
          <t>Eckert Szilvia:</t>
        </r>
        <r>
          <rPr>
            <sz val="9"/>
            <rFont val="Tahoma"/>
            <family val="2"/>
          </rPr>
          <t xml:space="preserve">
Hivatalt és intézményeket is beletegyük?</t>
        </r>
      </text>
    </comment>
  </commentList>
</comments>
</file>

<file path=xl/sharedStrings.xml><?xml version="1.0" encoding="utf-8"?>
<sst xmlns="http://schemas.openxmlformats.org/spreadsheetml/2006/main" count="2006" uniqueCount="831">
  <si>
    <t>adatok eFt-ban</t>
  </si>
  <si>
    <t>A</t>
  </si>
  <si>
    <t>C</t>
  </si>
  <si>
    <t>B</t>
  </si>
  <si>
    <t>D</t>
  </si>
  <si>
    <t>E</t>
  </si>
  <si>
    <t>Megnevezés</t>
  </si>
  <si>
    <t>Temetők üzemeltetésével kapcsolatos feladatok</t>
  </si>
  <si>
    <t>Parkfenntartás</t>
  </si>
  <si>
    <t>Köztisztasági feladatok</t>
  </si>
  <si>
    <t>Városi kiemelt fesztiválok</t>
  </si>
  <si>
    <t>Városi lap kiadásai</t>
  </si>
  <si>
    <t>Kitüntetések</t>
  </si>
  <si>
    <t>MINDÖSSZESEN:</t>
  </si>
  <si>
    <t>Veszprém Megyei Jogú Város Önkormányzata</t>
  </si>
  <si>
    <t>F</t>
  </si>
  <si>
    <t>G</t>
  </si>
  <si>
    <t>H</t>
  </si>
  <si>
    <t>Cím</t>
  </si>
  <si>
    <t>Alcím</t>
  </si>
  <si>
    <t>Feladatellátás jellege*</t>
  </si>
  <si>
    <t>Teljes költség</t>
  </si>
  <si>
    <t>Önkormányzati felújítási kiadások</t>
  </si>
  <si>
    <t>K</t>
  </si>
  <si>
    <t>NK</t>
  </si>
  <si>
    <t>Eötvös Károly Megyei Könyvtár</t>
  </si>
  <si>
    <t>VMJV Polgármesteri Hivatal</t>
  </si>
  <si>
    <t>* Feladatellátás jellege:</t>
  </si>
  <si>
    <t>K= Magyarország helyi önkormányzatairól szóló 2011. évi CLXXXIX. törvény 13. § (1) bekezdése szerinti kötelező feladatok</t>
  </si>
  <si>
    <t>NK= Önkormányzat által önként vállalt feladatok</t>
  </si>
  <si>
    <t>J</t>
  </si>
  <si>
    <t>Önkormányzati beruházási kiadások</t>
  </si>
  <si>
    <t>Laczkó Dezső Múzeum</t>
  </si>
  <si>
    <t>Informatikai kiadások</t>
  </si>
  <si>
    <t>I</t>
  </si>
  <si>
    <t>L</t>
  </si>
  <si>
    <t>M</t>
  </si>
  <si>
    <t>Működési költségvetési kiadások</t>
  </si>
  <si>
    <t>Személyi juttatások</t>
  </si>
  <si>
    <t>Munk.a. terh. jár. és szoc.hj.adó</t>
  </si>
  <si>
    <t>Dologi kiadások</t>
  </si>
  <si>
    <t>Egyéb működési kiadások</t>
  </si>
  <si>
    <t>Nemzeti ünnepek kiadásaira</t>
  </si>
  <si>
    <t>Közművelődési szolgált.</t>
  </si>
  <si>
    <t>Nemzetközi kapcsolatok</t>
  </si>
  <si>
    <t>Marketing tevékenység, marketing stratégia</t>
  </si>
  <si>
    <t>ebből: - Veszprémi Ünnepi Játékok</t>
  </si>
  <si>
    <t xml:space="preserve">          - Gizella Napok</t>
  </si>
  <si>
    <t xml:space="preserve">          - Tánc Fesztivál </t>
  </si>
  <si>
    <t xml:space="preserve">          - Veszprémi Utcazene Fesztivál</t>
  </si>
  <si>
    <t xml:space="preserve">          - Auer Hegedűfesztivál</t>
  </si>
  <si>
    <t>Eseti rendezvények</t>
  </si>
  <si>
    <t>Köztéri szobrok, emléktáblák, lektorátus</t>
  </si>
  <si>
    <t>I. Világháborús Centenáriumi Emlékezés költségei</t>
  </si>
  <si>
    <t>Kiadványok, folyóiratok támogatása</t>
  </si>
  <si>
    <t>Méz Rádió támogatása</t>
  </si>
  <si>
    <t>ebből: - Mendelssohn Kamarazenekar</t>
  </si>
  <si>
    <t xml:space="preserve"> - Veszprém Város Vegyeskara</t>
  </si>
  <si>
    <t xml:space="preserve"> - Veszprémi Táncegyüttesért Alapítvány</t>
  </si>
  <si>
    <t xml:space="preserve"> - Liszt F. Kórus</t>
  </si>
  <si>
    <t>Szaléziánum támogatása</t>
  </si>
  <si>
    <t>Sziveri János Intézet működtetése</t>
  </si>
  <si>
    <t>Filharmónia koncertek támogatás</t>
  </si>
  <si>
    <t>Tanórán kívüli tevékenység támogatása</t>
  </si>
  <si>
    <t>Sportpálya fenntartás, ill. fenntartói tám.</t>
  </si>
  <si>
    <t>Sportcélok és feladatok (sportigazgatás)</t>
  </si>
  <si>
    <t>Polgármesteri keret</t>
  </si>
  <si>
    <t>Városi civil keret</t>
  </si>
  <si>
    <t xml:space="preserve"> ebből : - Nyugdíjas szervezetek számára pályázati keret</t>
  </si>
  <si>
    <t xml:space="preserve">            - Pályázati keret</t>
  </si>
  <si>
    <t>Köztemetés</t>
  </si>
  <si>
    <t xml:space="preserve">Közcélú és közhasznú foglalkoztatás </t>
  </si>
  <si>
    <t>Települési szilárdhulladék szállítás ártámogatás</t>
  </si>
  <si>
    <t>Máltai Szeretetszolgálatnak pénzeszköz átadás (ellátási szerződés)</t>
  </si>
  <si>
    <t>Lelkisegély szolgálat</t>
  </si>
  <si>
    <t>Hittudományi Főiskola támogatása</t>
  </si>
  <si>
    <t>Foglalkoztatás eü. szolg.</t>
  </si>
  <si>
    <t>Munkavédelmi feladatok</t>
  </si>
  <si>
    <t>Közbeszerzési eljárások költségei</t>
  </si>
  <si>
    <t xml:space="preserve">Önkormányzat igazgatási tevékenysége </t>
  </si>
  <si>
    <t>Igazgatás - Állam felé befizetési kötelezettség</t>
  </si>
  <si>
    <t>ÁFA befizetés</t>
  </si>
  <si>
    <t>Kamatkiadások</t>
  </si>
  <si>
    <t>Városi Közbiztonság Keret</t>
  </si>
  <si>
    <t>Nem lakáscélú helyiségek üzemeltetési költségei</t>
  </si>
  <si>
    <t>Közüzemi Zrt. jutaléka</t>
  </si>
  <si>
    <t>Városi TV közszolgálati műsorok támogatása</t>
  </si>
  <si>
    <t>Kittenberger K. Növény- és Vadaspark KHT működéséhez hozzájárulás</t>
  </si>
  <si>
    <t>Peres ügyek, Kártérítési díjak kifizetése ingatlantulajdonosok részére</t>
  </si>
  <si>
    <t>Jutasi úti műfüves pálya fenntartása (LUC)</t>
  </si>
  <si>
    <t>TDM Irodától szolgáltatás vásárlása</t>
  </si>
  <si>
    <t>Településfejlesztési feladatok</t>
  </si>
  <si>
    <t>Rekultivációt megelőző telephely fenntartási költség</t>
  </si>
  <si>
    <t>Aluljárók csapadékvíz átemelőinek üzemeltetése</t>
  </si>
  <si>
    <t>Szökőkutak, ivókutak szolgáltatási díjai</t>
  </si>
  <si>
    <t>Közvilágítás</t>
  </si>
  <si>
    <t>Közműalagút működtetése</t>
  </si>
  <si>
    <t>Környezetvédelmi feladat (Városüzemeltetés feladatai)</t>
  </si>
  <si>
    <t>Környezetvédelmi feladat (Közigazgatási Iroda feladatai)</t>
  </si>
  <si>
    <t>Nemzetiségi önkormányzatok kiadásai:</t>
  </si>
  <si>
    <t xml:space="preserve"> ebből: - Roma Nemzetiségi Önkormányzat</t>
  </si>
  <si>
    <t>- Német Nemzetiségi Önkormányzat</t>
  </si>
  <si>
    <t>- Örmény Nemzetiségi Önkormányzat</t>
  </si>
  <si>
    <t>- Lengyel Nemzetiségi Önkormányzat</t>
  </si>
  <si>
    <t>- Ukrán Nemzetiségi Önkormányzat</t>
  </si>
  <si>
    <t>Választókerületi keretből civil szervezetek támogatása</t>
  </si>
  <si>
    <t>Ebből: Önkormányzat által ellátott kötelező feladatok összesen:</t>
  </si>
  <si>
    <t>Ebből: Önkormányzat által ellátott önként vállalt feladatok összesen:</t>
  </si>
  <si>
    <t>KIMUTATÁS</t>
  </si>
  <si>
    <t>Módosítás</t>
  </si>
  <si>
    <t>Megjegyzés</t>
  </si>
  <si>
    <t>Göllesz Viktor Fogyatékos Személyek Nappali Intézménye</t>
  </si>
  <si>
    <t>Intézmények összesen:</t>
  </si>
  <si>
    <t>VMJV Önkormányzata</t>
  </si>
  <si>
    <t>ebből:</t>
  </si>
  <si>
    <t>Összesen</t>
  </si>
  <si>
    <t>1.</t>
  </si>
  <si>
    <t>Iparűzési adó</t>
  </si>
  <si>
    <t>Építményadó</t>
  </si>
  <si>
    <t>Telekadó</t>
  </si>
  <si>
    <t>Kommunális adó</t>
  </si>
  <si>
    <t>Idegenforgalmi adó</t>
  </si>
  <si>
    <t>Gépjárműadó</t>
  </si>
  <si>
    <t>2.</t>
  </si>
  <si>
    <t>3.</t>
  </si>
  <si>
    <t>4.</t>
  </si>
  <si>
    <t>5.</t>
  </si>
  <si>
    <t>Veszprém Megyei Jogú Város Önkormányzata Intézményei</t>
  </si>
  <si>
    <t>Működési költségvetési bevételek</t>
  </si>
  <si>
    <t>Felhalmozási költségvetési bevételek</t>
  </si>
  <si>
    <t>Irányító szervtől kapott támogatás</t>
  </si>
  <si>
    <t>Működési bevételek</t>
  </si>
  <si>
    <t>Működési célú támogatás Áht-on belülről</t>
  </si>
  <si>
    <t>Működési célú átvett pénzeszköz</t>
  </si>
  <si>
    <t>Felhalmozási bevétel</t>
  </si>
  <si>
    <t>Felhalmozási célú támogatás Áht.-on belülről</t>
  </si>
  <si>
    <t>Felhalmozási célú átvett pénzeszköz</t>
  </si>
  <si>
    <t>Közcélú és közhasznú foglalkoztatás</t>
  </si>
  <si>
    <t>(Ringató Óvoda, Erdei Tagóvoda, Kuckó Tagóvoda)</t>
  </si>
  <si>
    <t>(Egry ltp. Óvoda, Nárcisz Tagóvoda)</t>
  </si>
  <si>
    <t>(Csillag úti Óvoda, Cholnoky ltp. Óvoda)</t>
  </si>
  <si>
    <t>(Kastélykert Óvoda, Ficánka Óvoda)</t>
  </si>
  <si>
    <t>Veszprémi Petőfi Színház</t>
  </si>
  <si>
    <t>INTÉZMÉNYEK ÖSSZESEN:</t>
  </si>
  <si>
    <t>VMJV Polgármesteri Hivatal által ellátott kötelező és önként vállalt feladatok</t>
  </si>
  <si>
    <t>N</t>
  </si>
  <si>
    <t>O</t>
  </si>
  <si>
    <t>P</t>
  </si>
  <si>
    <t>Felhalmozási költségvetési kiadások</t>
  </si>
  <si>
    <t>Egyéb felhalmozási célú kiadások</t>
  </si>
  <si>
    <t>Igazgatási tevékenység</t>
  </si>
  <si>
    <t>Gondnokság</t>
  </si>
  <si>
    <t>Ebből:</t>
  </si>
  <si>
    <t>Önkormányzati kötelező feladatokat ellátó intézmények összesen</t>
  </si>
  <si>
    <t>Önkormányzat által önként vállalt feladatokat ellátó intézmények összesen</t>
  </si>
  <si>
    <t>VMJV Polgármesteri Hivatal által ellátott kötelező és államigazgatási feladatok összesen</t>
  </si>
  <si>
    <t>Veszprém Megyei Jogú Város Önkormányzatának</t>
  </si>
  <si>
    <t>Működési célú támogatások Áht-on belülről</t>
  </si>
  <si>
    <t>Önkormányzatok működési támogatásai</t>
  </si>
  <si>
    <t>Működési célú költségvetési támogatások és kiegészítő támogatások</t>
  </si>
  <si>
    <t>Egyéb működési célú támogatások bevételei</t>
  </si>
  <si>
    <t>ebből: Társadalombizt. Alapból származó támogatás</t>
  </si>
  <si>
    <t>Önkormányzati Intézmények  működési célú támogatások Áht-on belülről</t>
  </si>
  <si>
    <t>Közhatalmi bevételek</t>
  </si>
  <si>
    <t>Adók</t>
  </si>
  <si>
    <t>Egyéb pótlékok, bírságok</t>
  </si>
  <si>
    <t>Egyéb közhatalmi bevételek (bírságok, igazgatási szolgáltatási díjak)</t>
  </si>
  <si>
    <t>Önkormányzati Intézmények működési bevételek</t>
  </si>
  <si>
    <t>Működési célú átvett pénzeszközök</t>
  </si>
  <si>
    <t>Önkormányzati Intézmények működési célú átvett pénzeszközök</t>
  </si>
  <si>
    <t>Felhalmozási célú támogatások Áht-on belülről</t>
  </si>
  <si>
    <t>Felhalmozási célú önkormányzati támogatások</t>
  </si>
  <si>
    <t>Egyéb felhalmozási célú támogatások bevételei</t>
  </si>
  <si>
    <t>Önkormányzati Intézmények felhalmozási célú támogatások Áht-on belülről</t>
  </si>
  <si>
    <t>Felhalmozási bevételek</t>
  </si>
  <si>
    <t>Ingatlanok értékesítése</t>
  </si>
  <si>
    <t>Önkormányzati Intézmények felhalmozási bevételei</t>
  </si>
  <si>
    <t>Felhalmozási célú átvett pénzeszközök</t>
  </si>
  <si>
    <t>Önkormányzati Intézmények felhalmozási célú átvett pénzeszközök</t>
  </si>
  <si>
    <t>Lakásalap</t>
  </si>
  <si>
    <t>Költségvetési bevételek összesen</t>
  </si>
  <si>
    <t>Költségvetési egyenleg összege</t>
  </si>
  <si>
    <t>Finanszírozási bevételek</t>
  </si>
  <si>
    <t>Intézmények</t>
  </si>
  <si>
    <t>VMJV Polgármesteri Hivatala</t>
  </si>
  <si>
    <t>Beruházási hitelfelvétel</t>
  </si>
  <si>
    <t>Előző évi hitelszerződéseken alapuló felvétel</t>
  </si>
  <si>
    <t>Bevételi főösszeg</t>
  </si>
  <si>
    <t xml:space="preserve">Cím  </t>
  </si>
  <si>
    <t>Intézményi költségvetési kiadások</t>
  </si>
  <si>
    <t>Céltartalékok</t>
  </si>
  <si>
    <t>Általános tartalék</t>
  </si>
  <si>
    <t>Lakásalap kiadása</t>
  </si>
  <si>
    <t>Költségvetési kiadások összesen</t>
  </si>
  <si>
    <t>Finanszírozási kiadások</t>
  </si>
  <si>
    <t>Működési finanszírozási kiadások</t>
  </si>
  <si>
    <t>Felhalmozási finanszírozási kiadások</t>
  </si>
  <si>
    <t xml:space="preserve"> - Hiteltörlesztés</t>
  </si>
  <si>
    <t xml:space="preserve"> - Lakásalap hiteltörlesztése</t>
  </si>
  <si>
    <t>Kiadási főösszeg</t>
  </si>
  <si>
    <t>VESZPRÉM MEGYEI JOGÚ VÁROS ÖNKORMÁNYZATÁNAK MŰKÖDÉSI ÉS FELHALMOZÁSI</t>
  </si>
  <si>
    <t>MŰKÖDÉSI KÖLTSÉGVETÉSI BEVÉTELEK</t>
  </si>
  <si>
    <t>MŰKÖDÉSI KÖLTSÉGVETÉSI KIADÁSOK</t>
  </si>
  <si>
    <t>Működési célú támogatások államháztartáson belülről</t>
  </si>
  <si>
    <t>Munkaadókat terhelő járulékok és szociális hozzájárulási adó</t>
  </si>
  <si>
    <t>Ellátottak pénzbeli juttatásai</t>
  </si>
  <si>
    <t>Egyéb működési célú kiadások (tartalékok nélkül)</t>
  </si>
  <si>
    <t>6.</t>
  </si>
  <si>
    <t>Működési költségvetési bevételek összesen</t>
  </si>
  <si>
    <t>Működési költségvetési kiadások összesen</t>
  </si>
  <si>
    <t>FELHALMOZÁSI KÖLTSÉGVETÉSI BEVÉTELEK</t>
  </si>
  <si>
    <t>FELHALMOZÁSI KÖLTSÉGVETÉSI KIADÁSOK</t>
  </si>
  <si>
    <t>Felhalmozási célú támogatások államháztartáson belülről</t>
  </si>
  <si>
    <t>Beruházási kiadások</t>
  </si>
  <si>
    <t>Felújítási kiadások</t>
  </si>
  <si>
    <t>Felhalmozási költségvetési bevételek összesen</t>
  </si>
  <si>
    <t>Felhalmozási költségvetési kiadások összesen</t>
  </si>
  <si>
    <t>MŰKÖDÉSI FINANSZÍROZÁSI BEVÉTELEK</t>
  </si>
  <si>
    <t>MŰKÖDÉSI FINANSZÍROZÁSI KIADÁSOK</t>
  </si>
  <si>
    <t>FELHALMOZÁSI FINANSZÍROZÁSI BEVÉTELEK</t>
  </si>
  <si>
    <t>FELHALMOZÁSI FINANSZÍROZÁSI KIADÁSOK</t>
  </si>
  <si>
    <t>Hosszú lejáratú hitel felvétele</t>
  </si>
  <si>
    <t>Hosszú lejáratú hitel tőkeösszegének törlesztése</t>
  </si>
  <si>
    <t>Finanszírozási bevételek összesen</t>
  </si>
  <si>
    <t>Finanszírozási kiadások összesen</t>
  </si>
  <si>
    <t>ÖSSZES BEVÉTEL</t>
  </si>
  <si>
    <t>ÖSSZES KIADÁS</t>
  </si>
  <si>
    <t>ebből működési:</t>
  </si>
  <si>
    <t>ebből felhalmozási:</t>
  </si>
  <si>
    <t>Finanszírozási kiadásokkal korrigált hiány összege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</si>
  <si>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</si>
  <si>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</si>
  <si>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</si>
  <si>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</si>
  <si>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 xml:space="preserve"> </t>
  </si>
  <si>
    <t>Közfoglalkoztatottak létszáma</t>
  </si>
  <si>
    <t>I.</t>
  </si>
  <si>
    <t>Kiemelt művészeti együttesek támogatása</t>
  </si>
  <si>
    <t>Swing-Swing Kft. Szolgáltatás vásárlás</t>
  </si>
  <si>
    <t>Bérleményekkel, haszonbérletekkel kapcsolatos feladatok</t>
  </si>
  <si>
    <t>Csapadékcsatornák üzemeltetési szolgáltatásai</t>
  </si>
  <si>
    <t>Felhalmozási célú átvett pénzeszközök (kölcsönök visszatérülése)</t>
  </si>
  <si>
    <t>Felhalmozási célú költségvetési maradvány igénybevétele</t>
  </si>
  <si>
    <t>Működési célú  költségvetési maradvány igénybevétele</t>
  </si>
  <si>
    <t>Előző évi  költségvetési maradvány</t>
  </si>
  <si>
    <t>Államháztartáson belüli megelőlegezések</t>
  </si>
  <si>
    <t>Államháztartáson belüli megelőlegezések visszafizetése</t>
  </si>
  <si>
    <t>Veszprémi Ringató Körzeti Óvoda</t>
  </si>
  <si>
    <t>Veszprémi Egry úti Körzeti Óvoda</t>
  </si>
  <si>
    <t>Veszprémi Csillag úti Körzeti Óvoda</t>
  </si>
  <si>
    <t>Veszprémi Kastélykert Körzeti Óvoda</t>
  </si>
  <si>
    <t>Veszprémi Intézményi Szolgáltató Szervezet</t>
  </si>
  <si>
    <t>Nyári diákmunka</t>
  </si>
  <si>
    <t>Pannon Várszínház támogatás</t>
  </si>
  <si>
    <t>Végleges forgalomba helyezéshez szükséges ingatlanrendezés</t>
  </si>
  <si>
    <t>Pápai u.-Jutasi u. belső krt mellékkötelezettségek</t>
  </si>
  <si>
    <t>Városi rendezvények</t>
  </si>
  <si>
    <t>SÉD folyóirat költségei</t>
  </si>
  <si>
    <t>M.J.V.SZ. tám. Kárpátalja megsegítésére</t>
  </si>
  <si>
    <t>ebből:  - Lélektér Alapítvány</t>
  </si>
  <si>
    <t xml:space="preserve">           - Tanulmányi ösztöndíj</t>
  </si>
  <si>
    <t xml:space="preserve">           - Fiatalok napja rendezvény</t>
  </si>
  <si>
    <t>Lakbértámogatás</t>
  </si>
  <si>
    <t>Települési támogatások</t>
  </si>
  <si>
    <t>Parkolók üzemeltetési költsége</t>
  </si>
  <si>
    <t>ebből: - Vár Ucca Műhely támogatása</t>
  </si>
  <si>
    <t xml:space="preserve">          - Veszprémi Szemle Várostörténeti Közhasznú Alapítvány Támogatása</t>
  </si>
  <si>
    <t>ebből:  - Rendkívüli támogatás</t>
  </si>
  <si>
    <t>Közfoglalkoztatottak és diákmunkások létszáma</t>
  </si>
  <si>
    <t>Egészségügyi feladatok ellátását szolgáló ingatlanrész bérleti díja és rezsiköltségek</t>
  </si>
  <si>
    <t>Szolgáltatások, közvetített szolgáltatások ellenértéke</t>
  </si>
  <si>
    <t>Tulajdonosi bevételek</t>
  </si>
  <si>
    <t>ÁFA bevételek és visszatérülések</t>
  </si>
  <si>
    <t xml:space="preserve">Egyéb működési  bevételek </t>
  </si>
  <si>
    <t>Költségvetési hiány belső finanszírozására szolgáló bevételek</t>
  </si>
  <si>
    <t>Költségvetési hiány külső finanszírozására szolgáló bevételek</t>
  </si>
  <si>
    <t>Feladatellátás jellege</t>
  </si>
  <si>
    <t>Egyéb városüzemeltetési feladatok</t>
  </si>
  <si>
    <t>VKSZ Zrt. által ellátott városüzemeltetési feladatok</t>
  </si>
  <si>
    <t>VKSZ Zrt. által ellátott intézményüzemeltetési feladatok</t>
  </si>
  <si>
    <t>Intézményi működtetők költsége</t>
  </si>
  <si>
    <t>Szenvedélybetegek ellátásának működési kiadásaihoz támogatás</t>
  </si>
  <si>
    <t>Költségvetési maradvány</t>
  </si>
  <si>
    <t>eredeti előirányzat</t>
  </si>
  <si>
    <t>(Hársfa Tagóvoda, Bóbita Óvoda)</t>
  </si>
  <si>
    <t>Veszprémi Bóbita Körzeti Óvoda</t>
  </si>
  <si>
    <t>Veszprémi Vadvirág Körzeti Óvoda</t>
  </si>
  <si>
    <t>Bérlakások üzemeltetési költségei</t>
  </si>
  <si>
    <t>17</t>
  </si>
  <si>
    <t>Vagyongazdálkodással és ingatlanhasznosítással összefüggő fel. (Földhivatali eljárások, vagyonértékelés)</t>
  </si>
  <si>
    <t>Gizella Múzeum támogatása</t>
  </si>
  <si>
    <t>Polgármester, Alpolgármesterek</t>
  </si>
  <si>
    <t>(Csillagvár Waldorf Tagóvoda, Vadvirág Óvoda)</t>
  </si>
  <si>
    <t>Q</t>
  </si>
  <si>
    <t>Hitel megnevezése</t>
  </si>
  <si>
    <t>Hitelt nyújtó pénzintézet</t>
  </si>
  <si>
    <t>Lejárat idő- pontja</t>
  </si>
  <si>
    <t>Hitelkeret</t>
  </si>
  <si>
    <t>OTP Bank</t>
  </si>
  <si>
    <t>UniCredit Bank</t>
  </si>
  <si>
    <t>Takarékbank</t>
  </si>
  <si>
    <t>7.</t>
  </si>
  <si>
    <t>Pénzintézetekkel szemben fenálló kötelezettségek összesen</t>
  </si>
  <si>
    <t>Veszprémi Bölcsődei és Egészségügyi Alapellátási Integrált Intézmény</t>
  </si>
  <si>
    <t xml:space="preserve"> - Gizella Kórus/Dowland Alapítvány</t>
  </si>
  <si>
    <t xml:space="preserve">Központi orvosi ügyelet </t>
  </si>
  <si>
    <t>ELENA projekt előkészítési feladatokra konzorciumi hozzájárulás</t>
  </si>
  <si>
    <t xml:space="preserve">           - Veszprémi Ifjúsági Közalapítvány</t>
  </si>
  <si>
    <t xml:space="preserve"> Európai Uniós forrásból finanszírozott támogatással megvalósuló programok, projektek bevételeiről és kiadásairól az Ávr. 24. § (1) bekezdés a.) és bd.) pontjainak megfelelően</t>
  </si>
  <si>
    <t>Program megnevezés</t>
  </si>
  <si>
    <t>Program megvalósításának ideje</t>
  </si>
  <si>
    <t>Saját erő</t>
  </si>
  <si>
    <t>EU támogatás összesen</t>
  </si>
  <si>
    <t>EU támogatás</t>
  </si>
  <si>
    <t>VMJV Önkormányzat</t>
  </si>
  <si>
    <t xml:space="preserve">Veszprémi Bóbita Körzeti Óvoda </t>
  </si>
  <si>
    <r>
      <t>Ebből</t>
    </r>
    <r>
      <rPr>
        <i/>
        <sz val="10"/>
        <rFont val="Palatino Linotype"/>
        <family val="1"/>
      </rPr>
      <t>: költségvetési támogatás</t>
    </r>
  </si>
  <si>
    <t>Projekt forrás összetétel</t>
  </si>
  <si>
    <t>Projekt költség megbontás</t>
  </si>
  <si>
    <t>2016. évi            tény</t>
  </si>
  <si>
    <t>2016. évi                tény</t>
  </si>
  <si>
    <t>1-16</t>
  </si>
  <si>
    <t>a Veszprém Megyei Jogú Város Önkormányzata Támogatási Szerződéssel rendelkező</t>
  </si>
  <si>
    <t>Eü. Alapellátás</t>
  </si>
  <si>
    <t>Megyei Könyvtár kistelepülési könyvtári és közművelődési célú kiegészítő állami támogatás</t>
  </si>
  <si>
    <t>Stadion üzemeltetése</t>
  </si>
  <si>
    <t>Városi ifjúsági keret</t>
  </si>
  <si>
    <t>Rendszeres gyermekvédelmi kedvezmény/pénzbeli ellátás</t>
  </si>
  <si>
    <t>Szünidei gyermekétkeztetés</t>
  </si>
  <si>
    <t xml:space="preserve">          - Lakásfenntartási támogatás </t>
  </si>
  <si>
    <t xml:space="preserve">          - Albérleti támogatás</t>
  </si>
  <si>
    <t xml:space="preserve">          - Temetési támogatás</t>
  </si>
  <si>
    <t xml:space="preserve">          - Térítési díj</t>
  </si>
  <si>
    <t xml:space="preserve">          - Gyógyszertámogatás</t>
  </si>
  <si>
    <t xml:space="preserve">         - Adósságcsökkentési támogatás</t>
  </si>
  <si>
    <t xml:space="preserve">         - Szünidei gyermekétkeztetés</t>
  </si>
  <si>
    <t>Nevelési szolgáltatás</t>
  </si>
  <si>
    <t>Német Nemzetiségi Önk. helységének bérleti díja</t>
  </si>
  <si>
    <t>Szolidaritási hozzájárulás</t>
  </si>
  <si>
    <t xml:space="preserve">Észak-Nyugati Közlekedési Központ Zrt. Helyi közösségi közlekedés közszolgáltatás és veszteségkiegyenlítés </t>
  </si>
  <si>
    <t>Térinformatikai rendszer adatfeltöltés, fakataszter</t>
  </si>
  <si>
    <t>DAT térképfrissítés, földkönyv, közműnyilvántartás, GPS</t>
  </si>
  <si>
    <t>Hiány finanszírozása belső finanszírozásra szolgáló költségvetési bevétel összegével</t>
  </si>
  <si>
    <t>Hiány finanszírozása külső finanszírozásra szolgáló költségvetési bevétel összegével</t>
  </si>
  <si>
    <t>Csillagvár Waldorf Tagóvoda</t>
  </si>
  <si>
    <t>Hársfa Tagóvoda</t>
  </si>
  <si>
    <t>Nárcisz Tagóvoda</t>
  </si>
  <si>
    <t>Cholnoky Jenő Ltp. Tagóvoda</t>
  </si>
  <si>
    <t>Ficánka Tagóvoda</t>
  </si>
  <si>
    <t>Hóvirág Bölcsőde</t>
  </si>
  <si>
    <t>Vackor Bölcsőde</t>
  </si>
  <si>
    <t>Aprófalvi Bölcsőde</t>
  </si>
  <si>
    <t>Módszertani Bölcsőde</t>
  </si>
  <si>
    <t>Fogorvosi körzeteknek működési hozzájárulás</t>
  </si>
  <si>
    <t>Fogorvosi körzetek részére pályázati alap</t>
  </si>
  <si>
    <t>Állatmenhelyek támogatása</t>
  </si>
  <si>
    <t>Helikoni Ünnepségek Keszthelyen (diákok nevezési díjai)</t>
  </si>
  <si>
    <t>Hatósági engedélyek beszerzése, hatályban tartása</t>
  </si>
  <si>
    <t>Gyulafirátót 10089/4 hrsz-ú ingatlan közműfejlesztési költségei</t>
  </si>
  <si>
    <t>TOP-6.3.3-16-VP1-2017-00001 Dózsaváros, Pápai úti csapadékvíz-elvezető rendszer fejlesztése</t>
  </si>
  <si>
    <t>Kulturális kínálat bővítés/ amatőr művészeti csoportok támogatása</t>
  </si>
  <si>
    <t>Veszprémi Kistérségi Társulásnak pénzeszköz átadás (Egyesített Szoc.Int.)</t>
  </si>
  <si>
    <t>Közutak, hidak fenntartása</t>
  </si>
  <si>
    <t xml:space="preserve"> - Viziközmű fejlesztés</t>
  </si>
  <si>
    <t>Művészetek Háza Veszprém Művelődési Ház és Kiállítóhely</t>
  </si>
  <si>
    <t>Kabóca Bábszínház</t>
  </si>
  <si>
    <t xml:space="preserve">Kabóca Bábszínház </t>
  </si>
  <si>
    <t>2017. évi tény</t>
  </si>
  <si>
    <t>601835-CITIZ-1-2018-1-HU-CITIZ-NT Reveal YouropEaN Cultural Heritage/Tárd fel  európai kulturális örökségedet (ENriCH)</t>
  </si>
  <si>
    <t>Veszprémi Családsegítő és Gyermekjóléti Integrált Intézmény</t>
  </si>
  <si>
    <t>Agóra Veszprém Kulturális Központ</t>
  </si>
  <si>
    <t xml:space="preserve">Agóra Veszprém Kulturális Központ </t>
  </si>
  <si>
    <t>1-17</t>
  </si>
  <si>
    <t>18</t>
  </si>
  <si>
    <t>Napsugár Bölcsőde</t>
  </si>
  <si>
    <t>TOP-6.4.1-16-VP1-2018-00002 Kerékpárút építése Márkó-Bánd települések irányába</t>
  </si>
  <si>
    <t>Oktatási intézmények támogatása</t>
  </si>
  <si>
    <t>Téli rezsicsökkentésben nem részesültek egyszeri támogatása</t>
  </si>
  <si>
    <t>VESZOL - Veszprém, Pápai u. 37. sz. munkásszálló működetési feladatai</t>
  </si>
  <si>
    <t>MVP Veszprémi Zeneművészeti Szakgimnázium és Alapfokú Művészeti Iskola intézményegysége, a Csermák Antal Zeneiskola felújításához tartozó költöztetési feladatok elvégzése</t>
  </si>
  <si>
    <t>TOP orvosi rendelők felújításához tartozó költöztetési munkák</t>
  </si>
  <si>
    <t>Felújításra kerülő bölcsődék költöztetési, eszközszállítási feladatai</t>
  </si>
  <si>
    <t>Infrastruktúra fejlesztési feladatokhoz kapcsolódó kiadások</t>
  </si>
  <si>
    <t>GINOP - 7.1.9-17-2018-00023 Veszprém kulturális turisztikai kínálatának fejlesztése</t>
  </si>
  <si>
    <t>Védett sírok felújítása az Alsóvárosi temetőben</t>
  </si>
  <si>
    <t>Brusznyai Árpád Alapítvány támogatása</t>
  </si>
  <si>
    <t>Működési célú tartalékok</t>
  </si>
  <si>
    <t>Felhalmozási célú tartalékok</t>
  </si>
  <si>
    <t>Működési célú céltartalékok</t>
  </si>
  <si>
    <t>Felhalmozási célú céltartalékok</t>
  </si>
  <si>
    <t>R</t>
  </si>
  <si>
    <t>S</t>
  </si>
  <si>
    <t>Tőke-törlesztés 2022</t>
  </si>
  <si>
    <t>Kamat 2022</t>
  </si>
  <si>
    <t>8.</t>
  </si>
  <si>
    <t>URBACT Innova Tor</t>
  </si>
  <si>
    <t>Projekt teljes költség</t>
  </si>
  <si>
    <t>TOP-6.5.1-16-VP1-2018-00002 Völgyikút utca 2. szám alatti épület energetikai megújítása</t>
  </si>
  <si>
    <t>TOP-6.2.1-16-VP1-2018-00001  A Veszprémi Bölcsődei és Egészségügyi Alapellátási Integrált Intézmény Módszertani Bölcsődéje megújítása, illetve bölcsődei eszközbeszerzések</t>
  </si>
  <si>
    <t xml:space="preserve"> - Beruházási kiadásokra képzett céltartalék                     </t>
  </si>
  <si>
    <t xml:space="preserve"> - Intézményi beruházáshoz kapcsolódó létszámbővítés</t>
  </si>
  <si>
    <t xml:space="preserve">          - Beiskolázási támogatás</t>
  </si>
  <si>
    <t>Magyarország gazdasági stabilitásáról szóló 2011. évi CXCIV. törvény szerint Kormányengedélyhez kötött, adósságot keletkeztető ügylet</t>
  </si>
  <si>
    <t>2022. év</t>
  </si>
  <si>
    <t>2018. évi tény</t>
  </si>
  <si>
    <t>VMJV Polgármesteri Hivatal összesen:</t>
  </si>
  <si>
    <t>Munk.a. terh. Jár. És szoc.hj.adó</t>
  </si>
  <si>
    <t>TOP-6.3.2-16-VP1-2018-00001 Kulturális negyed</t>
  </si>
  <si>
    <t>Egyéb működési célú kiadások</t>
  </si>
  <si>
    <t>Teljes költség*</t>
  </si>
  <si>
    <t>* Az intézményeknél kimutatott adatokat is tartalmazza</t>
  </si>
  <si>
    <t>Működési költségvetési                                                                         kiadások</t>
  </si>
  <si>
    <r>
      <rPr>
        <b/>
        <sz val="10"/>
        <rFont val="Palatino Linotype"/>
        <family val="1"/>
      </rPr>
      <t>TOP – 6.9.2 -16-VP1-2018-00001</t>
    </r>
    <r>
      <rPr>
        <sz val="10"/>
        <rFont val="Palatino Linotype"/>
        <family val="1"/>
      </rPr>
      <t xml:space="preserve"> Közösségfejlesztés Veszprém város településrészein</t>
    </r>
  </si>
  <si>
    <t>Helyi és nemzetiségi önkormányzati képviselők 2019. évi választása</t>
  </si>
  <si>
    <t xml:space="preserve"> - Adóbevételekkel szembeni kötelezettség</t>
  </si>
  <si>
    <t>Óvodák összesen:</t>
  </si>
  <si>
    <t>Egészségügyi és szociális intézmények összesen:</t>
  </si>
  <si>
    <t>Kulturális és közművelődési intézmények összesen:</t>
  </si>
  <si>
    <t xml:space="preserve">Előir. csop. </t>
  </si>
  <si>
    <t>Kie-melt előir.</t>
  </si>
  <si>
    <t xml:space="preserve">Kie-melt előir. </t>
  </si>
  <si>
    <t xml:space="preserve"> Erdei és Kuckó Tagóvoda</t>
  </si>
  <si>
    <t>Önkormányzati működési kiadások</t>
  </si>
  <si>
    <t>INTÉZMÉNYEK BERUHÁZÁSI KIADÁSAI ÖSSZESEN:</t>
  </si>
  <si>
    <t>VMJV  Polgármesteri Hivatal beruházási kiadásai összesen:</t>
  </si>
  <si>
    <t>BERUHÁZÁSI KIADÁSOK MINDÖSSZESEN:</t>
  </si>
  <si>
    <t>TOP-6.6.1-16-VP1-2018-00004 Vilonyai utca 2/B szám alatti orvosi rendelő megújítása</t>
  </si>
  <si>
    <t>TOP-6.1.5-16-VP1-2017-00001 Északi Iparterület Közlekedés-fejlesztése</t>
  </si>
  <si>
    <t>TOP-6.4.1-16-VP1-2018-00002 Márkó-Bánd települések irányába kerékpárút építése</t>
  </si>
  <si>
    <t>KEHOP-5.4.1-16-2016-00142 "Veszprém, az energiatudatos város"</t>
  </si>
  <si>
    <t xml:space="preserve">TOP-7.1.1-16-H-ERFA-2019-00078 Szent Miklós-szegi Kálvária domb és környékének infrastrukturális felújítása és funkcióbővítése </t>
  </si>
  <si>
    <t>"Scholl of Participation" - Creative Europe projekt</t>
  </si>
  <si>
    <t>"Ister DTP Interreg Projekt</t>
  </si>
  <si>
    <t>TOP-7.1.1-16-H-ERFA-2019-00372 Barátságparki csalánkert</t>
  </si>
  <si>
    <t>KEHOP-1.2.1-18-2019-00247 Veszprém MJV klímastratégia kidolgozása és klímatudatosságot erősítő, szemléletformáló programok megvalósítása</t>
  </si>
  <si>
    <t>Erasmus+ KA1 " Media of the Future</t>
  </si>
  <si>
    <t>Iparos Park</t>
  </si>
  <si>
    <t>Veszprémi Petőfi Színház komplex fejlesztése</t>
  </si>
  <si>
    <t>Veszprémi Zeneművészeti Szakgimnázium és Alapfokú Művészeti Iskola intézményegysége, a Csermák Antal Zeneiskola felújításának megvalósítása</t>
  </si>
  <si>
    <t>Veszprémi új Városi Jégcsarnok építése</t>
  </si>
  <si>
    <t>Veszprémi Atlétikai Stadion megvalósítás - II. ütem</t>
  </si>
  <si>
    <t>MVP feladatok előkészítés költségei</t>
  </si>
  <si>
    <t>Beruházások közműdíjai</t>
  </si>
  <si>
    <t>Egry úti Óvoda újjáépítése miatt szükséges óvodai felújítások, konténer ovi telepítése</t>
  </si>
  <si>
    <t>Vízrendezési feladatok, árkok felújítása</t>
  </si>
  <si>
    <t>Európa Kulturális Fővárosa II. ütem</t>
  </si>
  <si>
    <t>Működési kiadások</t>
  </si>
  <si>
    <t>Közvilágítás fejlesztése (Zrínyi Miklós utca és a Káposztáskert utca)</t>
  </si>
  <si>
    <t>CLLD - Városrészi közösségi és kulturális terek infrastrukturális felújítása, átépítése</t>
  </si>
  <si>
    <t>Járásszékhely múzeumok szakmai támogatása</t>
  </si>
  <si>
    <t>Káposztáskert utcai távközlési kábel áthelyezése és új kiépítése</t>
  </si>
  <si>
    <t>Magyar Kórusok találkozója</t>
  </si>
  <si>
    <t>Programiroda Kft. törzstőke emelés</t>
  </si>
  <si>
    <t xml:space="preserve">Programiroda Kft. tőketartalékba helyezés </t>
  </si>
  <si>
    <t>Veszprém - Balaton 2023 Zrt. törzstőke emelés</t>
  </si>
  <si>
    <t>Veszprém - Balaton 2023 Zrt. tőketartalékba helyezés</t>
  </si>
  <si>
    <t xml:space="preserve">207/2019. (IX.26.) Közgy.h. GFT beruházás: Veszprém Séd 3. sz. kút bekötővezeték, Kút bekötése a települési hálózatba </t>
  </si>
  <si>
    <t>207/2019. (IX.26.) Közgy.h. GFT beruházás:  Veszprém Méhes utca, Támfal építéshez kapcsolódó ivóvíz-hálózat bővítés</t>
  </si>
  <si>
    <t xml:space="preserve">207/2019. (IX.26.) Közgy.h. GFT beruházás: Veszprém Reguly A. utca, Barnamezős beruházásokhoz kapcsolódóan ivóvízvezeték kapacitás bővítés </t>
  </si>
  <si>
    <t xml:space="preserve"> - Képviselői keret</t>
  </si>
  <si>
    <t>Gyulafirátóti Bölcsőde</t>
  </si>
  <si>
    <t>Védőnői Szolgálat</t>
  </si>
  <si>
    <r>
      <rPr>
        <b/>
        <sz val="10"/>
        <rFont val="Palatino Linotype"/>
        <family val="1"/>
      </rPr>
      <t xml:space="preserve">TOP – 6.9.2 -16-VP1-2018-00001 </t>
    </r>
    <r>
      <rPr>
        <sz val="10"/>
        <rFont val="Palatino Linotype"/>
        <family val="1"/>
      </rPr>
      <t>Közösségfejlesztés Veszprém város településrészein</t>
    </r>
  </si>
  <si>
    <r>
      <rPr>
        <b/>
        <sz val="10"/>
        <rFont val="Palatino Linotype"/>
        <family val="1"/>
      </rPr>
      <t xml:space="preserve">EFOP-3.3.2-16-2016-00107 </t>
    </r>
    <r>
      <rPr>
        <sz val="10"/>
        <rFont val="Palatino Linotype"/>
        <family val="1"/>
      </rPr>
      <t>Kulturális intézmények a köznevelés eredményességéért</t>
    </r>
  </si>
  <si>
    <t>Közösség Kádártáért Egyesület</t>
  </si>
  <si>
    <t>Virágzó Veszprém Egyesület</t>
  </si>
  <si>
    <t>Lokálpatrióták a Városért Egyesület</t>
  </si>
  <si>
    <t>Veszprémi Kultúráért Közalapítvány (új kuratórium, könyvvizsgálat költségeire)</t>
  </si>
  <si>
    <t>Gerence Hagyományőrző Néptáncegyüttes támogatása</t>
  </si>
  <si>
    <t xml:space="preserve">            - Civil irodai szolgáltatások, civil ház</t>
  </si>
  <si>
    <t xml:space="preserve">            - Civil nap költségei</t>
  </si>
  <si>
    <t>Pszichiátriai betegek nappali ellátás ("Horgony" Pszichiátriai Betegekért Közhasznú Alapítvány)</t>
  </si>
  <si>
    <t>V-Busz Kft. 2019. évi ellentételezés</t>
  </si>
  <si>
    <t>Intézményi karbantartási költségek</t>
  </si>
  <si>
    <t>Intézményi közüzemi költségek</t>
  </si>
  <si>
    <t>Kolostorok és kertek működtetése</t>
  </si>
  <si>
    <t>Viziközmű vagyonértékelés költségei</t>
  </si>
  <si>
    <t>Köztéri Szobor Alap</t>
  </si>
  <si>
    <t>Endrődi Sándor emlékév programjaira</t>
  </si>
  <si>
    <t>Kelet-nyugati gyűjtőút zajvédő létesítmény tervezése</t>
  </si>
  <si>
    <t>Adósságot Keletkeztető Ügyletek fejlesztési célok szerinti besorolása</t>
  </si>
  <si>
    <t>Közutak, hidak építése, felújítása</t>
  </si>
  <si>
    <t>TOP-6.9.2-16-VP1-2018-00001 Közösségfejlesztés Veszprém város településrészein</t>
  </si>
  <si>
    <t xml:space="preserve">A  </t>
  </si>
  <si>
    <t>T</t>
  </si>
  <si>
    <t>2019. évi tény</t>
  </si>
  <si>
    <t>2018-2020</t>
  </si>
  <si>
    <t>2019-2021</t>
  </si>
  <si>
    <t>2019-2022</t>
  </si>
  <si>
    <t>* Az Urbact Innova-tor támogatása a szerződésben €-ban van meghatározva, az átszámítás 316.39 Ft/EUR-val történt</t>
  </si>
  <si>
    <t>Projekthez kapcsolódó működési bevétel (ÁFA)</t>
  </si>
  <si>
    <t>Adósságot keletkeztető ügyletek összesen</t>
  </si>
  <si>
    <t>Újjáépítésre kerülő óvodák költöztetési munkák</t>
  </si>
  <si>
    <t xml:space="preserve">          - Comitatus Társadalomkutató Egyesület - Comitatus Önkormányzati Szemle</t>
  </si>
  <si>
    <t>V-Busz Kft. szolgáltatás vásárlás</t>
  </si>
  <si>
    <t>**Az intézményeknél kimutatott adatokat is tartalmazza</t>
  </si>
  <si>
    <t>** Az intézményeknél kimutatott adatokat is tartalmazza</t>
  </si>
  <si>
    <t>ERASMUS+ Program</t>
  </si>
  <si>
    <t>Koronavírus elleni védekezés költségeire</t>
  </si>
  <si>
    <t>2021. évi engedélyezett létszám</t>
  </si>
  <si>
    <t>Informatika</t>
  </si>
  <si>
    <t>TOP-6.4.1-16-VP1-17-00001 Szabadságpuszta településrész és Felsőörs Község közötti kerékpárút beruházása</t>
  </si>
  <si>
    <t>TOP-6.3.4.1-16 Kerékpárút és kerékpárforgalmi létesítmények építése Veszprém-Gyulafirátót</t>
  </si>
  <si>
    <t>TOP-7.1.1-16-VP1-2020-00002 Kulturális negyed</t>
  </si>
  <si>
    <t>TOP-6.5.1-16-VP1-2017-00001 Veszprém városára vonatkozó Fenntartható Energia és Klíma Akcióterv (SECAP) elkészítése című projekt fenntartási jelentése</t>
  </si>
  <si>
    <t>EMMI és Belügyminisztérium "Idősbarát Önkormányzati Díj"</t>
  </si>
  <si>
    <t>Jókai utca 8.</t>
  </si>
  <si>
    <t>Európa Kulturális Főváros 2023 beruházások előkészítése (önerő)</t>
  </si>
  <si>
    <t>2020. évi tény</t>
  </si>
  <si>
    <t>TOP-6.2.1-16-VP1-2020-00003 A Veszprémi Bölcsődei és Egészségügyi Alapellátási Integrált Intézmény Módszertani Bölcsődéje megújítása, illetve bölcsődei eszközbeszerzések</t>
  </si>
  <si>
    <t>TOP-6.4.1-16-VP1-2019-00003 Kerékpárút és kerékpárforgalmi létesítmények építése Veszprém - Gyulafirátót szakaszon</t>
  </si>
  <si>
    <t>TOP-6.3.2-16-VP1-2020-00002 Kulturális negyed</t>
  </si>
  <si>
    <t>2021-2022</t>
  </si>
  <si>
    <t>2020-2022</t>
  </si>
  <si>
    <t>*** A projekt a támogatási szerződés szerint nettó módon finanszírozott.</t>
  </si>
  <si>
    <t>GINOP - 7.1.9-17-2018-00023 Veszprém kulturális turisztikai kínálatának fejlesztése***</t>
  </si>
  <si>
    <t>GFT beruházás: FI-2014-604
Veszprém 1. számú (Zrínyi utca) nyomásfokozó, Nemesvámosi nyomásfokozó: HARIBO termelési üzem fejlesztése III. ütemhez kapcsolódóan a nyomásfokozó kapacitásbővítése (1 db átemelő szivattyú)</t>
  </si>
  <si>
    <t>GFT beruházás: FI-2014-16
Veszprém ivóvíz-hálózat, Szabályozott fertőtlenítő rendszer fejlesztése</t>
  </si>
  <si>
    <t>GFT beruházás: FI-2014-1461
Veszprém Sédvölgyi vízbázis, Belső védőterület bővítés</t>
  </si>
  <si>
    <t>GFT beruházás: FI-2014-1291
Veszprém Szennyvíztisztító Telep, Rácsgépház: csigaszivattyúk elé kőfogó telepítése (1 db)</t>
  </si>
  <si>
    <t>1. számú Török Ignác utcai Idősek Otthona - lift építés</t>
  </si>
  <si>
    <t>Városgazdálkodás (hulladékgyűjtők, kutyaürülék gyűjtők, síkosságmentesítő ládák elhelyezése)</t>
  </si>
  <si>
    <t>Ingatlanrendezési ügyek (kisajátítások, más célú haszn.,humuszvédelmi terv, erdővédelmi járulék)</t>
  </si>
  <si>
    <t>Jégcsarnok üzemidő- és szolgáltatás vásárlás</t>
  </si>
  <si>
    <t>Repülőtér üzemeltetése, szolgáltatás vásárlás</t>
  </si>
  <si>
    <t xml:space="preserve">          - Vészhelyzeti támogatás (krízis segély)</t>
  </si>
  <si>
    <t>Ebrendészeti feladatok</t>
  </si>
  <si>
    <t>Közterület Felügyelet</t>
  </si>
  <si>
    <t>TOP és MVP beruházásokhoz kapcsolódó energetikai tanusítvány</t>
  </si>
  <si>
    <t>UNESCO Zene városa</t>
  </si>
  <si>
    <t>Európa Ifjúsági Fővárosa 2024 pályázat benyújtása</t>
  </si>
  <si>
    <t>Szociális bérlakás felújítások (vasútállomás rehabilitáció érdekében)</t>
  </si>
  <si>
    <t>Európa Kulturális Fővárosa V. ütem</t>
  </si>
  <si>
    <t>Európa Kulturális Fővárosa VI. ütem</t>
  </si>
  <si>
    <t>VI. ütem összesen</t>
  </si>
  <si>
    <t>Koronavírus védekezés költségeire és gazdasági hatásának enyhítésére</t>
  </si>
  <si>
    <t>Polgármesteri Hivatal</t>
  </si>
  <si>
    <t>Integrált irányítási rendszer fenntartása (ISO, GDPR)</t>
  </si>
  <si>
    <t xml:space="preserve"> - Intézményi felmentési idő, jub.jut., végkielégítés és működési kiadások</t>
  </si>
  <si>
    <t xml:space="preserve">Európa Kulturális Fővárosa III. ütem </t>
  </si>
  <si>
    <t>Európa Kulturális Fővárosa I. ütem</t>
  </si>
  <si>
    <r>
      <rPr>
        <b/>
        <sz val="10"/>
        <rFont val="Palatino Linotype"/>
        <family val="1"/>
      </rPr>
      <t>EFOP-3.3.2-16-2016-00107</t>
    </r>
    <r>
      <rPr>
        <sz val="10"/>
        <rFont val="Palatino Linotype"/>
        <family val="1"/>
      </rPr>
      <t xml:space="preserve"> Kulturális intézmények a köznevelés eredményességéért</t>
    </r>
  </si>
  <si>
    <t>Veszprém Megyei Jogú Város Önkormányzatának 2021. évi</t>
  </si>
  <si>
    <t>Környezetvédelemhez és természeti katasztrófák elhárításához kapcsolódó beruházási célok</t>
  </si>
  <si>
    <t>Kulturális és sportcélú infrastruktúra kialakítása</t>
  </si>
  <si>
    <t>Nagyfelületű útfelújítások pályázati önerő</t>
  </si>
  <si>
    <t>Egyéb rendezési tervekhez kapcsolódó infrastrukturális beruházások</t>
  </si>
  <si>
    <t>Szociális bérlakásfelújítások (vasútállomás rehabilitáció érdekében)</t>
  </si>
  <si>
    <t>Város- és település-rehabilitáció</t>
  </si>
  <si>
    <t>V2</t>
  </si>
  <si>
    <t xml:space="preserve">         - Veszprém várostörténeti kiadványok előkészítése</t>
  </si>
  <si>
    <t xml:space="preserve">          - Ex Symposion Alapítvány</t>
  </si>
  <si>
    <t>2022. évi költségvetési bevételei</t>
  </si>
  <si>
    <t>2022. évi költségvetési kiadásai</t>
  </si>
  <si>
    <t>2021. évi eredeti előirányzat</t>
  </si>
  <si>
    <t>2021. évi várható</t>
  </si>
  <si>
    <t>TOP-7-1-16H-ESZA-2019-01192 A családra, mint a társadalom alapegységére építő komplex programok</t>
  </si>
  <si>
    <r>
      <t xml:space="preserve">TOP-7.1.1-16-H-ESZA-2019-01202 </t>
    </r>
    <r>
      <rPr>
        <sz val="10"/>
        <rFont val="Palatino Linotype"/>
        <family val="1"/>
      </rPr>
      <t>"Élmény, közösség, tudás" családi programok az Agórával</t>
    </r>
  </si>
  <si>
    <t>Európa Kulturális Fővárosa VII. ütem</t>
  </si>
  <si>
    <t>Népszámlálás 2022.</t>
  </si>
  <si>
    <t xml:space="preserve">Európai Fenntartható Városfejlesztési Hálózat "Global Goals for Cities" Urbact III. </t>
  </si>
  <si>
    <t>Európa Kulturális Fővárosa VIII. ütem</t>
  </si>
  <si>
    <t>Európa Kulturális Fővárosa XI. ütem</t>
  </si>
  <si>
    <t>Európa Kulturális Fővárosa XII. ütem</t>
  </si>
  <si>
    <t>Európa Ifjúsági Fővárosa</t>
  </si>
  <si>
    <t>Európa Kulturális Fővárosa XIII. ütem</t>
  </si>
  <si>
    <t>Európa Kulturális Fővárosa XIV. ütem</t>
  </si>
  <si>
    <t>2020. évi              tény</t>
  </si>
  <si>
    <t>ebből: Koronavírus elleni védekezés adomány</t>
  </si>
  <si>
    <t>2022. évi előirányzat</t>
  </si>
  <si>
    <t>Felúítási kiadások</t>
  </si>
  <si>
    <t>2022. évi  előirányzat</t>
  </si>
  <si>
    <t>2020. évi           tény</t>
  </si>
  <si>
    <t>2022. évi felhalmozási költségvetési kiadások előirányzata</t>
  </si>
  <si>
    <t>Önkormányzati feladatok és egyéb kötelezettségek 2022. évi működési költségvetési kiadásai</t>
  </si>
  <si>
    <t>2022. évi beruházási és egyéb felhalmozási célú kiadások előirányzata</t>
  </si>
  <si>
    <t>Településképi Arculati Kéziköny és Településképi rendelet módosítása</t>
  </si>
  <si>
    <t>Önkormányzati érdekeket érintő településrendezési eszközök módosítása</t>
  </si>
  <si>
    <t>Veszprém 0393/1 hrsz-ú ingatlanon tervezett Állatvédelmi Kompetenciaközpont megépítése érdekében szükséges, szabályozási tervben foglalt út funkciójú ingatlan kisajátítás</t>
  </si>
  <si>
    <t>2022. év utáni javaslat</t>
  </si>
  <si>
    <t>Állatkerti bekötőút kiviteli terv</t>
  </si>
  <si>
    <t>Szemünkfénye program keretében beépített fűtéstechnikai eszközök vásárlása</t>
  </si>
  <si>
    <t>Toborzó u. 2. villamoshálózat fejlesztés</t>
  </si>
  <si>
    <t>KEHOP-2.1.11. "Víziközmű hálózatok átalakítására, hatékonyságnövelő fejlesztésére, víziközmű rendszerek műszaki állapotának felmérésére, problémák feltárására" című pályázat</t>
  </si>
  <si>
    <t xml:space="preserve">          szennyvíz rekonstrukció önrésze</t>
  </si>
  <si>
    <t xml:space="preserve">          ívóvíz rekonstrukció önrésze</t>
  </si>
  <si>
    <t>VESZOL - Veszprém, Pápai u. 37. sz. munkásszálló működetési feladatai - tönkrement bútorok, eszközök pótlása, ózongenerátor, egyéb kis értékű tárgyi eszközök beszerzése</t>
  </si>
  <si>
    <t>Thököly utcai támfal egy szakaszára vonatkozó szakértői vélemény</t>
  </si>
  <si>
    <t>Veszprém, Erdész utca, 2379. hrsz csapadékvíz elvezetés</t>
  </si>
  <si>
    <t>Ficánka Tagóvoda - gázkazánok cseréje</t>
  </si>
  <si>
    <t>Veszprém Fiatal Sportolóiért Alapítvány - beruházási célú támogatás</t>
  </si>
  <si>
    <t>2022. évi felújítási kiadások előirányzata</t>
  </si>
  <si>
    <t>Közterületi játszóeszközök felújítása (78/2003 GKM rendelet)</t>
  </si>
  <si>
    <t>Önkormányzati bérlakások felújítása</t>
  </si>
  <si>
    <t>Köztéri padok felújítása</t>
  </si>
  <si>
    <t>Labdapályák és sporteszközök felújítása</t>
  </si>
  <si>
    <t>Gyulafirátót, Kádárta útfelújítások lebonyolítói tevékenysége</t>
  </si>
  <si>
    <t>Veszprémi Csillag Úti Körzeti Óvoda</t>
  </si>
  <si>
    <t>Ételszállító lift cseréje és akna felújítása</t>
  </si>
  <si>
    <t xml:space="preserve">Épület vízszigetelése, csoportszobákban a salétromos belsővakolat megszüntetése  </t>
  </si>
  <si>
    <t>Esővíz lefolyók kialakítása</t>
  </si>
  <si>
    <t>Csillagvár-Waldorf Tagóvoda</t>
  </si>
  <si>
    <t>Szennyvízelvezetés rekonstrukciója</t>
  </si>
  <si>
    <t>Veszprémi Bölcsődei és Eü.Alapell. Integrált Int.</t>
  </si>
  <si>
    <t>Cholnoky u. 19. Védőnői Szolgálat</t>
  </si>
  <si>
    <t>Tetőszigetelés felújítása</t>
  </si>
  <si>
    <t>Jutasi út 59. rendelők</t>
  </si>
  <si>
    <t>Felülvilágító csere</t>
  </si>
  <si>
    <t>Kiskörősi utca 72. Dr. Vajcs Tímea</t>
  </si>
  <si>
    <t>Nyílászáró csere (nyithatóság miatt)</t>
  </si>
  <si>
    <t>Tetőfelületek PVC szigetelése 1 pavilon</t>
  </si>
  <si>
    <t>Gázkazán csere</t>
  </si>
  <si>
    <t>Latinovics -Bujtor Játékszín tetőszigetelés felújítása</t>
  </si>
  <si>
    <t>Tűzjelző rendszer felújítása</t>
  </si>
  <si>
    <t>1. sz. Idősek Otthona (Török I. u. 10.)</t>
  </si>
  <si>
    <t>A főzőkonyha  folyosó, lépcsőház repedéseinek statikai felülvizsgálata, javítás</t>
  </si>
  <si>
    <t>VKTT Egyesített Szociális Intézmény</t>
  </si>
  <si>
    <t>Intézményben lévő mosdók és fürdők, zuhanyzók, akadálymentesítése, felújítása I. emeleten</t>
  </si>
  <si>
    <t>2021. évi              várható</t>
  </si>
  <si>
    <t>2021. évi              várható*</t>
  </si>
  <si>
    <t>Modern Városok Program és más hazai finanszírozásból megvalósuló feladatok 2022. évi költségvetési kiadásainak előirányzata</t>
  </si>
  <si>
    <t>Teljesítés                      2020.          12.31.-ig**</t>
  </si>
  <si>
    <t>Veszprém belterületi közúthálózat fejlesztési céljainak és kapcsolódó tereinek megvalósítása (támogatás és önerő)</t>
  </si>
  <si>
    <t>800 méteres futókör építése a "Kolostorok és Kertek a veszprémi vár tövében" elnevezésű közpark területén</t>
  </si>
  <si>
    <t>Modern Városok Program keretében megvalósuló veszprémi belterületi közúthálózat fejlesztése projekt során az építési engedélyhez nem kötött felújítások, rekonstrukciók előkészítéséhez kapcsolódó beruházás lebonyolítói tevékenység ellátása a lakóutak és fő közlekedési utak tekintetében</t>
  </si>
  <si>
    <t>Zöld Busz Demonstárciós Mintaprojekt (elektromos buszok töltésére alkalmas nagyteljesítmény töltőállomás kivitelezése és kapcsolódó működési kiadások)</t>
  </si>
  <si>
    <t>Európai Uniós forrásból finanszírozott támogatással megvalósuló programok, projektek 2022. évi költségvetési kiadásainak előirányzata</t>
  </si>
  <si>
    <t>Teljesítés                      2020.          12.31.-ig*</t>
  </si>
  <si>
    <r>
      <t>TOP Plusz 1.3-1-21 "Fenntartható városfejlesztési stratégiák támogatása" pályázat, FVS és TVP készítése</t>
    </r>
    <r>
      <rPr>
        <sz val="12"/>
        <rFont val="Tahoma"/>
        <family val="2"/>
      </rPr>
      <t xml:space="preserve"> </t>
    </r>
  </si>
  <si>
    <t>Várkert, Tűztorony</t>
  </si>
  <si>
    <t>Digitális Alagút</t>
  </si>
  <si>
    <t>Várbörtön</t>
  </si>
  <si>
    <t>Volt bútorgyár</t>
  </si>
  <si>
    <t>Hősök kapuja kiállítási tér kiegészítő fejlesztése/vízszigetelési munkája</t>
  </si>
  <si>
    <t>Laczkó Dezső Múzeum korszerűsítése, akadálymentesítése</t>
  </si>
  <si>
    <t>Kádár utcai parkoló</t>
  </si>
  <si>
    <t>Európa Kulturális Fővárosa X. ütem</t>
  </si>
  <si>
    <t>Dózsavárosi Könyvtár bővítésének, átalakításának és felújításának tervezése, engedélyeztetése</t>
  </si>
  <si>
    <t>Népmesék játszótér fejlesztése</t>
  </si>
  <si>
    <t>Térfigyelő rendszer fejlesztése</t>
  </si>
  <si>
    <t>Karácsonyi köztéri dekoráció</t>
  </si>
  <si>
    <t>Átfogó infrastruktúra fejlesztés</t>
  </si>
  <si>
    <t>Séd völgy, tó faszerkezet felújítása</t>
  </si>
  <si>
    <t>Intézményi játszóezközök felújítása</t>
  </si>
  <si>
    <t>X. ütem összesen</t>
  </si>
  <si>
    <t>VIII. ütem összesen</t>
  </si>
  <si>
    <t>VII. ütem összesen</t>
  </si>
  <si>
    <t>XI. ütem összesen</t>
  </si>
  <si>
    <t>Auer Ház</t>
  </si>
  <si>
    <t>Mártírok parkolóház</t>
  </si>
  <si>
    <t>Várkert</t>
  </si>
  <si>
    <t>XII. ütem összesen</t>
  </si>
  <si>
    <t>XIII. ütem összesen</t>
  </si>
  <si>
    <t>Acticity</t>
  </si>
  <si>
    <t>XIV. ütem összesen</t>
  </si>
  <si>
    <t>Kiskúti csárda</t>
  </si>
  <si>
    <t>Halle utcai parkoló</t>
  </si>
  <si>
    <t>Séd-völgyi futókör</t>
  </si>
  <si>
    <t>Játszóterek</t>
  </si>
  <si>
    <t>Európa Kulturális Fővárosa XV. ütem</t>
  </si>
  <si>
    <t>XV. ütem összesen</t>
  </si>
  <si>
    <t>Európa Kulturális Fővárosa XVI. ütem</t>
  </si>
  <si>
    <t>XVI. ütem összesen</t>
  </si>
  <si>
    <t>Püspökkert</t>
  </si>
  <si>
    <t>Európa Kulturális Fővárosa XVII. ütem</t>
  </si>
  <si>
    <t>Kulturális negyed - zöld város</t>
  </si>
  <si>
    <t>CLLD kulcsprojekt (Szent Miklós szeg)</t>
  </si>
  <si>
    <t>Európa Kulturális Fővárosa XVIII. ütem</t>
  </si>
  <si>
    <t>XVIII. ütem összesen</t>
  </si>
  <si>
    <t>Csermák lépcső</t>
  </si>
  <si>
    <t>Európa Kulturális Főváros 2022. évi költségvetési kiadásainak előirányzata</t>
  </si>
  <si>
    <t>Európa Kulturális Fővárosa XIX. ütem</t>
  </si>
  <si>
    <t>XIX. ütem összesen</t>
  </si>
  <si>
    <t>Európa Kulturális Fővárosa XX. ütem</t>
  </si>
  <si>
    <t>XX. ütem összesen</t>
  </si>
  <si>
    <t xml:space="preserve">          - Magyar Mozgógép Fesztivál</t>
  </si>
  <si>
    <t xml:space="preserve">          - Bakony Expo</t>
  </si>
  <si>
    <t>Autóbusz pályaudvar</t>
  </si>
  <si>
    <t>Várbörtön III:</t>
  </si>
  <si>
    <t>Fejesvölgyi parkoló</t>
  </si>
  <si>
    <t>Városrészi közösségi tér - Táborállás park</t>
  </si>
  <si>
    <t>Lovassy közösségi tér</t>
  </si>
  <si>
    <t xml:space="preserve">Kulturális negyed </t>
  </si>
  <si>
    <t>Összmagyar Sport és Kulturális Találkozó</t>
  </si>
  <si>
    <t>Volánbusz Zrt. Szolgáltató részére elővárosi és regionális járatokon történő helyi személyszállítási közszolgáltatási feladatok ellátásához hozzájárulás</t>
  </si>
  <si>
    <t>Handball Team Zrt. Szolgáltatás vásárlás</t>
  </si>
  <si>
    <t>Városgazdálkodási szolgáltatás</t>
  </si>
  <si>
    <t>2022. évi   előirányzat</t>
  </si>
  <si>
    <t>KÖLTSÉGVETÉSI BEVÉTELEI ÉS KIADÁSAI 2022. ÉVBEN</t>
  </si>
  <si>
    <t>a 2022. évi engedélyezett létszámról</t>
  </si>
  <si>
    <t>2022. évi engedélyezett létszám</t>
  </si>
  <si>
    <t>2022. január 1-től 1fő</t>
  </si>
  <si>
    <t xml:space="preserve"> - Projekt kiadásokhoz kapcsolódó céltartalék</t>
  </si>
  <si>
    <t>határozott idejű foglalkozatottak létszáma                 (2022. január 1 - 2022. december 31)</t>
  </si>
  <si>
    <t>Programiroda - városi nagyrendezvények</t>
  </si>
  <si>
    <t>ebből: - Városi Gyereknap</t>
  </si>
  <si>
    <t xml:space="preserve">          - Nemzeti ünnep - Augusztus 20.</t>
  </si>
  <si>
    <t xml:space="preserve">          - Nemzeti ünnep - Október 23</t>
  </si>
  <si>
    <t xml:space="preserve">          - Szent Mihály napi búcsú</t>
  </si>
  <si>
    <t>Környezet terhelés vizsgálat K_Ny-i főtengely I. ütem</t>
  </si>
  <si>
    <t>Regőczi István Alapítvány - Covid árvák megsegítésének támogatása</t>
  </si>
  <si>
    <t>MKOSZ Szabadtéri Pályák Kihelyezési Programja - 2 db sérült kosárlabda palánk cseréje, szerelése (H.Botev Ált. Isk.)</t>
  </si>
  <si>
    <t>Közfeladat ellátási szerződés Veszprémi Labdarúgó és Sportszervező Kft-vel.</t>
  </si>
  <si>
    <t>2022. évi bevételi előirányzat</t>
  </si>
  <si>
    <r>
      <rPr>
        <b/>
        <sz val="10"/>
        <rFont val="Palatino Linotype"/>
        <family val="1"/>
      </rPr>
      <t xml:space="preserve">TOP – 7.1.1-16-H-ESZA-2019-01192 </t>
    </r>
    <r>
      <rPr>
        <sz val="10"/>
        <rFont val="Palatino Linotype"/>
        <family val="1"/>
      </rPr>
      <t>A családra, mint a társadalom alapegységére építő komplex programok</t>
    </r>
  </si>
  <si>
    <r>
      <rPr>
        <b/>
        <sz val="10"/>
        <rFont val="Palatino Linotype"/>
        <family val="1"/>
      </rPr>
      <t>TOP – 7.1.1-16-H-ESZA-2019-01202</t>
    </r>
    <r>
      <rPr>
        <sz val="10"/>
        <rFont val="Palatino Linotype"/>
        <family val="1"/>
      </rPr>
      <t xml:space="preserve"> "Élmény, közösség, tudás" családi programok az Agórával</t>
    </r>
  </si>
  <si>
    <r>
      <t xml:space="preserve">TOP-7.1.1-16-H-ESZA-2020-01437 </t>
    </r>
    <r>
      <rPr>
        <sz val="10"/>
        <rFont val="Palatino Linotype"/>
        <family val="1"/>
      </rPr>
      <t>HangSzín/zene-kép-alkotás</t>
    </r>
  </si>
  <si>
    <r>
      <t xml:space="preserve">TOP-7.1.1-16-H-ESZA-202-01419 </t>
    </r>
    <r>
      <rPr>
        <sz val="10"/>
        <rFont val="Palatino Linotype"/>
        <family val="1"/>
      </rPr>
      <t>Veszprém Vár múltjának interaktív bemutatása</t>
    </r>
  </si>
  <si>
    <r>
      <t xml:space="preserve">EFOP-3.3.2-16-2016-00107 </t>
    </r>
    <r>
      <rPr>
        <sz val="10"/>
        <rFont val="Palatino Linotype"/>
        <family val="1"/>
      </rPr>
      <t>Kulturális intézmények a köznevelés eredményességéért</t>
    </r>
  </si>
  <si>
    <r>
      <t xml:space="preserve">TOP-7.1.1-16-H-ESZA-2020-01214 </t>
    </r>
    <r>
      <rPr>
        <sz val="10"/>
        <rFont val="Palatino Linotype"/>
        <family val="1"/>
      </rPr>
      <t>A város, mint otthon és óriási játszótér (Kulturális-művészeti kapcitások fejlesztése a Kabóca Bábszínházban)</t>
    </r>
  </si>
  <si>
    <t>2022. évi kiadási előirányzat</t>
  </si>
  <si>
    <r>
      <t xml:space="preserve">TOP-7.1.1-16-H-ESZA-2020-01214 </t>
    </r>
    <r>
      <rPr>
        <sz val="10"/>
        <rFont val="Palatino Linotype"/>
        <family val="1"/>
      </rPr>
      <t>A város, mint otthon és óriási játszótér (Kulturális-művészeti kapacitások fejlesztése a Kabóca Bábszínházban)</t>
    </r>
  </si>
  <si>
    <t>ebből: - Európa Kulturális Főváros XX. ütem</t>
  </si>
  <si>
    <t>2022. évi Országgyűlési képviselők választása és népszavazás</t>
  </si>
  <si>
    <t>Sport és Élsport</t>
  </si>
  <si>
    <t>Szabadidő- és Diáksport</t>
  </si>
  <si>
    <t>Programiroda Kft. - kulturális, művészeti rendezvények támogatása</t>
  </si>
  <si>
    <t>Hitel-állomány 2021.12.31</t>
  </si>
  <si>
    <t>Hitel-állomány  2022.12.31</t>
  </si>
  <si>
    <t>UniCreditBank</t>
  </si>
  <si>
    <t xml:space="preserve"> hitelszerződésen alapuló beruházási hitelfelvétele feladatonként</t>
  </si>
  <si>
    <t>2023-tól</t>
  </si>
  <si>
    <t>2022. január 1-től - december 31-ig       1 fő határozott időtartamra</t>
  </si>
  <si>
    <t>U</t>
  </si>
  <si>
    <t>V</t>
  </si>
  <si>
    <t>W</t>
  </si>
  <si>
    <t>X</t>
  </si>
  <si>
    <t>Önkormányzati feladatellátást szolgáló fejlesztések</t>
  </si>
  <si>
    <t>Jutas futókör</t>
  </si>
  <si>
    <t>Tárgyi eszközök beszerzése (kézi kőmalom, kézi kártoló, hangszerkészlet)</t>
  </si>
  <si>
    <t>Informatikai eszközök beszerzése (laptop)</t>
  </si>
  <si>
    <t>Tárgyi eszközök beszerzése (kézi kőmalom, kézi kártoló)</t>
  </si>
  <si>
    <t>Tárgyi eszközök beszerzése (kávéfőző, kompresszor, kerti faház)</t>
  </si>
  <si>
    <t>Informatikai eszközök beszerzése (nyomtató, mobiltelefonok, pendrivok)</t>
  </si>
  <si>
    <t>Konyhai eszközök, gépek</t>
  </si>
  <si>
    <t>Tárgyi eszközök beszerzése (szőnyeg)</t>
  </si>
  <si>
    <t>Tárgyi eszközök beszerzése (bútor)</t>
  </si>
  <si>
    <t xml:space="preserve">Tárgyi eszközök beszerzése </t>
  </si>
  <si>
    <t>Tárgyi eszközök beszerzése (bútorok)</t>
  </si>
  <si>
    <t>Tárgyi eszközök beszerzése</t>
  </si>
  <si>
    <t xml:space="preserve">Szakmai eszközök beszerzése </t>
  </si>
  <si>
    <t>Tárgyi eszközök beszerzése (telefonok)</t>
  </si>
  <si>
    <t xml:space="preserve">Kisértékű tárgyi eszközök beszerzése </t>
  </si>
  <si>
    <t>Informatikai eszközök beszerzése (szünetmentes)</t>
  </si>
  <si>
    <r>
      <rPr>
        <b/>
        <sz val="10"/>
        <rFont val="Palatino Linotype"/>
        <family val="1"/>
      </rPr>
      <t>TOP – 6.9.2 -16-VP1-2018-0000</t>
    </r>
    <r>
      <rPr>
        <sz val="10"/>
        <rFont val="Palatino Linotype"/>
        <family val="1"/>
      </rPr>
      <t>1 Közösségfejlesztés Veszprém város településrészein</t>
    </r>
  </si>
  <si>
    <r>
      <rPr>
        <b/>
        <sz val="10"/>
        <rFont val="Palatino Linotype"/>
        <family val="1"/>
      </rPr>
      <t xml:space="preserve">TOP – 7.1.1-16-H-ESZA-2019-01202 </t>
    </r>
    <r>
      <rPr>
        <sz val="10"/>
        <rFont val="Palatino Linotype"/>
        <family val="1"/>
      </rPr>
      <t>"Élmény, közösség, tudás" családi programok az Agórával (konyhai eszközök)</t>
    </r>
  </si>
  <si>
    <t>Tárgyi eszközök beszerzése (pénztárgépek)</t>
  </si>
  <si>
    <r>
      <rPr>
        <b/>
        <sz val="10"/>
        <rFont val="Palatino Linotype"/>
        <family val="1"/>
      </rPr>
      <t>TOP-7.1.1-16-H-ESZA-2020-01437</t>
    </r>
    <r>
      <rPr>
        <sz val="10"/>
        <rFont val="Palatino Linotype"/>
        <family val="1"/>
      </rPr>
      <t xml:space="preserve"> HangSzín/zene-kép-alkotás</t>
    </r>
  </si>
  <si>
    <t>Könyvtári könyvek, egyéb doc. (CD, DVD stb.) jogszabályi előírás szerint</t>
  </si>
  <si>
    <t>Tárgyi eszközök beszerzésére (kazán)</t>
  </si>
  <si>
    <r>
      <rPr>
        <b/>
        <sz val="10"/>
        <rFont val="Palatino Linotype"/>
        <family val="1"/>
      </rPr>
      <t>TOP-7.1.1-16-H-ESZA-202-01419</t>
    </r>
    <r>
      <rPr>
        <sz val="10"/>
        <rFont val="Palatino Linotype"/>
        <family val="1"/>
      </rPr>
      <t xml:space="preserve"> Veszprém Vár múltjának interaktív bemutatása</t>
    </r>
  </si>
  <si>
    <r>
      <rPr>
        <b/>
        <sz val="10"/>
        <rFont val="Palatino Linotype"/>
        <family val="1"/>
      </rPr>
      <t xml:space="preserve">TOP-7.1.1-16-H-ESZA-2020-01214 </t>
    </r>
    <r>
      <rPr>
        <sz val="10"/>
        <rFont val="Palatino Linotype"/>
        <family val="1"/>
      </rPr>
      <t>A város, mint otthon és óriási játszótér (Kulturális-művészeti kapacitások fejlesztése a Kabóca Bábszínházban) - mobilszínpad</t>
    </r>
  </si>
  <si>
    <t>Világítótestek részleges cseréje</t>
  </si>
  <si>
    <t>Telefonközpont cseréje</t>
  </si>
  <si>
    <t>Tűzjelző rendszer megvalósítás</t>
  </si>
  <si>
    <t>Kis-Házasságkötő klíma berend.</t>
  </si>
  <si>
    <t>Irattár kialakítás, polcrendszer</t>
  </si>
  <si>
    <t>Beléptető rendszer kialakítás</t>
  </si>
  <si>
    <t>Gépkocsi nyomkövető rendszer</t>
  </si>
  <si>
    <t>Gépkocsi beszerzés</t>
  </si>
  <si>
    <t>COVID védekezés beszerzések</t>
  </si>
  <si>
    <t>Gépkocsi gumiabroncs beszerzés</t>
  </si>
  <si>
    <t>Bútorok beszerzése</t>
  </si>
  <si>
    <t>Tárgyi eszköz beszerzés</t>
  </si>
  <si>
    <t>Igazgatás</t>
  </si>
  <si>
    <t>Tárgyi eszköz beszerzés (szavazófülkék)</t>
  </si>
  <si>
    <t xml:space="preserve"> - Működési kiadásokra képzett céltartalék (átvett követelés)</t>
  </si>
  <si>
    <t>Fixre telepített sebességmérő (trafipax) - Gyulafirátótra</t>
  </si>
  <si>
    <t>Csereerdő telepítés - Márkó-Bánd kerékpárút</t>
  </si>
  <si>
    <t>Bútorgyár</t>
  </si>
  <si>
    <t xml:space="preserve">Részleges nyílászáró csere, tetőtéri hőszigetelés, akadálymentes vizesblok és közlekedőrámpa, akadálymentes tárgyaló, női-férfi vizesblokk kialakítása, felújítása </t>
  </si>
  <si>
    <t xml:space="preserve">Fenntartási költségek csökkentését célzó energetikai korszerűsítés </t>
  </si>
  <si>
    <t>Német Nemzetiségi Önkormányzat pályázati önerő - Egry Úti Körzeti Óvodában vízálló terasz árnyékoló készítése</t>
  </si>
  <si>
    <t xml:space="preserve">2022. évi hitel felvétel összege </t>
  </si>
  <si>
    <t>2016-2022</t>
  </si>
  <si>
    <t>2017-2022</t>
  </si>
  <si>
    <t>2018-2022</t>
  </si>
  <si>
    <t xml:space="preserve">E </t>
  </si>
  <si>
    <t>Előirányzat csoport / Kiemelt előirányzat neve</t>
  </si>
  <si>
    <t>Helyi önkormányzatok működésének általános támogatása</t>
  </si>
  <si>
    <t>Települési önkormányzatok egyes köznevelési feladatainak támogatása</t>
  </si>
  <si>
    <t>Települési önkormányzatok egyes szociális és gyermekjóléti feladatainak támogatása</t>
  </si>
  <si>
    <t>Települési önkormányzatok kulturális feladatainak támogatása</t>
  </si>
  <si>
    <t>Elszámolásból származó bevételek</t>
  </si>
  <si>
    <t>Települési önkormányzatok gyermekétkeztetési feladatainak támogatása</t>
  </si>
  <si>
    <t>Teljesítés                      2020.          12.31.-ig</t>
  </si>
  <si>
    <t>adósságot keletkeztető ügyletekből származó kötelezettségei</t>
  </si>
  <si>
    <t>Hitel- szerződés dátuma</t>
  </si>
  <si>
    <t>Hitel- felvétel 2022</t>
  </si>
  <si>
    <t>Tőke-törlesztés /Kamat- fizetés 2023</t>
  </si>
  <si>
    <t>Tőke-törlesztés /Kamat- fizetés 2024</t>
  </si>
  <si>
    <t>Tőke-törlesztés /Kamat- fizetés 2025</t>
  </si>
  <si>
    <t>Tőke-törlesztés /Kamat- fizetés 2026</t>
  </si>
  <si>
    <t>Tőke-törlesztés /Kamat- fizetés 2027</t>
  </si>
  <si>
    <t>Tőke-törlesztés /Kamat- fizetés 2028</t>
  </si>
  <si>
    <t>Tőke-törlesztés /Kamat- fizetés 2029</t>
  </si>
  <si>
    <t>Tőke-törlesztés /Kamat- fizetés 2030</t>
  </si>
  <si>
    <t>Tőke-törlesztés /Kamat- fizetés 2031</t>
  </si>
  <si>
    <t>Tőke-törlesztés /Kamat- fizetés 2032</t>
  </si>
  <si>
    <t>Tőke-törlesztés /Kamat- fizetés 2033</t>
  </si>
  <si>
    <t>Tőke-törlesztés /Kamat- fizetés 2034</t>
  </si>
  <si>
    <t xml:space="preserve">Rövid lejáratú hitel </t>
  </si>
  <si>
    <t xml:space="preserve"> 2022.</t>
  </si>
  <si>
    <t>2022.</t>
  </si>
  <si>
    <t>Ebből tőketörlesztés</t>
  </si>
  <si>
    <t>Ebből kamatfizetés</t>
  </si>
  <si>
    <t>Fejlesztési hitel - 2021</t>
  </si>
  <si>
    <t>Kölcsönszerződés - Célhitel 2019</t>
  </si>
  <si>
    <t>Kölcsönszerződés - Célhitel 2017</t>
  </si>
  <si>
    <t>Kölcsönszerződés - Célhitel 2014</t>
  </si>
  <si>
    <t>Hitelszerződés - MFB ÖIP 2014</t>
  </si>
  <si>
    <t>Hitelszerződés - MFB ÖIP 2013.</t>
  </si>
  <si>
    <t>Hitelszerződés - SMO 2011.</t>
  </si>
  <si>
    <t>Epipen injekció biztosítása gyermekjóléti, köznevelési intézményekben és házi gyermekorvosi rendelőkben</t>
  </si>
  <si>
    <r>
      <rPr>
        <b/>
        <sz val="11"/>
        <rFont val="Palatino Linotype"/>
        <family val="1"/>
      </rPr>
      <t>V-Busz Kft.</t>
    </r>
    <r>
      <rPr>
        <sz val="11"/>
        <rFont val="Palatino Linotype"/>
        <family val="1"/>
      </rPr>
      <t xml:space="preserve"> - elektromos autóbuszok beszerzése és ehhez kapcsolódó töltőinfrastruktúra képítése</t>
    </r>
  </si>
  <si>
    <t>7. melléklet az 3/2022. (II.24.) önkormányzati rendelethez</t>
  </si>
  <si>
    <t>1. melléklet az  3/2022. (II.24.) önkormányzati rendelethez</t>
  </si>
  <si>
    <t>2. melléklet az  3/2022. (II.24.) önkormányzati rendelethez</t>
  </si>
  <si>
    <t>3. melléklet az  3/2022. (II.24.) önkormányzati rendelethez</t>
  </si>
  <si>
    <t>4. melléklet az  3/2022. (II.24.) önkormányzati rendelethez</t>
  </si>
  <si>
    <t>5. melléklet az  3/2022. (II.24.) önkormányzati rendelethez</t>
  </si>
  <si>
    <t>6. melléklet az  3/2022. (II.24.) önkormányzati rendelethez</t>
  </si>
  <si>
    <t>8. melléklet az  3/2022. (II.24.) önkormányzati rendelethez</t>
  </si>
  <si>
    <t>9. melléklet az  3/2022. (II.24.) önkormányzati rendelethez</t>
  </si>
  <si>
    <t>10. melléklet az  3/2022. (II.24.) önkormányzati rendelethez</t>
  </si>
  <si>
    <t>11. melléklet az  3/2022. (II.24.) önkormányzati rendelethez</t>
  </si>
  <si>
    <t>12. melléklet az  3/2022. (II.24.) önkormányzati rendelethez</t>
  </si>
  <si>
    <t>13. melléklet az  3/2022. (II.24.) önkormányzati rendelethez</t>
  </si>
  <si>
    <t>14. melléklet a  3/2022. (II.24.) önkormányzati rendelethez</t>
  </si>
  <si>
    <t>15. melléklet az  3/2022. (II.24.) önkormányzati rendelethez</t>
  </si>
  <si>
    <t>16. melléklet az  3/2022. (II.24.)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</si>
</sst>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%"/>
  </numFmts>
  <fonts count="95">
    <font>
      <sz val="10"/>
      <name val="Arial CE"/>
      <family val="0"/>
    </font>
    <font>
      <sz val="11"/>
      <color indexed="8"/>
      <name val="Calibri"/>
      <family val="2"/>
    </font>
    <font>
      <sz val="11"/>
      <name val="Palatino Linotype"/>
      <family val="1"/>
    </font>
    <font>
      <sz val="10"/>
      <name val="Arial"/>
      <family val="2"/>
    </font>
    <font>
      <b/>
      <sz val="11"/>
      <name val="Palatino Linotype"/>
      <family val="1"/>
    </font>
    <font>
      <i/>
      <sz val="11"/>
      <name val="Palatino Linotype"/>
      <family val="1"/>
    </font>
    <font>
      <sz val="9"/>
      <name val="Palatino Linotype"/>
      <family val="1"/>
    </font>
    <font>
      <sz val="8"/>
      <name val="Arial CE"/>
      <family val="0"/>
    </font>
    <font>
      <sz val="12"/>
      <name val="Times New Roman"/>
      <family val="1"/>
    </font>
    <font>
      <sz val="10"/>
      <name val="Palatino Linotype"/>
      <family val="1"/>
    </font>
    <font>
      <b/>
      <sz val="9"/>
      <name val="Palatino Linotype"/>
      <family val="1"/>
    </font>
    <font>
      <i/>
      <sz val="10"/>
      <name val="Palatino Linotype"/>
      <family val="1"/>
    </font>
    <font>
      <b/>
      <sz val="10"/>
      <name val="Palatino Linotype"/>
      <family val="1"/>
    </font>
    <font>
      <sz val="9"/>
      <name val="Arial CE"/>
      <family val="0"/>
    </font>
    <font>
      <i/>
      <u val="single"/>
      <sz val="10"/>
      <name val="Palatino Linotype"/>
      <family val="1"/>
    </font>
    <font>
      <b/>
      <i/>
      <sz val="10"/>
      <name val="Palatino Linotype"/>
      <family val="1"/>
    </font>
    <font>
      <b/>
      <i/>
      <sz val="11"/>
      <name val="Palatino Linotype"/>
      <family val="1"/>
    </font>
    <font>
      <sz val="7"/>
      <name val="Palatino Linotype"/>
      <family val="1"/>
    </font>
    <font>
      <i/>
      <sz val="10"/>
      <name val="Arial CE"/>
      <family val="0"/>
    </font>
    <font>
      <sz val="11"/>
      <name val="Arial CE"/>
      <family val="0"/>
    </font>
    <font>
      <sz val="10"/>
      <name val="Times New Roman"/>
      <family val="1"/>
    </font>
    <font>
      <b/>
      <u val="single"/>
      <sz val="10"/>
      <name val="Palatino Linotype"/>
      <family val="1"/>
    </font>
    <font>
      <b/>
      <u val="single"/>
      <sz val="11"/>
      <name val="Palatino Linotype"/>
      <family val="1"/>
    </font>
    <font>
      <u val="single"/>
      <sz val="11"/>
      <name val="Palatino Linotype"/>
      <family val="1"/>
    </font>
    <font>
      <sz val="9"/>
      <name val="Tahoma"/>
      <family val="2"/>
    </font>
    <font>
      <b/>
      <sz val="9"/>
      <name val="Tahoma"/>
      <family val="2"/>
    </font>
    <font>
      <b/>
      <u val="single"/>
      <sz val="12"/>
      <name val="Palatino Linotype"/>
      <family val="1"/>
    </font>
    <font>
      <u val="single"/>
      <sz val="10"/>
      <name val="Palatino Linotype"/>
      <family val="1"/>
    </font>
    <font>
      <sz val="11"/>
      <color indexed="10"/>
      <name val="Palatino Linotype"/>
      <family val="1"/>
    </font>
    <font>
      <b/>
      <sz val="10"/>
      <color indexed="16"/>
      <name val="Palatino Linotype"/>
      <family val="1"/>
    </font>
    <font>
      <b/>
      <i/>
      <sz val="10"/>
      <color indexed="16"/>
      <name val="Palatino Linotype"/>
      <family val="1"/>
    </font>
    <font>
      <b/>
      <sz val="10"/>
      <color indexed="16"/>
      <name val="Arial CE"/>
      <family val="0"/>
    </font>
    <font>
      <b/>
      <i/>
      <sz val="10"/>
      <color indexed="16"/>
      <name val="Arial CE"/>
      <family val="0"/>
    </font>
    <font>
      <b/>
      <sz val="11"/>
      <color indexed="16"/>
      <name val="Palatino Linotype"/>
      <family val="1"/>
    </font>
    <font>
      <sz val="11"/>
      <color indexed="16"/>
      <name val="Palatino Linotype"/>
      <family val="1"/>
    </font>
    <font>
      <sz val="11"/>
      <color indexed="8"/>
      <name val="Palatino Linotype"/>
      <family val="1"/>
    </font>
    <font>
      <b/>
      <sz val="11"/>
      <color indexed="8"/>
      <name val="Palatino Linotype"/>
      <family val="1"/>
    </font>
    <font>
      <b/>
      <i/>
      <sz val="11"/>
      <color indexed="16"/>
      <name val="Palatino Linotype"/>
      <family val="1"/>
    </font>
    <font>
      <b/>
      <sz val="9"/>
      <color indexed="16"/>
      <name val="Palatino Linotype"/>
      <family val="1"/>
    </font>
    <font>
      <sz val="10"/>
      <color indexed="16"/>
      <name val="Palatino Linotype"/>
      <family val="1"/>
    </font>
    <font>
      <i/>
      <sz val="10"/>
      <color indexed="16"/>
      <name val="Palatino Linotype"/>
      <family val="1"/>
    </font>
    <font>
      <i/>
      <u val="single"/>
      <sz val="11"/>
      <name val="Palatino Linotype"/>
      <family val="1"/>
    </font>
    <font>
      <b/>
      <u val="single"/>
      <sz val="11"/>
      <color indexed="8"/>
      <name val="Palatino Linotype"/>
      <family val="1"/>
    </font>
    <font>
      <b/>
      <i/>
      <sz val="11"/>
      <color indexed="8"/>
      <name val="Palatino Linotype"/>
      <family val="1"/>
    </font>
    <font>
      <sz val="12"/>
      <name val="Tahoma"/>
      <family val="2"/>
    </font>
    <font>
      <sz val="16"/>
      <name val="Palatino Linotype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Palatino Linotype"/>
      <family val="1"/>
    </font>
    <font>
      <b/>
      <sz val="11"/>
      <color theme="5" tint="-0.4999699890613556"/>
      <name val="Palatino Linotype"/>
      <family val="1"/>
    </font>
    <font>
      <sz val="11"/>
      <color theme="5" tint="-0.4999699890613556"/>
      <name val="Palatino Linotype"/>
      <family val="1"/>
    </font>
    <font>
      <b/>
      <sz val="10"/>
      <color theme="5" tint="-0.4999699890613556"/>
      <name val="Palatino Linotype"/>
      <family val="1"/>
    </font>
    <font>
      <b/>
      <i/>
      <sz val="10"/>
      <color theme="5" tint="-0.4999699890613556"/>
      <name val="Palatino Linotype"/>
      <family val="1"/>
    </font>
    <font>
      <b/>
      <i/>
      <sz val="11"/>
      <color theme="5" tint="-0.4999699890613556"/>
      <name val="Palatino Linotype"/>
      <family val="1"/>
    </font>
    <font>
      <b/>
      <sz val="9"/>
      <color theme="5" tint="-0.4999699890613556"/>
      <name val="Palatino Linotype"/>
      <family val="1"/>
    </font>
    <font>
      <sz val="10"/>
      <color theme="5" tint="-0.4999699890613556"/>
      <name val="Palatino Linotype"/>
      <family val="1"/>
    </font>
    <font>
      <i/>
      <sz val="10"/>
      <color theme="5" tint="-0.4999699890613556"/>
      <name val="Palatino Linotype"/>
      <family val="1"/>
    </font>
    <font>
      <sz val="11"/>
      <color theme="1"/>
      <name val="Palatino Linotype"/>
      <family val="1"/>
    </font>
    <font>
      <b/>
      <sz val="10"/>
      <color theme="5" tint="-0.4999699890613556"/>
      <name val="Arial CE"/>
      <family val="0"/>
    </font>
    <font>
      <b/>
      <i/>
      <sz val="10"/>
      <color theme="5" tint="-0.4999699890613556"/>
      <name val="Arial CE"/>
      <family val="0"/>
    </font>
    <font>
      <b/>
      <u val="single"/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i/>
      <sz val="11"/>
      <color theme="1"/>
      <name val="Palatino Linotype"/>
      <family val="1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medium"/>
      <top/>
      <bottom/>
    </border>
    <border>
      <left/>
      <right style="medium"/>
      <top/>
      <bottom style="medium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/>
      <right/>
      <top style="thin"/>
      <bottom style="double"/>
    </border>
    <border>
      <left/>
      <right/>
      <top style="double"/>
      <bottom style="medium"/>
    </border>
    <border>
      <left/>
      <right/>
      <top style="thin"/>
      <bottom style="medium"/>
    </border>
    <border>
      <left style="double"/>
      <right style="double"/>
      <top style="medium"/>
      <bottom style="medium"/>
    </border>
    <border>
      <left style="double"/>
      <right style="double"/>
      <top style="hair"/>
      <bottom style="hair"/>
    </border>
    <border>
      <left style="double"/>
      <right style="medium"/>
      <top style="medium"/>
      <bottom style="medium"/>
    </border>
    <border>
      <left style="double"/>
      <right style="medium"/>
      <top/>
      <bottom/>
    </border>
    <border>
      <left style="double"/>
      <right style="medium"/>
      <top style="thin"/>
      <bottom style="thin"/>
    </border>
    <border>
      <left style="double"/>
      <right style="medium"/>
      <top/>
      <bottom style="thin"/>
    </border>
    <border>
      <left style="thin"/>
      <right style="thin"/>
      <top style="medium"/>
      <bottom style="medium"/>
    </border>
    <border>
      <left style="double"/>
      <right style="medium"/>
      <top style="medium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thin"/>
      <bottom style="double"/>
    </border>
    <border>
      <left style="double"/>
      <right style="medium"/>
      <top style="thin"/>
      <bottom style="medium"/>
    </border>
    <border>
      <left style="thin"/>
      <right style="double"/>
      <top style="medium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 style="double"/>
    </border>
    <border>
      <left/>
      <right style="thin"/>
      <top style="double"/>
      <bottom style="double"/>
    </border>
    <border>
      <left/>
      <right/>
      <top style="double"/>
      <bottom/>
    </border>
    <border>
      <left/>
      <right style="thin"/>
      <top/>
      <bottom/>
    </border>
    <border>
      <left style="thin"/>
      <right/>
      <top style="thin"/>
      <bottom style="double"/>
    </border>
    <border>
      <left style="thin"/>
      <right style="double"/>
      <top style="double"/>
      <bottom style="double"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 style="medium"/>
      <top/>
      <bottom style="double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 style="hair"/>
      <top/>
      <bottom style="hair"/>
    </border>
    <border>
      <left/>
      <right style="double"/>
      <top style="thin"/>
      <bottom style="thin"/>
    </border>
    <border>
      <left style="double"/>
      <right style="hair"/>
      <top style="hair"/>
      <bottom style="hair"/>
    </border>
    <border>
      <left style="double"/>
      <right style="hair"/>
      <top/>
      <bottom style="hair"/>
    </border>
    <border>
      <left style="double"/>
      <right style="hair"/>
      <top style="double"/>
      <bottom style="hair"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double"/>
      <right style="double"/>
      <top/>
      <bottom/>
    </border>
    <border>
      <left/>
      <right/>
      <top/>
      <bottom style="double"/>
    </border>
    <border>
      <left/>
      <right style="medium"/>
      <top/>
      <bottom style="double"/>
    </border>
    <border>
      <left style="double"/>
      <right style="medium"/>
      <top/>
      <bottom style="hair"/>
    </border>
    <border>
      <left style="double"/>
      <right style="medium"/>
      <top style="hair"/>
      <bottom style="hair"/>
    </border>
    <border>
      <left style="medium"/>
      <right style="medium"/>
      <top/>
      <bottom style="medium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 style="hair"/>
      <right style="double"/>
      <top style="hair"/>
      <bottom style="hair"/>
    </border>
    <border>
      <left style="hair"/>
      <right style="double"/>
      <top style="medium"/>
      <bottom/>
    </border>
    <border>
      <left/>
      <right/>
      <top style="hair"/>
      <bottom style="hair"/>
    </border>
    <border>
      <left style="hair"/>
      <right style="hair"/>
      <top style="medium"/>
      <bottom/>
    </border>
    <border>
      <left style="double"/>
      <right style="hair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 style="hair"/>
      <top style="medium"/>
      <bottom style="hair"/>
    </border>
    <border>
      <left/>
      <right style="hair"/>
      <top style="hair"/>
      <bottom style="hair"/>
    </border>
    <border>
      <left style="hair"/>
      <right style="hair"/>
      <top style="medium"/>
      <bottom style="medium"/>
    </border>
    <border>
      <left style="hair"/>
      <right style="double"/>
      <top style="medium"/>
      <bottom style="medium"/>
    </border>
    <border>
      <left/>
      <right/>
      <top/>
      <bottom style="hair"/>
    </border>
    <border>
      <left/>
      <right style="hair"/>
      <top style="medium"/>
      <bottom/>
    </border>
    <border>
      <left style="double"/>
      <right style="medium"/>
      <top style="double"/>
      <bottom style="medium"/>
    </border>
    <border>
      <left style="hair"/>
      <right style="double"/>
      <top/>
      <bottom style="hair"/>
    </border>
    <border>
      <left style="double"/>
      <right style="medium"/>
      <top style="hair"/>
      <bottom/>
    </border>
    <border>
      <left style="hair"/>
      <right style="hair"/>
      <top style="hair"/>
      <bottom/>
    </border>
    <border>
      <left style="double"/>
      <right style="hair"/>
      <top style="hair"/>
      <bottom/>
    </border>
    <border>
      <left/>
      <right style="hair"/>
      <top style="hair"/>
      <bottom/>
    </border>
    <border>
      <left style="hair"/>
      <right style="double"/>
      <top style="hair"/>
      <bottom/>
    </border>
    <border>
      <left style="hair"/>
      <right style="hair"/>
      <top style="double"/>
      <bottom style="double"/>
    </border>
    <border>
      <left style="double"/>
      <right style="medium"/>
      <top style="double"/>
      <bottom style="double"/>
    </border>
    <border>
      <left/>
      <right/>
      <top style="hair"/>
      <bottom/>
    </border>
    <border>
      <left style="hair"/>
      <right/>
      <top style="hair"/>
      <bottom/>
    </border>
    <border>
      <left style="double"/>
      <right style="hair"/>
      <top style="double"/>
      <bottom style="double"/>
    </border>
    <border>
      <left/>
      <right style="hair"/>
      <top style="double"/>
      <bottom style="double"/>
    </border>
    <border>
      <left/>
      <right style="hair"/>
      <top style="medium"/>
      <bottom style="medium"/>
    </border>
    <border>
      <left style="double"/>
      <right style="double"/>
      <top style="medium"/>
      <bottom/>
    </border>
    <border>
      <left/>
      <right style="hair"/>
      <top/>
      <bottom/>
    </border>
    <border>
      <left style="hair"/>
      <right style="hair"/>
      <top/>
      <bottom/>
    </border>
    <border>
      <left style="double"/>
      <right style="hair"/>
      <top style="medium"/>
      <bottom/>
    </border>
    <border>
      <left style="hair"/>
      <right style="medium"/>
      <top style="medium"/>
      <bottom/>
    </border>
    <border>
      <left style="hair"/>
      <right style="medium"/>
      <top style="hair"/>
      <bottom style="hair"/>
    </border>
    <border>
      <left style="hair"/>
      <right style="medium"/>
      <top style="medium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double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/>
      <top style="double"/>
      <bottom style="double"/>
    </border>
    <border>
      <left style="medium"/>
      <right/>
      <top style="hair"/>
      <bottom/>
    </border>
    <border>
      <left style="double"/>
      <right style="double"/>
      <top style="hair"/>
      <bottom/>
    </border>
    <border>
      <left style="medium"/>
      <right style="hair"/>
      <top style="hair"/>
      <bottom/>
    </border>
    <border>
      <left/>
      <right style="medium"/>
      <top style="hair"/>
      <bottom style="hair"/>
    </border>
    <border>
      <left/>
      <right style="medium"/>
      <top/>
      <bottom style="hair"/>
    </border>
    <border>
      <left style="hair"/>
      <right style="double"/>
      <top style="double"/>
      <bottom style="double"/>
    </border>
    <border>
      <left/>
      <right style="medium"/>
      <top style="double"/>
      <bottom style="double"/>
    </border>
    <border>
      <left style="hair"/>
      <right style="double"/>
      <top/>
      <bottom/>
    </border>
    <border>
      <left/>
      <right style="hair"/>
      <top style="double"/>
      <bottom style="hair"/>
    </border>
    <border>
      <left style="medium"/>
      <right style="hair"/>
      <top style="double"/>
      <bottom style="double"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hair"/>
      <right style="medium"/>
      <top style="double"/>
      <bottom style="hair"/>
    </border>
    <border>
      <left style="hair"/>
      <right/>
      <top/>
      <bottom/>
    </border>
    <border>
      <left style="double"/>
      <right style="hair"/>
      <top/>
      <bottom/>
    </border>
    <border>
      <left style="hair"/>
      <right style="hair"/>
      <top style="hair"/>
      <bottom style="double"/>
    </border>
    <border>
      <left/>
      <right/>
      <top style="hair"/>
      <bottom style="double"/>
    </border>
    <border>
      <left style="hair"/>
      <right/>
      <top style="hair"/>
      <bottom style="double"/>
    </border>
    <border>
      <left style="double"/>
      <right style="hair"/>
      <top style="hair"/>
      <bottom style="double"/>
    </border>
    <border>
      <left/>
      <right style="hair"/>
      <top style="hair"/>
      <bottom style="double"/>
    </border>
    <border>
      <left style="double"/>
      <right style="medium"/>
      <top style="hair"/>
      <bottom style="double"/>
    </border>
    <border>
      <left/>
      <right/>
      <top style="double"/>
      <bottom style="double"/>
    </border>
    <border>
      <left/>
      <right style="medium"/>
      <top style="hair"/>
      <bottom/>
    </border>
    <border>
      <left style="thin"/>
      <right style="thin"/>
      <top/>
      <bottom style="medium"/>
    </border>
    <border>
      <left style="hair"/>
      <right style="double"/>
      <top style="double"/>
      <bottom style="hair"/>
    </border>
    <border>
      <left style="hair"/>
      <right style="double"/>
      <top style="hair"/>
      <bottom style="double"/>
    </border>
    <border>
      <left/>
      <right/>
      <top style="hair"/>
      <bottom style="medium"/>
    </border>
    <border>
      <left style="hair"/>
      <right style="double"/>
      <top style="hair"/>
      <bottom style="medium"/>
    </border>
    <border>
      <left/>
      <right/>
      <top style="medium"/>
      <bottom style="hair"/>
    </border>
    <border>
      <left style="hair"/>
      <right/>
      <top style="double"/>
      <bottom style="hair"/>
    </border>
    <border>
      <left style="hair"/>
      <right style="medium"/>
      <top style="hair"/>
      <bottom style="double"/>
    </border>
    <border>
      <left style="hair"/>
      <right style="medium"/>
      <top style="hair"/>
      <bottom/>
    </border>
    <border>
      <left style="hair"/>
      <right/>
      <top style="hair"/>
      <bottom style="medium"/>
    </border>
    <border>
      <left style="hair"/>
      <right/>
      <top style="medium"/>
      <bottom style="hair"/>
    </border>
    <border>
      <left style="double"/>
      <right style="hair"/>
      <top style="medium"/>
      <bottom style="hair"/>
    </border>
    <border>
      <left style="double"/>
      <right/>
      <top style="hair"/>
      <bottom style="hair"/>
    </border>
    <border>
      <left style="thin"/>
      <right/>
      <top style="thin"/>
      <bottom style="medium"/>
    </border>
    <border>
      <left style="hair"/>
      <right/>
      <top style="medium"/>
      <bottom/>
    </border>
    <border>
      <left/>
      <right style="medium"/>
      <top style="medium"/>
      <bottom style="medium"/>
    </border>
    <border>
      <left style="hair"/>
      <right style="hair"/>
      <top style="double"/>
      <bottom style="medium"/>
    </border>
    <border>
      <left style="hair"/>
      <right/>
      <top style="double"/>
      <bottom style="medium"/>
    </border>
    <border>
      <left style="hair"/>
      <right style="medium"/>
      <top style="double"/>
      <bottom style="medium"/>
    </border>
    <border>
      <left style="hair"/>
      <right/>
      <top style="medium"/>
      <bottom style="medium"/>
    </border>
    <border>
      <left style="thin"/>
      <right style="medium"/>
      <top style="thin"/>
      <bottom/>
    </border>
    <border>
      <left style="medium"/>
      <right/>
      <top style="double"/>
      <bottom style="double"/>
    </border>
    <border>
      <left style="medium"/>
      <right/>
      <top style="double"/>
      <bottom/>
    </border>
    <border>
      <left style="medium"/>
      <right/>
      <top/>
      <bottom style="thin"/>
    </border>
    <border>
      <left style="double"/>
      <right/>
      <top/>
      <bottom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 style="double"/>
      <right/>
      <top/>
      <bottom style="thin"/>
    </border>
    <border>
      <left style="double"/>
      <right/>
      <top/>
      <bottom style="medium"/>
    </border>
    <border>
      <left/>
      <right style="thin"/>
      <top style="medium"/>
      <bottom style="thin"/>
    </border>
    <border>
      <left style="thin"/>
      <right style="double"/>
      <top style="medium"/>
      <bottom style="thin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 style="hair"/>
      <bottom style="double"/>
    </border>
    <border>
      <left style="hair"/>
      <right style="medium"/>
      <top style="double"/>
      <bottom style="double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double"/>
      <bottom style="hair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double"/>
      <top style="medium"/>
      <bottom/>
    </border>
    <border>
      <left style="thin"/>
      <right style="double"/>
      <top/>
      <bottom style="medium"/>
    </border>
    <border>
      <left style="medium"/>
      <right/>
      <top style="medium"/>
      <bottom style="hair"/>
    </border>
    <border>
      <left/>
      <right style="thin"/>
      <top style="medium"/>
      <bottom/>
    </border>
    <border>
      <left/>
      <right style="thin"/>
      <top/>
      <bottom style="medium"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thin"/>
      <right style="medium"/>
      <top style="medium"/>
      <bottom/>
    </border>
    <border>
      <left/>
      <right style="hair"/>
      <top style="double"/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medium"/>
    </border>
    <border>
      <left style="thin"/>
      <right style="double"/>
      <top style="medium"/>
      <bottom style="dotted"/>
    </border>
    <border>
      <left style="thin"/>
      <right style="double"/>
      <top style="dotted"/>
      <bottom style="medium"/>
    </border>
    <border>
      <left/>
      <right style="double"/>
      <top style="double"/>
      <bottom style="double"/>
    </border>
    <border>
      <left/>
      <right style="double"/>
      <top style="double"/>
      <bottom style="hair"/>
    </border>
    <border>
      <left/>
      <right style="double"/>
      <top style="hair"/>
      <bottom style="hair"/>
    </border>
    <border>
      <left/>
      <right style="double"/>
      <top style="hair"/>
      <bottom style="medium"/>
    </border>
    <border>
      <left/>
      <right style="double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double"/>
      <top/>
      <bottom style="thin"/>
    </border>
    <border>
      <left/>
      <right style="double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/>
      <top style="medium"/>
      <bottom style="thin"/>
    </border>
    <border>
      <left/>
      <right style="double"/>
      <top style="medium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hair"/>
      <right style="hair"/>
      <top style="double"/>
      <bottom/>
    </border>
    <border>
      <left style="medium"/>
      <right style="hair"/>
      <top style="double"/>
      <bottom/>
    </border>
    <border>
      <left style="medium"/>
      <right/>
      <top style="medium"/>
      <bottom style="double"/>
    </border>
    <border>
      <left/>
      <right style="hair"/>
      <top style="medium"/>
      <bottom style="double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medium"/>
      <right style="thin"/>
      <top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4" fillId="26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28" borderId="7" applyNumberFormat="0" applyFont="0" applyAlignment="0" applyProtection="0"/>
    <xf numFmtId="0" fontId="72" fillId="29" borderId="0" applyNumberFormat="0" applyBorder="0" applyAlignment="0" applyProtection="0"/>
    <xf numFmtId="0" fontId="73" fillId="30" borderId="8" applyNumberFormat="0" applyAlignment="0" applyProtection="0"/>
    <xf numFmtId="0" fontId="74" fillId="0" borderId="0" applyNumberFormat="0" applyFill="0" applyBorder="0" applyAlignment="0" applyProtection="0"/>
    <xf numFmtId="0" fontId="63" fillId="0" borderId="0">
      <alignment/>
      <protection/>
    </xf>
    <xf numFmtId="0" fontId="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0" fontId="78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/>
    </xf>
    <xf numFmtId="3" fontId="2" fillId="0" borderId="0" xfId="93" applyNumberFormat="1" applyFont="1" applyFill="1" applyAlignment="1">
      <alignment horizontal="center"/>
      <protection/>
    </xf>
    <xf numFmtId="3" fontId="2" fillId="0" borderId="0" xfId="93" applyNumberFormat="1" applyFont="1" applyFill="1">
      <alignment/>
      <protection/>
    </xf>
    <xf numFmtId="3" fontId="4" fillId="0" borderId="0" xfId="93" applyNumberFormat="1" applyFont="1" applyFill="1">
      <alignment/>
      <protection/>
    </xf>
    <xf numFmtId="3" fontId="2" fillId="0" borderId="0" xfId="93" applyNumberFormat="1" applyFont="1" applyFill="1" applyAlignment="1">
      <alignment vertical="center"/>
      <protection/>
    </xf>
    <xf numFmtId="3" fontId="2" fillId="0" borderId="0" xfId="93" applyNumberFormat="1" applyFont="1" applyFill="1" applyAlignment="1">
      <alignment horizontal="center" vertical="top"/>
      <protection/>
    </xf>
    <xf numFmtId="3" fontId="2" fillId="0" borderId="0" xfId="93" applyNumberFormat="1" applyFont="1" applyFill="1" applyAlignment="1">
      <alignment horizontal="center" vertical="center"/>
      <protection/>
    </xf>
    <xf numFmtId="3" fontId="5" fillId="0" borderId="0" xfId="93" applyNumberFormat="1" applyFont="1" applyFill="1" applyAlignment="1">
      <alignment horizontal="center" vertical="center"/>
      <protection/>
    </xf>
    <xf numFmtId="3" fontId="4" fillId="0" borderId="0" xfId="0" applyNumberFormat="1" applyFont="1" applyFill="1" applyBorder="1" applyAlignment="1">
      <alignment/>
    </xf>
    <xf numFmtId="3" fontId="2" fillId="0" borderId="0" xfId="93" applyNumberFormat="1" applyFont="1" applyFill="1" applyBorder="1" applyAlignment="1">
      <alignment vertical="top" wrapText="1"/>
      <protection/>
    </xf>
    <xf numFmtId="3" fontId="2" fillId="0" borderId="0" xfId="93" applyNumberFormat="1" applyFont="1" applyFill="1" applyBorder="1" applyAlignment="1">
      <alignment horizontal="center"/>
      <protection/>
    </xf>
    <xf numFmtId="3" fontId="4" fillId="0" borderId="0" xfId="93" applyNumberFormat="1" applyFont="1" applyFill="1" applyBorder="1">
      <alignment/>
      <protection/>
    </xf>
    <xf numFmtId="3" fontId="4" fillId="0" borderId="0" xfId="93" applyNumberFormat="1" applyFont="1" applyFill="1" applyBorder="1" applyAlignment="1">
      <alignment vertical="top" wrapText="1"/>
      <protection/>
    </xf>
    <xf numFmtId="3" fontId="4" fillId="0" borderId="0" xfId="93" applyNumberFormat="1" applyFont="1" applyFill="1" applyBorder="1" applyAlignment="1">
      <alignment horizontal="center"/>
      <protection/>
    </xf>
    <xf numFmtId="3" fontId="2" fillId="0" borderId="0" xfId="93" applyNumberFormat="1" applyFont="1" applyFill="1" applyAlignment="1">
      <alignment vertical="top" wrapText="1"/>
      <protection/>
    </xf>
    <xf numFmtId="3" fontId="2" fillId="0" borderId="0" xfId="93" applyNumberFormat="1" applyFont="1" applyFill="1" applyBorder="1" applyAlignment="1">
      <alignment horizontal="center" vertical="top" wrapText="1"/>
      <protection/>
    </xf>
    <xf numFmtId="3" fontId="4" fillId="0" borderId="0" xfId="93" applyNumberFormat="1" applyFont="1" applyFill="1" applyAlignment="1">
      <alignment vertical="top" wrapText="1"/>
      <protection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left" vertical="center" wrapText="1" indent="3"/>
    </xf>
    <xf numFmtId="0" fontId="4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3" fontId="4" fillId="0" borderId="0" xfId="92" applyNumberFormat="1" applyFont="1" applyFill="1" applyBorder="1" applyAlignment="1">
      <alignment horizontal="right" wrapText="1"/>
      <protection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 indent="1"/>
    </xf>
    <xf numFmtId="3" fontId="4" fillId="0" borderId="0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92" applyNumberFormat="1" applyFont="1" applyFill="1">
      <alignment/>
      <protection/>
    </xf>
    <xf numFmtId="3" fontId="2" fillId="0" borderId="0" xfId="92" applyNumberFormat="1" applyFont="1" applyFill="1" applyAlignment="1">
      <alignment horizontal="right"/>
      <protection/>
    </xf>
    <xf numFmtId="3" fontId="2" fillId="0" borderId="0" xfId="92" applyNumberFormat="1" applyFont="1" applyFill="1" applyAlignment="1">
      <alignment/>
      <protection/>
    </xf>
    <xf numFmtId="3" fontId="2" fillId="0" borderId="0" xfId="92" applyNumberFormat="1" applyFont="1" applyFill="1" applyAlignment="1">
      <alignment vertical="center"/>
      <protection/>
    </xf>
    <xf numFmtId="3" fontId="2" fillId="0" borderId="0" xfId="92" applyNumberFormat="1" applyFont="1" applyFill="1" applyAlignment="1">
      <alignment horizontal="center" vertical="center"/>
      <protection/>
    </xf>
    <xf numFmtId="3" fontId="4" fillId="0" borderId="18" xfId="92" applyNumberFormat="1" applyFont="1" applyFill="1" applyBorder="1" applyAlignment="1">
      <alignment horizontal="center"/>
      <protection/>
    </xf>
    <xf numFmtId="3" fontId="2" fillId="0" borderId="18" xfId="92" applyNumberFormat="1" applyFont="1" applyFill="1" applyBorder="1" applyAlignment="1">
      <alignment horizontal="center"/>
      <protection/>
    </xf>
    <xf numFmtId="3" fontId="4" fillId="0" borderId="18" xfId="92" applyNumberFormat="1" applyFont="1" applyFill="1" applyBorder="1" applyAlignment="1">
      <alignment wrapText="1"/>
      <protection/>
    </xf>
    <xf numFmtId="3" fontId="4" fillId="0" borderId="18" xfId="92" applyNumberFormat="1" applyFont="1" applyFill="1" applyBorder="1">
      <alignment/>
      <protection/>
    </xf>
    <xf numFmtId="3" fontId="4" fillId="0" borderId="0" xfId="92" applyNumberFormat="1" applyFont="1" applyFill="1">
      <alignment/>
      <protection/>
    </xf>
    <xf numFmtId="49" fontId="2" fillId="0" borderId="13" xfId="92" applyNumberFormat="1" applyFont="1" applyFill="1" applyBorder="1" applyAlignment="1">
      <alignment horizontal="center"/>
      <protection/>
    </xf>
    <xf numFmtId="3" fontId="2" fillId="0" borderId="0" xfId="92" applyNumberFormat="1" applyFont="1" applyFill="1" applyBorder="1" applyAlignment="1">
      <alignment horizontal="center"/>
      <protection/>
    </xf>
    <xf numFmtId="3" fontId="2" fillId="0" borderId="0" xfId="92" applyNumberFormat="1" applyFont="1" applyFill="1" applyBorder="1">
      <alignment/>
      <protection/>
    </xf>
    <xf numFmtId="3" fontId="2" fillId="0" borderId="0" xfId="92" applyNumberFormat="1" applyFont="1" applyFill="1" applyBorder="1" applyAlignment="1">
      <alignment horizontal="left" indent="2"/>
      <protection/>
    </xf>
    <xf numFmtId="3" fontId="4" fillId="0" borderId="16" xfId="92" applyNumberFormat="1" applyFont="1" applyFill="1" applyBorder="1" applyAlignment="1">
      <alignment horizontal="center"/>
      <protection/>
    </xf>
    <xf numFmtId="3" fontId="2" fillId="0" borderId="16" xfId="92" applyNumberFormat="1" applyFont="1" applyFill="1" applyBorder="1" applyAlignment="1">
      <alignment horizontal="center"/>
      <protection/>
    </xf>
    <xf numFmtId="3" fontId="4" fillId="0" borderId="16" xfId="92" applyNumberFormat="1" applyFont="1" applyFill="1" applyBorder="1">
      <alignment/>
      <protection/>
    </xf>
    <xf numFmtId="3" fontId="4" fillId="0" borderId="0" xfId="92" applyNumberFormat="1" applyFont="1" applyFill="1" applyBorder="1" applyAlignment="1">
      <alignment horizontal="center"/>
      <protection/>
    </xf>
    <xf numFmtId="3" fontId="4" fillId="0" borderId="0" xfId="92" applyNumberFormat="1" applyFont="1" applyFill="1" applyBorder="1">
      <alignment/>
      <protection/>
    </xf>
    <xf numFmtId="3" fontId="5" fillId="0" borderId="0" xfId="92" applyNumberFormat="1" applyFont="1" applyFill="1" applyBorder="1" applyAlignment="1">
      <alignment horizontal="center"/>
      <protection/>
    </xf>
    <xf numFmtId="3" fontId="5" fillId="0" borderId="0" xfId="92" applyNumberFormat="1" applyFont="1" applyFill="1" applyBorder="1" applyAlignment="1">
      <alignment horizontal="left" indent="2"/>
      <protection/>
    </xf>
    <xf numFmtId="3" fontId="5" fillId="0" borderId="0" xfId="92" applyNumberFormat="1" applyFont="1" applyFill="1" applyBorder="1">
      <alignment/>
      <protection/>
    </xf>
    <xf numFmtId="3" fontId="5" fillId="0" borderId="0" xfId="92" applyNumberFormat="1" applyFont="1" applyFill="1">
      <alignment/>
      <protection/>
    </xf>
    <xf numFmtId="3" fontId="2" fillId="0" borderId="0" xfId="92" applyNumberFormat="1" applyFont="1" applyFill="1" applyBorder="1" applyAlignment="1">
      <alignment horizontal="left" indent="3"/>
      <protection/>
    </xf>
    <xf numFmtId="3" fontId="4" fillId="0" borderId="0" xfId="92" applyNumberFormat="1" applyFont="1" applyFill="1" applyBorder="1" applyAlignment="1">
      <alignment horizontal="center" vertical="center"/>
      <protection/>
    </xf>
    <xf numFmtId="3" fontId="4" fillId="0" borderId="0" xfId="92" applyNumberFormat="1" applyFont="1" applyFill="1" applyBorder="1" applyAlignment="1">
      <alignment vertical="center"/>
      <protection/>
    </xf>
    <xf numFmtId="3" fontId="2" fillId="0" borderId="0" xfId="92" applyNumberFormat="1" applyFont="1" applyFill="1" applyBorder="1" applyAlignment="1">
      <alignment horizontal="left"/>
      <protection/>
    </xf>
    <xf numFmtId="49" fontId="2" fillId="0" borderId="13" xfId="92" applyNumberFormat="1" applyFont="1" applyFill="1" applyBorder="1" applyAlignment="1">
      <alignment horizontal="center" vertical="top"/>
      <protection/>
    </xf>
    <xf numFmtId="3" fontId="2" fillId="0" borderId="0" xfId="92" applyNumberFormat="1" applyFont="1" applyFill="1" applyBorder="1" applyAlignment="1">
      <alignment horizontal="center" vertical="top"/>
      <protection/>
    </xf>
    <xf numFmtId="3" fontId="2" fillId="0" borderId="0" xfId="92" applyNumberFormat="1" applyFont="1" applyFill="1" applyBorder="1" applyAlignment="1">
      <alignment vertical="top"/>
      <protection/>
    </xf>
    <xf numFmtId="3" fontId="2" fillId="0" borderId="0" xfId="92" applyNumberFormat="1" applyFont="1" applyFill="1" applyAlignment="1">
      <alignment vertical="top"/>
      <protection/>
    </xf>
    <xf numFmtId="49" fontId="2" fillId="0" borderId="19" xfId="92" applyNumberFormat="1" applyFont="1" applyFill="1" applyBorder="1" applyAlignment="1">
      <alignment horizontal="center" vertical="center"/>
      <protection/>
    </xf>
    <xf numFmtId="3" fontId="4" fillId="0" borderId="20" xfId="92" applyNumberFormat="1" applyFont="1" applyFill="1" applyBorder="1" applyAlignment="1">
      <alignment horizontal="center" vertical="center"/>
      <protection/>
    </xf>
    <xf numFmtId="3" fontId="2" fillId="0" borderId="20" xfId="92" applyNumberFormat="1" applyFont="1" applyFill="1" applyBorder="1" applyAlignment="1">
      <alignment horizontal="center" vertical="center"/>
      <protection/>
    </xf>
    <xf numFmtId="3" fontId="4" fillId="0" borderId="20" xfId="92" applyNumberFormat="1" applyFont="1" applyFill="1" applyBorder="1" applyAlignment="1">
      <alignment vertical="center"/>
      <protection/>
    </xf>
    <xf numFmtId="3" fontId="2" fillId="0" borderId="0" xfId="92" applyNumberFormat="1" applyFont="1" applyFill="1" applyBorder="1" applyAlignment="1">
      <alignment/>
      <protection/>
    </xf>
    <xf numFmtId="3" fontId="2" fillId="0" borderId="0" xfId="92" applyNumberFormat="1" applyFont="1" applyFill="1" applyBorder="1" applyAlignment="1">
      <alignment horizontal="left" indent="1"/>
      <protection/>
    </xf>
    <xf numFmtId="3" fontId="2" fillId="0" borderId="0" xfId="92" applyNumberFormat="1" applyFont="1" applyFill="1" applyBorder="1" applyAlignment="1">
      <alignment horizontal="left" vertical="top" indent="1"/>
      <protection/>
    </xf>
    <xf numFmtId="49" fontId="2" fillId="0" borderId="0" xfId="92" applyNumberFormat="1" applyFont="1" applyFill="1" applyBorder="1" applyAlignment="1">
      <alignment horizontal="center"/>
      <protection/>
    </xf>
    <xf numFmtId="49" fontId="2" fillId="0" borderId="0" xfId="92" applyNumberFormat="1" applyFont="1" applyFill="1" applyAlignment="1">
      <alignment horizontal="center"/>
      <protection/>
    </xf>
    <xf numFmtId="3" fontId="4" fillId="0" borderId="0" xfId="92" applyNumberFormat="1" applyFont="1" applyFill="1" applyAlignment="1">
      <alignment horizontal="center"/>
      <protection/>
    </xf>
    <xf numFmtId="3" fontId="2" fillId="0" borderId="0" xfId="92" applyNumberFormat="1" applyFont="1" applyFill="1" applyAlignment="1">
      <alignment horizontal="center"/>
      <protection/>
    </xf>
    <xf numFmtId="3" fontId="6" fillId="0" borderId="0" xfId="93" applyNumberFormat="1" applyFont="1" applyFill="1" applyAlignment="1">
      <alignment horizontal="center" vertical="center"/>
      <protection/>
    </xf>
    <xf numFmtId="3" fontId="9" fillId="0" borderId="21" xfId="0" applyNumberFormat="1" applyFont="1" applyFill="1" applyBorder="1" applyAlignment="1">
      <alignment horizontal="center" wrapText="1"/>
    </xf>
    <xf numFmtId="3" fontId="9" fillId="0" borderId="22" xfId="0" applyNumberFormat="1" applyFont="1" applyFill="1" applyBorder="1" applyAlignment="1">
      <alignment horizontal="center" wrapText="1"/>
    </xf>
    <xf numFmtId="3" fontId="9" fillId="0" borderId="23" xfId="0" applyNumberFormat="1" applyFont="1" applyFill="1" applyBorder="1" applyAlignment="1">
      <alignment horizontal="center" wrapText="1"/>
    </xf>
    <xf numFmtId="3" fontId="9" fillId="0" borderId="24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164" fontId="5" fillId="0" borderId="0" xfId="0" applyNumberFormat="1" applyFont="1" applyFill="1" applyBorder="1" applyAlignment="1">
      <alignment horizontal="left" vertical="top" wrapText="1" indent="2"/>
    </xf>
    <xf numFmtId="164" fontId="5" fillId="0" borderId="15" xfId="0" applyNumberFormat="1" applyFont="1" applyFill="1" applyBorder="1" applyAlignment="1">
      <alignment horizontal="left" vertical="center" wrapText="1" indent="3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4" fontId="6" fillId="0" borderId="25" xfId="0" applyNumberFormat="1" applyFont="1" applyFill="1" applyBorder="1" applyAlignment="1">
      <alignment horizontal="center"/>
    </xf>
    <xf numFmtId="4" fontId="6" fillId="0" borderId="25" xfId="0" applyNumberFormat="1" applyFont="1" applyFill="1" applyBorder="1" applyAlignment="1">
      <alignment horizontal="center" vertical="top"/>
    </xf>
    <xf numFmtId="4" fontId="6" fillId="0" borderId="25" xfId="0" applyNumberFormat="1" applyFont="1" applyFill="1" applyBorder="1" applyAlignment="1">
      <alignment horizontal="center" vertical="center"/>
    </xf>
    <xf numFmtId="4" fontId="10" fillId="0" borderId="26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center" vertical="top" wrapText="1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top"/>
    </xf>
    <xf numFmtId="3" fontId="11" fillId="0" borderId="0" xfId="0" applyNumberFormat="1" applyFont="1" applyFill="1" applyBorder="1" applyAlignment="1">
      <alignment horizontal="right" vertical="center"/>
    </xf>
    <xf numFmtId="3" fontId="16" fillId="0" borderId="0" xfId="93" applyNumberFormat="1" applyFont="1" applyFill="1" applyAlignment="1">
      <alignment horizontal="center" vertical="center"/>
      <protection/>
    </xf>
    <xf numFmtId="3" fontId="6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9" fillId="0" borderId="23" xfId="93" applyNumberFormat="1" applyFont="1" applyFill="1" applyBorder="1" applyAlignment="1">
      <alignment horizontal="center"/>
      <protection/>
    </xf>
    <xf numFmtId="3" fontId="9" fillId="0" borderId="24" xfId="93" applyNumberFormat="1" applyFont="1" applyFill="1" applyBorder="1" applyAlignment="1">
      <alignment horizontal="center"/>
      <protection/>
    </xf>
    <xf numFmtId="3" fontId="9" fillId="0" borderId="24" xfId="93" applyNumberFormat="1" applyFont="1" applyFill="1" applyBorder="1" applyAlignment="1">
      <alignment wrapText="1"/>
      <protection/>
    </xf>
    <xf numFmtId="3" fontId="9" fillId="0" borderId="24" xfId="93" applyNumberFormat="1" applyFont="1" applyFill="1" applyBorder="1" applyAlignment="1">
      <alignment horizontal="right"/>
      <protection/>
    </xf>
    <xf numFmtId="3" fontId="9" fillId="0" borderId="27" xfId="93" applyNumberFormat="1" applyFont="1" applyFill="1" applyBorder="1" applyAlignment="1">
      <alignment horizontal="right"/>
      <protection/>
    </xf>
    <xf numFmtId="3" fontId="9" fillId="0" borderId="23" xfId="93" applyNumberFormat="1" applyFont="1" applyFill="1" applyBorder="1" applyAlignment="1">
      <alignment horizontal="center" vertical="center"/>
      <protection/>
    </xf>
    <xf numFmtId="3" fontId="9" fillId="0" borderId="24" xfId="93" applyNumberFormat="1" applyFont="1" applyFill="1" applyBorder="1" applyAlignment="1">
      <alignment horizontal="center" vertical="center"/>
      <protection/>
    </xf>
    <xf numFmtId="3" fontId="9" fillId="0" borderId="28" xfId="93" applyNumberFormat="1" applyFont="1" applyFill="1" applyBorder="1" applyAlignment="1">
      <alignment wrapText="1"/>
      <protection/>
    </xf>
    <xf numFmtId="3" fontId="11" fillId="0" borderId="28" xfId="93" applyNumberFormat="1" applyFont="1" applyFill="1" applyBorder="1" applyAlignment="1">
      <alignment horizontal="right"/>
      <protection/>
    </xf>
    <xf numFmtId="3" fontId="11" fillId="0" borderId="29" xfId="93" applyNumberFormat="1" applyFont="1" applyFill="1" applyBorder="1" applyAlignment="1">
      <alignment horizontal="right"/>
      <protection/>
    </xf>
    <xf numFmtId="3" fontId="11" fillId="0" borderId="23" xfId="93" applyNumberFormat="1" applyFont="1" applyFill="1" applyBorder="1" applyAlignment="1">
      <alignment horizontal="center" vertical="center"/>
      <protection/>
    </xf>
    <xf numFmtId="3" fontId="11" fillId="0" borderId="24" xfId="93" applyNumberFormat="1" applyFont="1" applyFill="1" applyBorder="1" applyAlignment="1">
      <alignment horizontal="right"/>
      <protection/>
    </xf>
    <xf numFmtId="3" fontId="11" fillId="0" borderId="27" xfId="93" applyNumberFormat="1" applyFont="1" applyFill="1" applyBorder="1" applyAlignment="1">
      <alignment horizontal="right"/>
      <protection/>
    </xf>
    <xf numFmtId="3" fontId="11" fillId="0" borderId="24" xfId="93" applyNumberFormat="1" applyFont="1" applyFill="1" applyBorder="1" applyAlignment="1">
      <alignment vertical="center" wrapText="1"/>
      <protection/>
    </xf>
    <xf numFmtId="3" fontId="9" fillId="0" borderId="24" xfId="93" applyNumberFormat="1" applyFont="1" applyFill="1" applyBorder="1" applyAlignment="1">
      <alignment/>
      <protection/>
    </xf>
    <xf numFmtId="3" fontId="9" fillId="0" borderId="27" xfId="93" applyNumberFormat="1" applyFont="1" applyFill="1" applyBorder="1" applyAlignment="1">
      <alignment/>
      <protection/>
    </xf>
    <xf numFmtId="3" fontId="9" fillId="0" borderId="23" xfId="93" applyNumberFormat="1" applyFont="1" applyFill="1" applyBorder="1" applyAlignment="1">
      <alignment horizontal="center" vertical="top"/>
      <protection/>
    </xf>
    <xf numFmtId="49" fontId="11" fillId="0" borderId="24" xfId="93" applyNumberFormat="1" applyFont="1" applyFill="1" applyBorder="1" applyAlignment="1">
      <alignment horizontal="left" vertical="center" wrapText="1" indent="4"/>
      <protection/>
    </xf>
    <xf numFmtId="3" fontId="9" fillId="0" borderId="30" xfId="93" applyNumberFormat="1" applyFont="1" applyFill="1" applyBorder="1" applyAlignment="1">
      <alignment horizontal="center" vertical="center"/>
      <protection/>
    </xf>
    <xf numFmtId="3" fontId="15" fillId="0" borderId="30" xfId="93" applyNumberFormat="1" applyFont="1" applyFill="1" applyBorder="1" applyAlignment="1">
      <alignment horizontal="center"/>
      <protection/>
    </xf>
    <xf numFmtId="3" fontId="16" fillId="0" borderId="0" xfId="93" applyNumberFormat="1" applyFont="1" applyFill="1" applyAlignment="1">
      <alignment horizontal="center"/>
      <protection/>
    </xf>
    <xf numFmtId="3" fontId="11" fillId="0" borderId="24" xfId="93" applyNumberFormat="1" applyFont="1" applyFill="1" applyBorder="1" applyAlignment="1">
      <alignment horizontal="left" wrapText="1" indent="2"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9" fillId="0" borderId="30" xfId="93" applyNumberFormat="1" applyFont="1" applyFill="1" applyBorder="1" applyAlignment="1">
      <alignment horizontal="center"/>
      <protection/>
    </xf>
    <xf numFmtId="3" fontId="9" fillId="0" borderId="28" xfId="0" applyNumberFormat="1" applyFont="1" applyFill="1" applyBorder="1" applyAlignment="1">
      <alignment horizontal="right" wrapText="1"/>
    </xf>
    <xf numFmtId="3" fontId="9" fillId="0" borderId="28" xfId="93" applyNumberFormat="1" applyFont="1" applyFill="1" applyBorder="1" applyAlignment="1">
      <alignment horizontal="right"/>
      <protection/>
    </xf>
    <xf numFmtId="3" fontId="9" fillId="0" borderId="29" xfId="93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vertical="center"/>
    </xf>
    <xf numFmtId="3" fontId="9" fillId="0" borderId="31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left" vertical="center" wrapText="1" indent="2"/>
    </xf>
    <xf numFmtId="0" fontId="2" fillId="0" borderId="0" xfId="0" applyFont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4" fillId="0" borderId="18" xfId="92" applyNumberFormat="1" applyFont="1" applyFill="1" applyBorder="1" applyAlignment="1">
      <alignment horizontal="left" textRotation="90" wrapText="1"/>
      <protection/>
    </xf>
    <xf numFmtId="3" fontId="2" fillId="0" borderId="18" xfId="92" applyNumberFormat="1" applyFont="1" applyFill="1" applyBorder="1" applyAlignment="1">
      <alignment horizontal="center" wrapText="1"/>
      <protection/>
    </xf>
    <xf numFmtId="3" fontId="4" fillId="0" borderId="18" xfId="92" applyNumberFormat="1" applyFont="1" applyFill="1" applyBorder="1" applyAlignment="1">
      <alignment horizontal="left" wrapText="1"/>
      <protection/>
    </xf>
    <xf numFmtId="3" fontId="4" fillId="0" borderId="0" xfId="92" applyNumberFormat="1" applyFont="1" applyFill="1" applyBorder="1" applyAlignment="1">
      <alignment horizontal="left"/>
      <protection/>
    </xf>
    <xf numFmtId="3" fontId="4" fillId="0" borderId="0" xfId="92" applyNumberFormat="1" applyFont="1" applyFill="1" applyAlignment="1">
      <alignment horizontal="left"/>
      <protection/>
    </xf>
    <xf numFmtId="3" fontId="4" fillId="0" borderId="0" xfId="92" applyNumberFormat="1" applyFont="1" applyFill="1" applyBorder="1" applyAlignment="1">
      <alignment horizontal="left" wrapText="1"/>
      <protection/>
    </xf>
    <xf numFmtId="3" fontId="2" fillId="0" borderId="0" xfId="92" applyNumberFormat="1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wrapText="1"/>
    </xf>
    <xf numFmtId="3" fontId="4" fillId="0" borderId="17" xfId="92" applyNumberFormat="1" applyFont="1" applyFill="1" applyBorder="1" applyAlignment="1">
      <alignment horizontal="left" textRotation="90" wrapText="1"/>
      <protection/>
    </xf>
    <xf numFmtId="3" fontId="2" fillId="0" borderId="17" xfId="92" applyNumberFormat="1" applyFont="1" applyFill="1" applyBorder="1" applyAlignment="1">
      <alignment horizontal="center" wrapText="1"/>
      <protection/>
    </xf>
    <xf numFmtId="3" fontId="4" fillId="0" borderId="17" xfId="92" applyNumberFormat="1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indent="1"/>
    </xf>
    <xf numFmtId="0" fontId="2" fillId="0" borderId="17" xfId="0" applyFont="1" applyFill="1" applyBorder="1" applyAlignment="1">
      <alignment horizontal="left" indent="1"/>
    </xf>
    <xf numFmtId="0" fontId="4" fillId="0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3" fontId="9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2" fillId="0" borderId="0" xfId="95" applyNumberFormat="1" applyFont="1">
      <alignment/>
      <protection/>
    </xf>
    <xf numFmtId="3" fontId="2" fillId="0" borderId="0" xfId="95" applyNumberFormat="1" applyFont="1" applyAlignment="1">
      <alignment horizontal="center"/>
      <protection/>
    </xf>
    <xf numFmtId="14" fontId="2" fillId="0" borderId="0" xfId="95" applyNumberFormat="1" applyFont="1" applyAlignment="1">
      <alignment horizontal="center"/>
      <protection/>
    </xf>
    <xf numFmtId="3" fontId="2" fillId="0" borderId="0" xfId="95" applyNumberFormat="1" applyFont="1" applyAlignment="1">
      <alignment horizontal="center" vertical="center" wrapText="1"/>
      <protection/>
    </xf>
    <xf numFmtId="3" fontId="4" fillId="0" borderId="35" xfId="95" applyNumberFormat="1" applyFont="1" applyBorder="1" applyAlignment="1">
      <alignment horizontal="right" vertical="center"/>
      <protection/>
    </xf>
    <xf numFmtId="3" fontId="2" fillId="0" borderId="36" xfId="95" applyNumberFormat="1" applyFont="1" applyBorder="1" applyAlignment="1">
      <alignment horizontal="right" vertical="center" wrapText="1"/>
      <protection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4" fillId="0" borderId="37" xfId="92" applyNumberFormat="1" applyFont="1" applyFill="1" applyBorder="1" applyAlignment="1">
      <alignment horizontal="center" vertical="center" wrapText="1"/>
      <protection/>
    </xf>
    <xf numFmtId="3" fontId="4" fillId="0" borderId="38" xfId="92" applyNumberFormat="1" applyFont="1" applyFill="1" applyBorder="1" applyAlignment="1">
      <alignment horizontal="right" wrapText="1"/>
      <protection/>
    </xf>
    <xf numFmtId="3" fontId="4" fillId="0" borderId="38" xfId="0" applyNumberFormat="1" applyFont="1" applyFill="1" applyBorder="1" applyAlignment="1">
      <alignment horizontal="right"/>
    </xf>
    <xf numFmtId="3" fontId="2" fillId="0" borderId="38" xfId="0" applyNumberFormat="1" applyFont="1" applyFill="1" applyBorder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3" fontId="2" fillId="0" borderId="40" xfId="0" applyNumberFormat="1" applyFont="1" applyFill="1" applyBorder="1" applyAlignment="1">
      <alignment horizontal="right"/>
    </xf>
    <xf numFmtId="3" fontId="2" fillId="0" borderId="41" xfId="92" applyNumberFormat="1" applyFont="1" applyFill="1" applyBorder="1" applyAlignment="1">
      <alignment horizontal="center" vertical="center" wrapText="1"/>
      <protection/>
    </xf>
    <xf numFmtId="3" fontId="4" fillId="0" borderId="42" xfId="92" applyNumberFormat="1" applyFont="1" applyFill="1" applyBorder="1">
      <alignment/>
      <protection/>
    </xf>
    <xf numFmtId="3" fontId="2" fillId="0" borderId="38" xfId="92" applyNumberFormat="1" applyFont="1" applyFill="1" applyBorder="1">
      <alignment/>
      <protection/>
    </xf>
    <xf numFmtId="3" fontId="4" fillId="0" borderId="39" xfId="92" applyNumberFormat="1" applyFont="1" applyFill="1" applyBorder="1">
      <alignment/>
      <protection/>
    </xf>
    <xf numFmtId="3" fontId="4" fillId="0" borderId="38" xfId="92" applyNumberFormat="1" applyFont="1" applyFill="1" applyBorder="1">
      <alignment/>
      <protection/>
    </xf>
    <xf numFmtId="3" fontId="5" fillId="0" borderId="38" xfId="92" applyNumberFormat="1" applyFont="1" applyFill="1" applyBorder="1">
      <alignment/>
      <protection/>
    </xf>
    <xf numFmtId="3" fontId="4" fillId="0" borderId="38" xfId="92" applyNumberFormat="1" applyFont="1" applyFill="1" applyBorder="1" applyAlignment="1">
      <alignment vertical="center"/>
      <protection/>
    </xf>
    <xf numFmtId="3" fontId="2" fillId="0" borderId="38" xfId="92" applyNumberFormat="1" applyFont="1" applyFill="1" applyBorder="1" applyAlignment="1">
      <alignment vertical="top"/>
      <protection/>
    </xf>
    <xf numFmtId="3" fontId="4" fillId="0" borderId="37" xfId="92" applyNumberFormat="1" applyFont="1" applyFill="1" applyBorder="1" applyAlignment="1">
      <alignment vertical="center"/>
      <protection/>
    </xf>
    <xf numFmtId="3" fontId="2" fillId="0" borderId="38" xfId="92" applyNumberFormat="1" applyFont="1" applyFill="1" applyBorder="1" applyAlignment="1">
      <alignment/>
      <protection/>
    </xf>
    <xf numFmtId="3" fontId="2" fillId="0" borderId="0" xfId="92" applyNumberFormat="1" applyFont="1" applyFill="1" applyBorder="1" applyAlignment="1">
      <alignment horizontal="center" vertical="top" wrapText="1"/>
      <protection/>
    </xf>
    <xf numFmtId="0" fontId="10" fillId="0" borderId="0" xfId="0" applyFont="1" applyFill="1" applyAlignment="1">
      <alignment horizontal="center"/>
    </xf>
    <xf numFmtId="3" fontId="2" fillId="0" borderId="43" xfId="95" applyNumberFormat="1" applyFont="1" applyBorder="1" applyAlignment="1">
      <alignment horizontal="center" vertical="center" wrapText="1"/>
      <protection/>
    </xf>
    <xf numFmtId="3" fontId="2" fillId="0" borderId="44" xfId="95" applyNumberFormat="1" applyFont="1" applyBorder="1" applyAlignment="1">
      <alignment horizontal="center" vertical="center" wrapText="1"/>
      <protection/>
    </xf>
    <xf numFmtId="3" fontId="9" fillId="0" borderId="0" xfId="93" applyNumberFormat="1" applyFont="1" applyFill="1">
      <alignment/>
      <protection/>
    </xf>
    <xf numFmtId="3" fontId="21" fillId="0" borderId="24" xfId="93" applyNumberFormat="1" applyFont="1" applyFill="1" applyBorder="1" applyAlignment="1">
      <alignment wrapText="1"/>
      <protection/>
    </xf>
    <xf numFmtId="3" fontId="2" fillId="0" borderId="0" xfId="93" applyNumberFormat="1" applyFont="1" applyFill="1" applyBorder="1">
      <alignment/>
      <protection/>
    </xf>
    <xf numFmtId="3" fontId="2" fillId="0" borderId="45" xfId="92" applyNumberFormat="1" applyFont="1" applyFill="1" applyBorder="1" applyAlignment="1">
      <alignment horizontal="center" textRotation="90" wrapText="1"/>
      <protection/>
    </xf>
    <xf numFmtId="3" fontId="2" fillId="0" borderId="13" xfId="92" applyNumberFormat="1" applyFont="1" applyFill="1" applyBorder="1" applyAlignment="1">
      <alignment horizontal="center" wrapText="1"/>
      <protection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top"/>
    </xf>
    <xf numFmtId="3" fontId="2" fillId="0" borderId="46" xfId="92" applyNumberFormat="1" applyFont="1" applyFill="1" applyBorder="1" applyAlignment="1">
      <alignment horizontal="center" textRotation="90" wrapText="1"/>
      <protection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49" fontId="2" fillId="0" borderId="45" xfId="92" applyNumberFormat="1" applyFont="1" applyFill="1" applyBorder="1" applyAlignment="1">
      <alignment horizontal="center"/>
      <protection/>
    </xf>
    <xf numFmtId="49" fontId="2" fillId="0" borderId="46" xfId="92" applyNumberFormat="1" applyFont="1" applyFill="1" applyBorder="1" applyAlignment="1">
      <alignment horizontal="center"/>
      <protection/>
    </xf>
    <xf numFmtId="49" fontId="5" fillId="0" borderId="13" xfId="92" applyNumberFormat="1" applyFont="1" applyFill="1" applyBorder="1" applyAlignment="1">
      <alignment horizontal="center"/>
      <protection/>
    </xf>
    <xf numFmtId="49" fontId="2" fillId="0" borderId="13" xfId="92" applyNumberFormat="1" applyFont="1" applyFill="1" applyBorder="1" applyAlignment="1">
      <alignment horizontal="center" vertical="center"/>
      <protection/>
    </xf>
    <xf numFmtId="3" fontId="9" fillId="0" borderId="41" xfId="92" applyNumberFormat="1" applyFont="1" applyFill="1" applyBorder="1" applyAlignment="1">
      <alignment horizontal="center" vertical="center" wrapText="1"/>
      <protection/>
    </xf>
    <xf numFmtId="3" fontId="2" fillId="0" borderId="50" xfId="92" applyNumberFormat="1" applyFont="1" applyFill="1" applyBorder="1" applyAlignment="1">
      <alignment horizontal="center" vertical="center" textRotation="90" wrapText="1"/>
      <protection/>
    </xf>
    <xf numFmtId="3" fontId="2" fillId="0" borderId="41" xfId="92" applyNumberFormat="1" applyFont="1" applyFill="1" applyBorder="1" applyAlignment="1">
      <alignment horizontal="center" vertical="center" textRotation="90" wrapText="1"/>
      <protection/>
    </xf>
    <xf numFmtId="3" fontId="4" fillId="0" borderId="41" xfId="92" applyNumberFormat="1" applyFont="1" applyFill="1" applyBorder="1" applyAlignment="1">
      <alignment horizontal="center" vertical="center" wrapText="1"/>
      <protection/>
    </xf>
    <xf numFmtId="3" fontId="2" fillId="0" borderId="51" xfId="92" applyNumberFormat="1" applyFont="1" applyFill="1" applyBorder="1" applyAlignment="1">
      <alignment horizontal="center" vertical="center" wrapText="1"/>
      <protection/>
    </xf>
    <xf numFmtId="3" fontId="2" fillId="0" borderId="20" xfId="92" applyNumberFormat="1" applyFont="1" applyFill="1" applyBorder="1" applyAlignment="1">
      <alignment horizontal="center" vertical="center" wrapText="1"/>
      <protection/>
    </xf>
    <xf numFmtId="3" fontId="4" fillId="0" borderId="18" xfId="92" applyNumberFormat="1" applyFont="1" applyFill="1" applyBorder="1" applyAlignment="1">
      <alignment horizontal="right" wrapText="1"/>
      <protection/>
    </xf>
    <xf numFmtId="3" fontId="4" fillId="0" borderId="42" xfId="92" applyNumberFormat="1" applyFont="1" applyFill="1" applyBorder="1" applyAlignment="1">
      <alignment horizontal="right" wrapText="1"/>
      <protection/>
    </xf>
    <xf numFmtId="49" fontId="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40" xfId="0" applyNumberFormat="1" applyFont="1" applyFill="1" applyBorder="1" applyAlignment="1">
      <alignment horizontal="right"/>
    </xf>
    <xf numFmtId="3" fontId="4" fillId="0" borderId="17" xfId="92" applyNumberFormat="1" applyFont="1" applyFill="1" applyBorder="1" applyAlignment="1">
      <alignment horizontal="right" wrapText="1"/>
      <protection/>
    </xf>
    <xf numFmtId="3" fontId="4" fillId="0" borderId="32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horizontal="right" vertical="center"/>
    </xf>
    <xf numFmtId="3" fontId="5" fillId="0" borderId="0" xfId="92" applyNumberFormat="1" applyFont="1" applyFill="1" applyBorder="1" applyAlignment="1">
      <alignment horizontal="right"/>
      <protection/>
    </xf>
    <xf numFmtId="3" fontId="2" fillId="0" borderId="15" xfId="92" applyNumberFormat="1" applyFont="1" applyFill="1" applyBorder="1" applyAlignment="1">
      <alignment horizontal="center"/>
      <protection/>
    </xf>
    <xf numFmtId="49" fontId="2" fillId="0" borderId="50" xfId="92" applyNumberFormat="1" applyFont="1" applyFill="1" applyBorder="1" applyAlignment="1">
      <alignment horizontal="center" vertical="center" textRotation="90"/>
      <protection/>
    </xf>
    <xf numFmtId="3" fontId="2" fillId="0" borderId="41" xfId="92" applyNumberFormat="1" applyFont="1" applyFill="1" applyBorder="1" applyAlignment="1">
      <alignment horizontal="center" vertical="center" textRotation="90"/>
      <protection/>
    </xf>
    <xf numFmtId="3" fontId="4" fillId="0" borderId="41" xfId="92" applyNumberFormat="1" applyFont="1" applyFill="1" applyBorder="1" applyAlignment="1">
      <alignment horizontal="center" vertical="center"/>
      <protection/>
    </xf>
    <xf numFmtId="3" fontId="2" fillId="0" borderId="54" xfId="92" applyNumberFormat="1" applyFont="1" applyFill="1" applyBorder="1" applyAlignment="1">
      <alignment horizontal="center" vertical="center" wrapText="1"/>
      <protection/>
    </xf>
    <xf numFmtId="0" fontId="2" fillId="0" borderId="0" xfId="102" applyFont="1" applyFill="1" applyBorder="1">
      <alignment/>
      <protection/>
    </xf>
    <xf numFmtId="0" fontId="2" fillId="0" borderId="0" xfId="102" applyFont="1" applyFill="1" applyBorder="1" applyAlignment="1">
      <alignment/>
      <protection/>
    </xf>
    <xf numFmtId="0" fontId="2" fillId="0" borderId="24" xfId="102" applyFont="1" applyFill="1" applyBorder="1" applyAlignment="1">
      <alignment horizontal="center" vertical="top"/>
      <protection/>
    </xf>
    <xf numFmtId="0" fontId="2" fillId="0" borderId="24" xfId="94" applyFont="1" applyFill="1" applyBorder="1" applyAlignment="1">
      <alignment wrapText="1"/>
      <protection/>
    </xf>
    <xf numFmtId="0" fontId="2" fillId="0" borderId="24" xfId="94" applyFont="1" applyFill="1" applyBorder="1" applyAlignment="1">
      <alignment vertical="top" wrapText="1"/>
      <protection/>
    </xf>
    <xf numFmtId="0" fontId="2" fillId="0" borderId="0" xfId="102" applyFont="1" applyFill="1" applyBorder="1" applyAlignment="1">
      <alignment vertical="center"/>
      <protection/>
    </xf>
    <xf numFmtId="3" fontId="2" fillId="0" borderId="28" xfId="94" applyNumberFormat="1" applyFont="1" applyFill="1" applyBorder="1" applyAlignment="1">
      <alignment horizontal="right"/>
      <protection/>
    </xf>
    <xf numFmtId="3" fontId="2" fillId="0" borderId="29" xfId="102" applyNumberFormat="1" applyFont="1" applyFill="1" applyBorder="1" applyAlignment="1">
      <alignment horizontal="right"/>
      <protection/>
    </xf>
    <xf numFmtId="3" fontId="2" fillId="0" borderId="28" xfId="102" applyNumberFormat="1" applyFont="1" applyFill="1" applyBorder="1" applyAlignment="1">
      <alignment horizontal="right"/>
      <protection/>
    </xf>
    <xf numFmtId="0" fontId="2" fillId="0" borderId="0" xfId="102" applyFont="1" applyFill="1" applyBorder="1" applyAlignment="1">
      <alignment horizontal="left"/>
      <protection/>
    </xf>
    <xf numFmtId="3" fontId="2" fillId="0" borderId="24" xfId="102" applyNumberFormat="1" applyFont="1" applyFill="1" applyBorder="1" applyAlignment="1">
      <alignment horizontal="right"/>
      <protection/>
    </xf>
    <xf numFmtId="3" fontId="2" fillId="0" borderId="27" xfId="102" applyNumberFormat="1" applyFont="1" applyFill="1" applyBorder="1" applyAlignment="1">
      <alignment horizontal="right"/>
      <protection/>
    </xf>
    <xf numFmtId="3" fontId="2" fillId="0" borderId="0" xfId="103" applyNumberFormat="1" applyFont="1" applyFill="1" applyBorder="1" applyAlignment="1">
      <alignment horizontal="right"/>
      <protection/>
    </xf>
    <xf numFmtId="3" fontId="2" fillId="0" borderId="0" xfId="103" applyNumberFormat="1" applyFont="1" applyFill="1" applyBorder="1" applyAlignment="1">
      <alignment horizontal="right" wrapText="1"/>
      <protection/>
    </xf>
    <xf numFmtId="0" fontId="2" fillId="0" borderId="0" xfId="0" applyFont="1" applyFill="1" applyBorder="1" applyAlignment="1">
      <alignment horizontal="right"/>
    </xf>
    <xf numFmtId="3" fontId="11" fillId="0" borderId="24" xfId="93" applyNumberFormat="1" applyFont="1" applyFill="1" applyBorder="1" applyAlignment="1">
      <alignment wrapText="1"/>
      <protection/>
    </xf>
    <xf numFmtId="3" fontId="11" fillId="0" borderId="24" xfId="93" applyNumberFormat="1" applyFont="1" applyFill="1" applyBorder="1" applyAlignment="1">
      <alignment horizontal="left" wrapText="1"/>
      <protection/>
    </xf>
    <xf numFmtId="3" fontId="11" fillId="0" borderId="24" xfId="93" applyNumberFormat="1" applyFont="1" applyFill="1" applyBorder="1" applyAlignment="1">
      <alignment horizontal="left" wrapText="1" indent="3"/>
      <protection/>
    </xf>
    <xf numFmtId="3" fontId="9" fillId="0" borderId="0" xfId="0" applyNumberFormat="1" applyFont="1" applyFill="1" applyBorder="1" applyAlignment="1">
      <alignment horizontal="center"/>
    </xf>
    <xf numFmtId="0" fontId="2" fillId="0" borderId="24" xfId="102" applyFont="1" applyFill="1" applyBorder="1" applyAlignment="1">
      <alignment horizontal="center"/>
      <protection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vertical="top"/>
    </xf>
    <xf numFmtId="4" fontId="4" fillId="0" borderId="15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3" fontId="2" fillId="0" borderId="55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4" fillId="0" borderId="16" xfId="0" applyFont="1" applyFill="1" applyBorder="1" applyAlignment="1">
      <alignment horizontal="left"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3" fontId="2" fillId="0" borderId="55" xfId="0" applyNumberFormat="1" applyFont="1" applyFill="1" applyBorder="1" applyAlignment="1">
      <alignment horizontal="right"/>
    </xf>
    <xf numFmtId="3" fontId="2" fillId="0" borderId="58" xfId="0" applyNumberFormat="1" applyFont="1" applyFill="1" applyBorder="1" applyAlignment="1">
      <alignment horizontal="right"/>
    </xf>
    <xf numFmtId="0" fontId="4" fillId="0" borderId="32" xfId="0" applyFont="1" applyFill="1" applyBorder="1" applyAlignment="1">
      <alignment horizontal="left" vertical="center"/>
    </xf>
    <xf numFmtId="3" fontId="4" fillId="0" borderId="59" xfId="0" applyNumberFormat="1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0" fontId="4" fillId="0" borderId="6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indent="2"/>
    </xf>
    <xf numFmtId="0" fontId="4" fillId="0" borderId="6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/>
    </xf>
    <xf numFmtId="3" fontId="4" fillId="0" borderId="55" xfId="0" applyNumberFormat="1" applyFont="1" applyFill="1" applyBorder="1" applyAlignment="1">
      <alignment horizontal="right"/>
    </xf>
    <xf numFmtId="3" fontId="4" fillId="0" borderId="63" xfId="0" applyNumberFormat="1" applyFont="1" applyFill="1" applyBorder="1" applyAlignment="1">
      <alignment horizontal="right" vertical="center"/>
    </xf>
    <xf numFmtId="3" fontId="4" fillId="0" borderId="64" xfId="0" applyNumberFormat="1" applyFont="1" applyFill="1" applyBorder="1" applyAlignment="1">
      <alignment horizontal="right" vertical="center"/>
    </xf>
    <xf numFmtId="3" fontId="2" fillId="0" borderId="55" xfId="0" applyNumberFormat="1" applyFont="1" applyFill="1" applyBorder="1" applyAlignment="1">
      <alignment horizontal="right" vertical="center"/>
    </xf>
    <xf numFmtId="3" fontId="2" fillId="0" borderId="63" xfId="0" applyNumberFormat="1" applyFont="1" applyFill="1" applyBorder="1" applyAlignment="1">
      <alignment horizontal="right" vertical="center"/>
    </xf>
    <xf numFmtId="3" fontId="4" fillId="0" borderId="65" xfId="0" applyNumberFormat="1" applyFont="1" applyFill="1" applyBorder="1" applyAlignment="1">
      <alignment horizontal="right" vertical="center"/>
    </xf>
    <xf numFmtId="3" fontId="4" fillId="0" borderId="55" xfId="0" applyNumberFormat="1" applyFont="1" applyFill="1" applyBorder="1" applyAlignment="1">
      <alignment horizontal="right" vertical="center"/>
    </xf>
    <xf numFmtId="3" fontId="4" fillId="0" borderId="66" xfId="0" applyNumberFormat="1" applyFont="1" applyFill="1" applyBorder="1" applyAlignment="1">
      <alignment horizontal="right" vertical="center"/>
    </xf>
    <xf numFmtId="165" fontId="2" fillId="0" borderId="55" xfId="110" applyNumberFormat="1" applyFont="1" applyFill="1" applyBorder="1" applyAlignment="1">
      <alignment horizontal="right"/>
    </xf>
    <xf numFmtId="165" fontId="2" fillId="0" borderId="67" xfId="110" applyNumberFormat="1" applyFont="1" applyFill="1" applyBorder="1" applyAlignment="1">
      <alignment horizontal="right"/>
    </xf>
    <xf numFmtId="3" fontId="2" fillId="0" borderId="58" xfId="0" applyNumberFormat="1" applyFont="1" applyFill="1" applyBorder="1" applyAlignment="1">
      <alignment horizontal="right" vertical="center" textRotation="180"/>
    </xf>
    <xf numFmtId="3" fontId="4" fillId="0" borderId="68" xfId="0" applyNumberFormat="1" applyFont="1" applyFill="1" applyBorder="1" applyAlignment="1">
      <alignment horizontal="right" vertical="center"/>
    </xf>
    <xf numFmtId="3" fontId="2" fillId="0" borderId="58" xfId="0" applyNumberFormat="1" applyFont="1" applyFill="1" applyBorder="1" applyAlignment="1">
      <alignment horizontal="right" vertical="center"/>
    </xf>
    <xf numFmtId="3" fontId="2" fillId="0" borderId="59" xfId="0" applyNumberFormat="1" applyFont="1" applyFill="1" applyBorder="1" applyAlignment="1">
      <alignment horizontal="right" vertical="center"/>
    </xf>
    <xf numFmtId="3" fontId="2" fillId="0" borderId="69" xfId="0" applyNumberFormat="1" applyFont="1" applyFill="1" applyBorder="1" applyAlignment="1">
      <alignment horizontal="right" vertical="center"/>
    </xf>
    <xf numFmtId="165" fontId="2" fillId="0" borderId="58" xfId="110" applyNumberFormat="1" applyFont="1" applyFill="1" applyBorder="1" applyAlignment="1">
      <alignment horizontal="right"/>
    </xf>
    <xf numFmtId="165" fontId="2" fillId="0" borderId="70" xfId="110" applyNumberFormat="1" applyFont="1" applyFill="1" applyBorder="1" applyAlignment="1">
      <alignment horizontal="right"/>
    </xf>
    <xf numFmtId="3" fontId="9" fillId="0" borderId="24" xfId="93" applyNumberFormat="1" applyFont="1" applyFill="1" applyBorder="1" applyAlignment="1">
      <alignment horizontal="center" vertical="top"/>
      <protection/>
    </xf>
    <xf numFmtId="0" fontId="2" fillId="0" borderId="71" xfId="0" applyFont="1" applyFill="1" applyBorder="1" applyAlignment="1">
      <alignment horizontal="center" vertical="center"/>
    </xf>
    <xf numFmtId="164" fontId="4" fillId="0" borderId="72" xfId="0" applyNumberFormat="1" applyFont="1" applyFill="1" applyBorder="1" applyAlignment="1">
      <alignment vertical="center" wrapText="1"/>
    </xf>
    <xf numFmtId="4" fontId="4" fillId="0" borderId="72" xfId="0" applyNumberFormat="1" applyFont="1" applyFill="1" applyBorder="1" applyAlignment="1">
      <alignment vertical="center"/>
    </xf>
    <xf numFmtId="4" fontId="10" fillId="0" borderId="73" xfId="0" applyNumberFormat="1" applyFont="1" applyFill="1" applyBorder="1" applyAlignment="1">
      <alignment horizontal="center" vertical="center"/>
    </xf>
    <xf numFmtId="164" fontId="2" fillId="0" borderId="0" xfId="101" applyNumberFormat="1" applyFont="1" applyFill="1" applyBorder="1" applyAlignment="1">
      <alignment wrapText="1"/>
      <protection/>
    </xf>
    <xf numFmtId="0" fontId="2" fillId="0" borderId="74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 vertical="top" wrapText="1"/>
    </xf>
    <xf numFmtId="164" fontId="2" fillId="0" borderId="0" xfId="101" applyNumberFormat="1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vertical="top" wrapText="1"/>
    </xf>
    <xf numFmtId="3" fontId="12" fillId="0" borderId="75" xfId="93" applyNumberFormat="1" applyFont="1" applyFill="1" applyBorder="1" applyAlignment="1">
      <alignment horizontal="right"/>
      <protection/>
    </xf>
    <xf numFmtId="3" fontId="4" fillId="0" borderId="76" xfId="92" applyNumberFormat="1" applyFont="1" applyFill="1" applyBorder="1" applyAlignment="1">
      <alignment horizontal="right" wrapText="1"/>
      <protection/>
    </xf>
    <xf numFmtId="0" fontId="4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 wrapText="1" indent="1"/>
    </xf>
    <xf numFmtId="3" fontId="6" fillId="0" borderId="0" xfId="0" applyNumberFormat="1" applyFont="1" applyFill="1" applyBorder="1" applyAlignment="1">
      <alignment horizontal="center"/>
    </xf>
    <xf numFmtId="3" fontId="12" fillId="0" borderId="23" xfId="93" applyNumberFormat="1" applyFont="1" applyFill="1" applyBorder="1" applyAlignment="1">
      <alignment horizontal="center" vertical="center"/>
      <protection/>
    </xf>
    <xf numFmtId="3" fontId="12" fillId="0" borderId="28" xfId="93" applyNumberFormat="1" applyFont="1" applyFill="1" applyBorder="1" applyAlignment="1">
      <alignment wrapText="1"/>
      <protection/>
    </xf>
    <xf numFmtId="3" fontId="12" fillId="0" borderId="24" xfId="93" applyNumberFormat="1" applyFont="1" applyFill="1" applyBorder="1" applyAlignment="1">
      <alignment wrapText="1"/>
      <protection/>
    </xf>
    <xf numFmtId="3" fontId="12" fillId="0" borderId="23" xfId="93" applyNumberFormat="1" applyFont="1" applyFill="1" applyBorder="1" applyAlignment="1">
      <alignment horizontal="center"/>
      <protection/>
    </xf>
    <xf numFmtId="3" fontId="15" fillId="0" borderId="23" xfId="93" applyNumberFormat="1" applyFont="1" applyFill="1" applyBorder="1" applyAlignment="1">
      <alignment horizontal="center" vertical="center"/>
      <protection/>
    </xf>
    <xf numFmtId="3" fontId="12" fillId="0" borderId="24" xfId="93" applyNumberFormat="1" applyFont="1" applyFill="1" applyBorder="1" applyAlignment="1">
      <alignment horizontal="left" wrapText="1"/>
      <protection/>
    </xf>
    <xf numFmtId="1" fontId="17" fillId="0" borderId="0" xfId="93" applyNumberFormat="1" applyFont="1" applyFill="1" applyBorder="1" applyAlignment="1">
      <alignment horizontal="center" vertical="center"/>
      <protection/>
    </xf>
    <xf numFmtId="1" fontId="17" fillId="0" borderId="0" xfId="93" applyNumberFormat="1" applyFont="1" applyFill="1" applyBorder="1" applyAlignment="1">
      <alignment horizontal="left" vertical="center"/>
      <protection/>
    </xf>
    <xf numFmtId="3" fontId="9" fillId="0" borderId="77" xfId="93" applyNumberFormat="1" applyFont="1" applyFill="1" applyBorder="1" applyAlignment="1">
      <alignment horizontal="center"/>
      <protection/>
    </xf>
    <xf numFmtId="3" fontId="11" fillId="0" borderId="77" xfId="93" applyNumberFormat="1" applyFont="1" applyFill="1" applyBorder="1" applyAlignment="1">
      <alignment horizontal="center"/>
      <protection/>
    </xf>
    <xf numFmtId="3" fontId="9" fillId="0" borderId="78" xfId="93" applyNumberFormat="1" applyFont="1" applyFill="1" applyBorder="1" applyAlignment="1">
      <alignment horizontal="center"/>
      <protection/>
    </xf>
    <xf numFmtId="3" fontId="9" fillId="0" borderId="79" xfId="0" applyNumberFormat="1" applyFont="1" applyFill="1" applyBorder="1" applyAlignment="1">
      <alignment horizontal="center" wrapText="1"/>
    </xf>
    <xf numFmtId="3" fontId="9" fillId="0" borderId="77" xfId="0" applyNumberFormat="1" applyFont="1" applyFill="1" applyBorder="1" applyAlignment="1">
      <alignment horizontal="center" wrapText="1"/>
    </xf>
    <xf numFmtId="0" fontId="2" fillId="0" borderId="0" xfId="96" applyFont="1" applyFill="1" applyBorder="1" applyAlignment="1">
      <alignment horizontal="center" vertical="top"/>
      <protection/>
    </xf>
    <xf numFmtId="0" fontId="4" fillId="0" borderId="0" xfId="96" applyFont="1" applyFill="1" applyBorder="1" applyAlignment="1">
      <alignment vertical="top"/>
      <protection/>
    </xf>
    <xf numFmtId="0" fontId="2" fillId="0" borderId="0" xfId="96" applyFont="1" applyFill="1" applyBorder="1" applyAlignment="1">
      <alignment vertical="top"/>
      <protection/>
    </xf>
    <xf numFmtId="0" fontId="2" fillId="0" borderId="0" xfId="96" applyFont="1" applyFill="1" applyBorder="1" applyAlignment="1">
      <alignment/>
      <protection/>
    </xf>
    <xf numFmtId="0" fontId="2" fillId="0" borderId="0" xfId="96" applyFont="1" applyFill="1" applyBorder="1" applyAlignment="1">
      <alignment vertical="center"/>
      <protection/>
    </xf>
    <xf numFmtId="0" fontId="2" fillId="0" borderId="0" xfId="96" applyFont="1" applyFill="1" applyBorder="1" applyAlignment="1">
      <alignment horizontal="center" vertical="center"/>
      <protection/>
    </xf>
    <xf numFmtId="0" fontId="4" fillId="0" borderId="0" xfId="96" applyFont="1" applyFill="1" applyBorder="1" applyAlignment="1">
      <alignment horizontal="right" vertical="center"/>
      <protection/>
    </xf>
    <xf numFmtId="0" fontId="4" fillId="0" borderId="0" xfId="96" applyFont="1" applyFill="1" applyBorder="1" applyAlignment="1">
      <alignment vertical="center"/>
      <protection/>
    </xf>
    <xf numFmtId="3" fontId="4" fillId="0" borderId="80" xfId="92" applyNumberFormat="1" applyFont="1" applyFill="1" applyBorder="1" applyAlignment="1">
      <alignment horizontal="right" wrapText="1"/>
      <protection/>
    </xf>
    <xf numFmtId="3" fontId="2" fillId="0" borderId="0" xfId="96" applyNumberFormat="1" applyFont="1" applyFill="1" applyBorder="1" applyAlignment="1">
      <alignment horizontal="center"/>
      <protection/>
    </xf>
    <xf numFmtId="3" fontId="11" fillId="0" borderId="0" xfId="93" applyNumberFormat="1" applyFont="1" applyFill="1" applyAlignment="1">
      <alignment horizontal="center" vertical="center"/>
      <protection/>
    </xf>
    <xf numFmtId="3" fontId="9" fillId="0" borderId="0" xfId="93" applyNumberFormat="1" applyFont="1" applyFill="1" applyAlignment="1">
      <alignment horizontal="center" vertical="center"/>
      <protection/>
    </xf>
    <xf numFmtId="49" fontId="6" fillId="0" borderId="25" xfId="0" applyNumberFormat="1" applyFont="1" applyFill="1" applyBorder="1" applyAlignment="1">
      <alignment horizontal="center" wrapText="1"/>
    </xf>
    <xf numFmtId="0" fontId="2" fillId="0" borderId="23" xfId="102" applyFont="1" applyFill="1" applyBorder="1" applyAlignment="1">
      <alignment horizontal="center"/>
      <protection/>
    </xf>
    <xf numFmtId="3" fontId="11" fillId="0" borderId="30" xfId="93" applyNumberFormat="1" applyFont="1" applyFill="1" applyBorder="1" applyAlignment="1">
      <alignment horizontal="center" vertical="center"/>
      <protection/>
    </xf>
    <xf numFmtId="3" fontId="6" fillId="0" borderId="0" xfId="0" applyNumberFormat="1" applyFont="1" applyFill="1" applyBorder="1" applyAlignment="1">
      <alignment vertical="top"/>
    </xf>
    <xf numFmtId="0" fontId="2" fillId="0" borderId="0" xfId="96" applyFont="1" applyFill="1" applyBorder="1" applyAlignment="1">
      <alignment horizontal="center"/>
      <protection/>
    </xf>
    <xf numFmtId="3" fontId="2" fillId="0" borderId="0" xfId="76" applyNumberFormat="1" applyFont="1" applyFill="1" applyBorder="1" applyAlignment="1">
      <alignment horizontal="center" vertical="center"/>
      <protection/>
    </xf>
    <xf numFmtId="3" fontId="2" fillId="0" borderId="0" xfId="76" applyNumberFormat="1" applyFont="1" applyFill="1" applyBorder="1" applyAlignment="1">
      <alignment horizontal="right"/>
      <protection/>
    </xf>
    <xf numFmtId="0" fontId="2" fillId="0" borderId="0" xfId="76" applyFont="1" applyFill="1" applyBorder="1">
      <alignment/>
      <protection/>
    </xf>
    <xf numFmtId="3" fontId="2" fillId="0" borderId="81" xfId="95" applyNumberFormat="1" applyFont="1" applyBorder="1" applyAlignment="1">
      <alignment horizontal="center" vertical="center" wrapText="1"/>
      <protection/>
    </xf>
    <xf numFmtId="3" fontId="2" fillId="0" borderId="82" xfId="95" applyNumberFormat="1" applyFont="1" applyBorder="1" applyAlignment="1">
      <alignment horizontal="right" vertical="center" wrapText="1"/>
      <protection/>
    </xf>
    <xf numFmtId="164" fontId="2" fillId="0" borderId="83" xfId="101" applyNumberFormat="1" applyFont="1" applyFill="1" applyBorder="1" applyAlignment="1">
      <alignment wrapText="1"/>
      <protection/>
    </xf>
    <xf numFmtId="4" fontId="2" fillId="0" borderId="83" xfId="0" applyNumberFormat="1" applyFont="1" applyFill="1" applyBorder="1" applyAlignment="1">
      <alignment vertical="center"/>
    </xf>
    <xf numFmtId="4" fontId="6" fillId="0" borderId="84" xfId="0" applyNumberFormat="1" applyFont="1" applyFill="1" applyBorder="1" applyAlignment="1">
      <alignment horizontal="center" vertical="center"/>
    </xf>
    <xf numFmtId="3" fontId="2" fillId="0" borderId="0" xfId="92" applyNumberFormat="1" applyFont="1" applyFill="1" applyBorder="1" applyAlignment="1">
      <alignment horizontal="left" wrapText="1" indent="3"/>
      <protection/>
    </xf>
    <xf numFmtId="3" fontId="2" fillId="0" borderId="0" xfId="92" applyNumberFormat="1" applyFont="1" applyFill="1" applyBorder="1" applyAlignment="1">
      <alignment vertical="center"/>
      <protection/>
    </xf>
    <xf numFmtId="3" fontId="2" fillId="0" borderId="38" xfId="92" applyNumberFormat="1" applyFont="1" applyFill="1" applyBorder="1" applyAlignment="1">
      <alignment vertical="center"/>
      <protection/>
    </xf>
    <xf numFmtId="3" fontId="11" fillId="0" borderId="30" xfId="93" applyNumberFormat="1" applyFont="1" applyFill="1" applyBorder="1" applyAlignment="1">
      <alignment horizontal="center"/>
      <protection/>
    </xf>
    <xf numFmtId="3" fontId="5" fillId="0" borderId="0" xfId="93" applyNumberFormat="1" applyFont="1" applyFill="1" applyAlignment="1">
      <alignment horizontal="center"/>
      <protection/>
    </xf>
    <xf numFmtId="0" fontId="5" fillId="0" borderId="0" xfId="96" applyFont="1" applyFill="1" applyBorder="1" applyAlignment="1">
      <alignment horizontal="right" vertical="center" wrapText="1"/>
      <protection/>
    </xf>
    <xf numFmtId="3" fontId="9" fillId="0" borderId="0" xfId="76" applyNumberFormat="1" applyFont="1" applyFill="1" applyBorder="1" applyAlignment="1">
      <alignment horizontal="center" vertical="center"/>
      <protection/>
    </xf>
    <xf numFmtId="3" fontId="9" fillId="0" borderId="0" xfId="76" applyNumberFormat="1" applyFont="1" applyFill="1" applyBorder="1" applyAlignment="1">
      <alignment horizontal="right"/>
      <protection/>
    </xf>
    <xf numFmtId="3" fontId="9" fillId="0" borderId="0" xfId="102" applyNumberFormat="1" applyFont="1" applyFill="1" applyBorder="1" applyAlignment="1">
      <alignment horizontal="right"/>
      <protection/>
    </xf>
    <xf numFmtId="0" fontId="9" fillId="0" borderId="0" xfId="102" applyFont="1" applyFill="1" applyBorder="1">
      <alignment/>
      <protection/>
    </xf>
    <xf numFmtId="0" fontId="9" fillId="0" borderId="0" xfId="102" applyFont="1" applyFill="1" applyBorder="1" applyAlignment="1">
      <alignment horizontal="center" vertical="center"/>
      <protection/>
    </xf>
    <xf numFmtId="0" fontId="9" fillId="0" borderId="0" xfId="102" applyFont="1" applyFill="1" applyBorder="1" applyAlignment="1">
      <alignment horizontal="center" vertical="top"/>
      <protection/>
    </xf>
    <xf numFmtId="0" fontId="9" fillId="0" borderId="0" xfId="102" applyFont="1" applyFill="1" applyBorder="1" applyAlignment="1">
      <alignment wrapText="1"/>
      <protection/>
    </xf>
    <xf numFmtId="3" fontId="9" fillId="0" borderId="0" xfId="102" applyNumberFormat="1" applyFont="1" applyFill="1" applyBorder="1" applyAlignment="1">
      <alignment horizontal="center" vertical="center" wrapText="1"/>
      <protection/>
    </xf>
    <xf numFmtId="3" fontId="11" fillId="0" borderId="0" xfId="102" applyNumberFormat="1" applyFont="1" applyFill="1" applyBorder="1" applyAlignment="1">
      <alignment horizontal="right"/>
      <protection/>
    </xf>
    <xf numFmtId="3" fontId="9" fillId="0" borderId="28" xfId="102" applyNumberFormat="1" applyFont="1" applyFill="1" applyBorder="1" applyAlignment="1">
      <alignment horizontal="right" vertical="center"/>
      <protection/>
    </xf>
    <xf numFmtId="3" fontId="9" fillId="0" borderId="29" xfId="102" applyNumberFormat="1" applyFont="1" applyFill="1" applyBorder="1" applyAlignment="1">
      <alignment horizontal="right" vertical="center"/>
      <protection/>
    </xf>
    <xf numFmtId="3" fontId="9" fillId="0" borderId="0" xfId="76" applyNumberFormat="1" applyFont="1" applyFill="1" applyBorder="1" applyAlignment="1">
      <alignment horizontal="left" vertical="top"/>
      <protection/>
    </xf>
    <xf numFmtId="3" fontId="9" fillId="0" borderId="0" xfId="103" applyNumberFormat="1" applyFont="1" applyFill="1" applyBorder="1" applyAlignment="1">
      <alignment horizontal="right"/>
      <protection/>
    </xf>
    <xf numFmtId="3" fontId="9" fillId="0" borderId="0" xfId="103" applyNumberFormat="1" applyFont="1" applyFill="1" applyBorder="1" applyAlignment="1">
      <alignment horizontal="right" wrapText="1"/>
      <protection/>
    </xf>
    <xf numFmtId="3" fontId="9" fillId="0" borderId="0" xfId="102" applyNumberFormat="1" applyFont="1" applyFill="1" applyBorder="1" applyAlignment="1">
      <alignment horizontal="right" vertical="center"/>
      <protection/>
    </xf>
    <xf numFmtId="0" fontId="6" fillId="0" borderId="0" xfId="76" applyFont="1" applyFill="1" applyBorder="1" applyAlignment="1">
      <alignment horizontal="center" vertical="center"/>
      <protection/>
    </xf>
    <xf numFmtId="0" fontId="6" fillId="0" borderId="0" xfId="102" applyFont="1" applyFill="1" applyBorder="1" applyAlignment="1">
      <alignment horizontal="center" vertical="center"/>
      <protection/>
    </xf>
    <xf numFmtId="3" fontId="6" fillId="0" borderId="0" xfId="102" applyNumberFormat="1" applyFont="1" applyFill="1" applyBorder="1" applyAlignment="1">
      <alignment horizontal="center" vertical="center"/>
      <protection/>
    </xf>
    <xf numFmtId="0" fontId="9" fillId="0" borderId="0" xfId="102" applyFont="1" applyFill="1" applyBorder="1" applyAlignment="1">
      <alignment vertical="center"/>
      <protection/>
    </xf>
    <xf numFmtId="3" fontId="9" fillId="0" borderId="28" xfId="94" applyNumberFormat="1" applyFont="1" applyFill="1" applyBorder="1" applyAlignment="1">
      <alignment horizontal="right" vertical="center"/>
      <protection/>
    </xf>
    <xf numFmtId="3" fontId="9" fillId="0" borderId="85" xfId="102" applyNumberFormat="1" applyFont="1" applyFill="1" applyBorder="1" applyAlignment="1">
      <alignment horizontal="right" vertical="center"/>
      <protection/>
    </xf>
    <xf numFmtId="0" fontId="9" fillId="0" borderId="23" xfId="102" applyFont="1" applyFill="1" applyBorder="1" applyAlignment="1">
      <alignment horizontal="center" vertical="center"/>
      <protection/>
    </xf>
    <xf numFmtId="0" fontId="9" fillId="0" borderId="24" xfId="102" applyFont="1" applyFill="1" applyBorder="1" applyAlignment="1">
      <alignment horizontal="center"/>
      <protection/>
    </xf>
    <xf numFmtId="3" fontId="9" fillId="0" borderId="24" xfId="102" applyNumberFormat="1" applyFont="1" applyFill="1" applyBorder="1" applyAlignment="1">
      <alignment horizontal="right" vertical="center"/>
      <protection/>
    </xf>
    <xf numFmtId="3" fontId="9" fillId="0" borderId="24" xfId="94" applyNumberFormat="1" applyFont="1" applyFill="1" applyBorder="1" applyAlignment="1">
      <alignment horizontal="right" vertical="center"/>
      <protection/>
    </xf>
    <xf numFmtId="3" fontId="9" fillId="0" borderId="27" xfId="102" applyNumberFormat="1" applyFont="1" applyFill="1" applyBorder="1" applyAlignment="1">
      <alignment horizontal="right" vertical="center"/>
      <protection/>
    </xf>
    <xf numFmtId="3" fontId="9" fillId="0" borderId="86" xfId="102" applyNumberFormat="1" applyFont="1" applyFill="1" applyBorder="1" applyAlignment="1">
      <alignment horizontal="right" vertical="center"/>
      <protection/>
    </xf>
    <xf numFmtId="0" fontId="9" fillId="0" borderId="24" xfId="102" applyFont="1" applyFill="1" applyBorder="1" applyAlignment="1">
      <alignment horizontal="center" vertical="top"/>
      <protection/>
    </xf>
    <xf numFmtId="0" fontId="6" fillId="0" borderId="0" xfId="103" applyFont="1" applyFill="1" applyBorder="1" applyAlignment="1">
      <alignment horizontal="center" vertical="center" wrapText="1"/>
      <protection/>
    </xf>
    <xf numFmtId="3" fontId="6" fillId="0" borderId="0" xfId="103" applyNumberFormat="1" applyFont="1" applyFill="1" applyBorder="1" applyAlignment="1">
      <alignment horizontal="center" vertical="center"/>
      <protection/>
    </xf>
    <xf numFmtId="3" fontId="9" fillId="0" borderId="87" xfId="102" applyNumberFormat="1" applyFont="1" applyFill="1" applyBorder="1" applyAlignment="1">
      <alignment horizontal="center" vertical="center" wrapText="1"/>
      <protection/>
    </xf>
    <xf numFmtId="3" fontId="9" fillId="0" borderId="88" xfId="94" applyNumberFormat="1" applyFont="1" applyFill="1" applyBorder="1" applyAlignment="1">
      <alignment horizontal="right" vertical="center" wrapText="1"/>
      <protection/>
    </xf>
    <xf numFmtId="3" fontId="9" fillId="0" borderId="89" xfId="94" applyNumberFormat="1" applyFont="1" applyFill="1" applyBorder="1" applyAlignment="1">
      <alignment horizontal="right" vertical="center" wrapText="1"/>
      <protection/>
    </xf>
    <xf numFmtId="3" fontId="9" fillId="0" borderId="24" xfId="94" applyNumberFormat="1" applyFont="1" applyFill="1" applyBorder="1" applyAlignment="1">
      <alignment horizontal="right" vertical="center" wrapText="1"/>
      <protection/>
    </xf>
    <xf numFmtId="3" fontId="9" fillId="0" borderId="90" xfId="94" applyNumberFormat="1" applyFont="1" applyFill="1" applyBorder="1" applyAlignment="1">
      <alignment horizontal="right" vertical="center" wrapText="1"/>
      <protection/>
    </xf>
    <xf numFmtId="3" fontId="9" fillId="0" borderId="90" xfId="102" applyNumberFormat="1" applyFont="1" applyFill="1" applyBorder="1" applyAlignment="1">
      <alignment horizontal="right" vertical="center"/>
      <protection/>
    </xf>
    <xf numFmtId="0" fontId="9" fillId="0" borderId="0" xfId="102" applyFont="1" applyFill="1" applyBorder="1" applyAlignment="1">
      <alignment horizontal="center"/>
      <protection/>
    </xf>
    <xf numFmtId="3" fontId="2" fillId="0" borderId="0" xfId="76" applyNumberFormat="1" applyFont="1" applyFill="1" applyBorder="1" applyAlignment="1">
      <alignment horizontal="center"/>
      <protection/>
    </xf>
    <xf numFmtId="0" fontId="2" fillId="0" borderId="0" xfId="76" applyFont="1" applyFill="1" applyBorder="1" applyAlignment="1">
      <alignment/>
      <protection/>
    </xf>
    <xf numFmtId="3" fontId="2" fillId="0" borderId="0" xfId="102" applyNumberFormat="1" applyFont="1" applyFill="1" applyBorder="1" applyAlignment="1">
      <alignment horizontal="center" wrapText="1"/>
      <protection/>
    </xf>
    <xf numFmtId="3" fontId="2" fillId="0" borderId="87" xfId="102" applyNumberFormat="1" applyFont="1" applyFill="1" applyBorder="1" applyAlignment="1">
      <alignment horizontal="center" vertical="center" wrapText="1"/>
      <protection/>
    </xf>
    <xf numFmtId="3" fontId="2" fillId="0" borderId="14" xfId="102" applyNumberFormat="1" applyFont="1" applyFill="1" applyBorder="1" applyAlignment="1">
      <alignment horizontal="center" vertical="center" wrapText="1"/>
      <protection/>
    </xf>
    <xf numFmtId="0" fontId="4" fillId="0" borderId="30" xfId="102" applyFont="1" applyFill="1" applyBorder="1" applyAlignment="1">
      <alignment horizontal="center"/>
      <protection/>
    </xf>
    <xf numFmtId="3" fontId="4" fillId="0" borderId="91" xfId="94" applyNumberFormat="1" applyFont="1" applyFill="1" applyBorder="1" applyAlignment="1">
      <alignment horizontal="right" wrapText="1"/>
      <protection/>
    </xf>
    <xf numFmtId="0" fontId="4" fillId="0" borderId="0" xfId="102" applyFont="1" applyFill="1" applyBorder="1" applyAlignment="1">
      <alignment/>
      <protection/>
    </xf>
    <xf numFmtId="3" fontId="2" fillId="0" borderId="24" xfId="94" applyNumberFormat="1" applyFont="1" applyFill="1" applyBorder="1" applyAlignment="1">
      <alignment horizontal="right" wrapText="1"/>
      <protection/>
    </xf>
    <xf numFmtId="3" fontId="2" fillId="0" borderId="85" xfId="102" applyNumberFormat="1" applyFont="1" applyFill="1" applyBorder="1" applyAlignment="1">
      <alignment horizontal="right"/>
      <protection/>
    </xf>
    <xf numFmtId="0" fontId="2" fillId="0" borderId="24" xfId="94" applyFont="1" applyFill="1" applyBorder="1" applyAlignment="1">
      <alignment horizontal="left"/>
      <protection/>
    </xf>
    <xf numFmtId="3" fontId="2" fillId="0" borderId="24" xfId="94" applyNumberFormat="1" applyFont="1" applyFill="1" applyBorder="1" applyAlignment="1">
      <alignment horizontal="right"/>
      <protection/>
    </xf>
    <xf numFmtId="3" fontId="2" fillId="0" borderId="86" xfId="102" applyNumberFormat="1" applyFont="1" applyFill="1" applyBorder="1" applyAlignment="1">
      <alignment horizontal="right"/>
      <protection/>
    </xf>
    <xf numFmtId="3" fontId="2" fillId="0" borderId="0" xfId="76" applyNumberFormat="1" applyFont="1" applyFill="1" applyBorder="1" applyAlignment="1">
      <alignment horizontal="left"/>
      <protection/>
    </xf>
    <xf numFmtId="3" fontId="79" fillId="0" borderId="0" xfId="76" applyNumberFormat="1" applyFont="1" applyFill="1" applyBorder="1" applyAlignment="1">
      <alignment horizontal="left"/>
      <protection/>
    </xf>
    <xf numFmtId="0" fontId="4" fillId="0" borderId="23" xfId="102" applyFont="1" applyFill="1" applyBorder="1" applyAlignment="1">
      <alignment horizontal="center"/>
      <protection/>
    </xf>
    <xf numFmtId="3" fontId="4" fillId="0" borderId="90" xfId="94" applyNumberFormat="1" applyFont="1" applyFill="1" applyBorder="1" applyAlignment="1">
      <alignment horizontal="right" wrapText="1"/>
      <protection/>
    </xf>
    <xf numFmtId="0" fontId="22" fillId="0" borderId="28" xfId="102" applyFont="1" applyFill="1" applyBorder="1" applyAlignment="1">
      <alignment horizontal="left"/>
      <protection/>
    </xf>
    <xf numFmtId="0" fontId="2" fillId="0" borderId="24" xfId="94" applyFont="1" applyFill="1" applyBorder="1" applyAlignment="1">
      <alignment/>
      <protection/>
    </xf>
    <xf numFmtId="0" fontId="2" fillId="0" borderId="92" xfId="94" applyFont="1" applyFill="1" applyBorder="1" applyAlignment="1">
      <alignment/>
      <protection/>
    </xf>
    <xf numFmtId="3" fontId="4" fillId="0" borderId="90" xfId="102" applyNumberFormat="1" applyFont="1" applyFill="1" applyBorder="1" applyAlignment="1">
      <alignment horizontal="right"/>
      <protection/>
    </xf>
    <xf numFmtId="3" fontId="9" fillId="0" borderId="0" xfId="102" applyNumberFormat="1" applyFont="1" applyFill="1" applyBorder="1" applyAlignment="1">
      <alignment horizontal="center" vertical="center"/>
      <protection/>
    </xf>
    <xf numFmtId="3" fontId="4" fillId="0" borderId="0" xfId="102" applyNumberFormat="1" applyFont="1" applyFill="1" applyBorder="1" applyAlignment="1">
      <alignment horizontal="right"/>
      <protection/>
    </xf>
    <xf numFmtId="3" fontId="4" fillId="0" borderId="0" xfId="103" applyNumberFormat="1" applyFont="1" applyFill="1" applyBorder="1" applyAlignment="1">
      <alignment horizontal="right"/>
      <protection/>
    </xf>
    <xf numFmtId="3" fontId="2" fillId="0" borderId="93" xfId="94" applyNumberFormat="1" applyFont="1" applyFill="1" applyBorder="1" applyAlignment="1">
      <alignment horizontal="right" wrapText="1"/>
      <protection/>
    </xf>
    <xf numFmtId="3" fontId="2" fillId="0" borderId="94" xfId="94" applyNumberFormat="1" applyFont="1" applyFill="1" applyBorder="1" applyAlignment="1">
      <alignment horizontal="right" vertical="center" wrapText="1"/>
      <protection/>
    </xf>
    <xf numFmtId="3" fontId="2" fillId="0" borderId="0" xfId="92" applyNumberFormat="1" applyFont="1" applyFill="1" applyBorder="1" applyAlignment="1">
      <alignment wrapText="1"/>
      <protection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6" fillId="0" borderId="15" xfId="0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3" fontId="9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6" fillId="0" borderId="0" xfId="92" applyNumberFormat="1" applyFont="1" applyFill="1" applyAlignment="1">
      <alignment horizontal="center" vertical="center"/>
      <protection/>
    </xf>
    <xf numFmtId="3" fontId="6" fillId="0" borderId="0" xfId="92" applyNumberFormat="1" applyFont="1" applyFill="1" applyAlignment="1">
      <alignment horizontal="center"/>
      <protection/>
    </xf>
    <xf numFmtId="3" fontId="10" fillId="0" borderId="0" xfId="92" applyNumberFormat="1" applyFont="1" applyFill="1" applyAlignment="1">
      <alignment horizontal="center" vertical="center"/>
      <protection/>
    </xf>
    <xf numFmtId="3" fontId="9" fillId="0" borderId="0" xfId="93" applyNumberFormat="1" applyFont="1" applyFill="1" applyAlignment="1">
      <alignment horizontal="right"/>
      <protection/>
    </xf>
    <xf numFmtId="3" fontId="2" fillId="0" borderId="0" xfId="102" applyNumberFormat="1" applyFont="1" applyFill="1" applyBorder="1" applyAlignment="1">
      <alignment horizontal="right"/>
      <protection/>
    </xf>
    <xf numFmtId="0" fontId="2" fillId="0" borderId="0" xfId="102" applyFont="1" applyFill="1" applyBorder="1" applyAlignment="1">
      <alignment horizontal="center"/>
      <protection/>
    </xf>
    <xf numFmtId="3" fontId="9" fillId="0" borderId="28" xfId="93" applyNumberFormat="1" applyFont="1" applyFill="1" applyBorder="1" applyAlignment="1">
      <alignment horizontal="center"/>
      <protection/>
    </xf>
    <xf numFmtId="3" fontId="9" fillId="0" borderId="70" xfId="0" applyNumberFormat="1" applyFont="1" applyFill="1" applyBorder="1" applyAlignment="1">
      <alignment horizontal="center" vertical="center" wrapText="1"/>
    </xf>
    <xf numFmtId="1" fontId="9" fillId="0" borderId="0" xfId="93" applyNumberFormat="1" applyFont="1" applyFill="1" applyBorder="1" applyAlignment="1">
      <alignment horizontal="center" vertical="center"/>
      <protection/>
    </xf>
    <xf numFmtId="1" fontId="2" fillId="0" borderId="0" xfId="93" applyNumberFormat="1" applyFont="1" applyFill="1" applyBorder="1" applyAlignment="1">
      <alignment horizontal="center" vertical="center"/>
      <protection/>
    </xf>
    <xf numFmtId="3" fontId="9" fillId="0" borderId="0" xfId="93" applyNumberFormat="1" applyFont="1" applyFill="1" applyAlignment="1">
      <alignment horizontal="center"/>
      <protection/>
    </xf>
    <xf numFmtId="3" fontId="9" fillId="0" borderId="0" xfId="93" applyNumberFormat="1" applyFont="1" applyFill="1" applyAlignment="1">
      <alignment horizontal="center" vertical="top"/>
      <protection/>
    </xf>
    <xf numFmtId="0" fontId="12" fillId="0" borderId="0" xfId="93" applyFont="1" applyFill="1" applyBorder="1" applyAlignment="1">
      <alignment vertical="top" wrapText="1"/>
      <protection/>
    </xf>
    <xf numFmtId="3" fontId="9" fillId="0" borderId="0" xfId="93" applyNumberFormat="1" applyFont="1" applyFill="1" applyAlignment="1">
      <alignment/>
      <protection/>
    </xf>
    <xf numFmtId="0" fontId="9" fillId="0" borderId="0" xfId="93" applyFont="1" applyFill="1" applyBorder="1" applyAlignment="1">
      <alignment horizontal="center"/>
      <protection/>
    </xf>
    <xf numFmtId="3" fontId="12" fillId="0" borderId="0" xfId="93" applyNumberFormat="1" applyFont="1" applyFill="1" applyAlignment="1">
      <alignment/>
      <protection/>
    </xf>
    <xf numFmtId="1" fontId="6" fillId="0" borderId="0" xfId="93" applyNumberFormat="1" applyFont="1" applyFill="1" applyBorder="1" applyAlignment="1">
      <alignment horizontal="center" vertical="center"/>
      <protection/>
    </xf>
    <xf numFmtId="3" fontId="6" fillId="0" borderId="0" xfId="93" applyNumberFormat="1" applyFont="1" applyFill="1" applyBorder="1" applyAlignment="1">
      <alignment horizontal="center" vertical="center"/>
      <protection/>
    </xf>
    <xf numFmtId="3" fontId="6" fillId="0" borderId="0" xfId="93" applyNumberFormat="1" applyFont="1" applyFill="1" applyBorder="1" applyAlignment="1">
      <alignment horizontal="center" vertical="center" wrapText="1"/>
      <protection/>
    </xf>
    <xf numFmtId="3" fontId="6" fillId="0" borderId="0" xfId="93" applyNumberFormat="1" applyFont="1" applyFill="1" applyBorder="1" applyAlignment="1">
      <alignment horizontal="center"/>
      <protection/>
    </xf>
    <xf numFmtId="3" fontId="9" fillId="0" borderId="95" xfId="93" applyNumberFormat="1" applyFont="1" applyFill="1" applyBorder="1" applyAlignment="1">
      <alignment horizontal="center"/>
      <protection/>
    </xf>
    <xf numFmtId="3" fontId="21" fillId="0" borderId="88" xfId="93" applyNumberFormat="1" applyFont="1" applyFill="1" applyBorder="1" applyAlignment="1">
      <alignment horizontal="left"/>
      <protection/>
    </xf>
    <xf numFmtId="0" fontId="12" fillId="0" borderId="88" xfId="93" applyFont="1" applyFill="1" applyBorder="1" applyAlignment="1">
      <alignment horizontal="center" vertical="center" wrapText="1"/>
      <protection/>
    </xf>
    <xf numFmtId="3" fontId="9" fillId="0" borderId="88" xfId="93" applyNumberFormat="1" applyFont="1" applyFill="1" applyBorder="1" applyAlignment="1">
      <alignment horizontal="center" vertical="center" wrapText="1"/>
      <protection/>
    </xf>
    <xf numFmtId="3" fontId="12" fillId="0" borderId="88" xfId="93" applyNumberFormat="1" applyFont="1" applyFill="1" applyBorder="1" applyAlignment="1">
      <alignment horizontal="center" vertical="center" wrapText="1"/>
      <protection/>
    </xf>
    <xf numFmtId="3" fontId="9" fillId="0" borderId="88" xfId="0" applyNumberFormat="1" applyFont="1" applyFill="1" applyBorder="1" applyAlignment="1">
      <alignment horizontal="center" vertical="center" wrapText="1"/>
    </xf>
    <xf numFmtId="3" fontId="9" fillId="0" borderId="96" xfId="0" applyNumberFormat="1" applyFont="1" applyFill="1" applyBorder="1" applyAlignment="1">
      <alignment horizontal="center" vertical="center" wrapText="1"/>
    </xf>
    <xf numFmtId="0" fontId="9" fillId="0" borderId="97" xfId="0" applyFont="1" applyFill="1" applyBorder="1" applyAlignment="1">
      <alignment horizontal="center" vertical="center" textRotation="90" wrapText="1"/>
    </xf>
    <xf numFmtId="3" fontId="9" fillId="0" borderId="89" xfId="93" applyNumberFormat="1" applyFont="1" applyFill="1" applyBorder="1" applyAlignment="1">
      <alignment horizontal="center" vertical="center" wrapText="1"/>
      <protection/>
    </xf>
    <xf numFmtId="0" fontId="9" fillId="0" borderId="30" xfId="102" applyFont="1" applyFill="1" applyBorder="1" applyAlignment="1">
      <alignment horizontal="center"/>
      <protection/>
    </xf>
    <xf numFmtId="3" fontId="9" fillId="0" borderId="15" xfId="102" applyNumberFormat="1" applyFont="1" applyFill="1" applyBorder="1" applyAlignment="1">
      <alignment horizontal="center" vertical="center" wrapText="1"/>
      <protection/>
    </xf>
    <xf numFmtId="3" fontId="9" fillId="0" borderId="97" xfId="94" applyNumberFormat="1" applyFont="1" applyFill="1" applyBorder="1" applyAlignment="1">
      <alignment horizontal="right" vertical="center" wrapText="1"/>
      <protection/>
    </xf>
    <xf numFmtId="3" fontId="9" fillId="0" borderId="98" xfId="94" applyNumberFormat="1" applyFont="1" applyFill="1" applyBorder="1" applyAlignment="1">
      <alignment horizontal="right" vertical="center" wrapText="1"/>
      <protection/>
    </xf>
    <xf numFmtId="3" fontId="9" fillId="0" borderId="98" xfId="102" applyNumberFormat="1" applyFont="1" applyFill="1" applyBorder="1" applyAlignment="1">
      <alignment horizontal="right" vertical="center"/>
      <protection/>
    </xf>
    <xf numFmtId="3" fontId="12" fillId="0" borderId="99" xfId="94" applyNumberFormat="1" applyFont="1" applyFill="1" applyBorder="1" applyAlignment="1">
      <alignment horizontal="right" vertical="center" wrapText="1"/>
      <protection/>
    </xf>
    <xf numFmtId="3" fontId="12" fillId="0" borderId="100" xfId="94" applyNumberFormat="1" applyFont="1" applyFill="1" applyBorder="1" applyAlignment="1">
      <alignment horizontal="right" vertical="center" wrapText="1"/>
      <protection/>
    </xf>
    <xf numFmtId="3" fontId="12" fillId="0" borderId="37" xfId="94" applyNumberFormat="1" applyFont="1" applyFill="1" applyBorder="1" applyAlignment="1">
      <alignment horizontal="right" vertical="center" wrapText="1"/>
      <protection/>
    </xf>
    <xf numFmtId="3" fontId="12" fillId="0" borderId="94" xfId="94" applyNumberFormat="1" applyFont="1" applyFill="1" applyBorder="1" applyAlignment="1">
      <alignment horizontal="right" vertical="center" wrapText="1"/>
      <protection/>
    </xf>
    <xf numFmtId="0" fontId="9" fillId="0" borderId="0" xfId="102" applyFont="1" applyFill="1" applyBorder="1" applyAlignment="1">
      <alignment/>
      <protection/>
    </xf>
    <xf numFmtId="3" fontId="9" fillId="0" borderId="0" xfId="102" applyNumberFormat="1" applyFont="1" applyFill="1" applyBorder="1" applyAlignment="1">
      <alignment horizontal="center" wrapText="1"/>
      <protection/>
    </xf>
    <xf numFmtId="3" fontId="12" fillId="0" borderId="0" xfId="102" applyNumberFormat="1" applyFont="1" applyFill="1" applyBorder="1" applyAlignment="1">
      <alignment horizontal="right"/>
      <protection/>
    </xf>
    <xf numFmtId="0" fontId="6" fillId="0" borderId="0" xfId="102" applyFont="1" applyFill="1" applyBorder="1" applyAlignment="1">
      <alignment horizontal="center"/>
      <protection/>
    </xf>
    <xf numFmtId="0" fontId="6" fillId="0" borderId="0" xfId="103" applyFont="1" applyFill="1" applyBorder="1" applyAlignment="1">
      <alignment horizontal="center" wrapText="1"/>
      <protection/>
    </xf>
    <xf numFmtId="3" fontId="6" fillId="0" borderId="0" xfId="103" applyNumberFormat="1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0" fontId="9" fillId="0" borderId="78" xfId="102" applyFont="1" applyFill="1" applyBorder="1" applyAlignment="1">
      <alignment horizontal="center" vertical="center" wrapText="1"/>
      <protection/>
    </xf>
    <xf numFmtId="0" fontId="9" fillId="0" borderId="77" xfId="102" applyFont="1" applyFill="1" applyBorder="1" applyAlignment="1">
      <alignment horizontal="center" vertical="center" wrapText="1"/>
      <protection/>
    </xf>
    <xf numFmtId="0" fontId="2" fillId="0" borderId="92" xfId="94" applyFont="1" applyFill="1" applyBorder="1" applyAlignment="1">
      <alignment vertical="top" wrapText="1"/>
      <protection/>
    </xf>
    <xf numFmtId="3" fontId="2" fillId="0" borderId="101" xfId="95" applyNumberFormat="1" applyFont="1" applyFill="1" applyBorder="1" applyAlignment="1">
      <alignment horizontal="left"/>
      <protection/>
    </xf>
    <xf numFmtId="3" fontId="80" fillId="0" borderId="90" xfId="94" applyNumberFormat="1" applyFont="1" applyFill="1" applyBorder="1" applyAlignment="1">
      <alignment horizontal="right" wrapText="1"/>
      <protection/>
    </xf>
    <xf numFmtId="0" fontId="80" fillId="0" borderId="23" xfId="102" applyFont="1" applyFill="1" applyBorder="1" applyAlignment="1">
      <alignment horizontal="center"/>
      <protection/>
    </xf>
    <xf numFmtId="0" fontId="80" fillId="0" borderId="24" xfId="102" applyFont="1" applyFill="1" applyBorder="1" applyAlignment="1">
      <alignment horizontal="center"/>
      <protection/>
    </xf>
    <xf numFmtId="0" fontId="80" fillId="0" borderId="24" xfId="94" applyFont="1" applyFill="1" applyBorder="1" applyAlignment="1">
      <alignment horizontal="left"/>
      <protection/>
    </xf>
    <xf numFmtId="3" fontId="80" fillId="0" borderId="24" xfId="102" applyNumberFormat="1" applyFont="1" applyFill="1" applyBorder="1" applyAlignment="1">
      <alignment horizontal="right"/>
      <protection/>
    </xf>
    <xf numFmtId="3" fontId="80" fillId="0" borderId="24" xfId="94" applyNumberFormat="1" applyFont="1" applyFill="1" applyBorder="1" applyAlignment="1">
      <alignment horizontal="right"/>
      <protection/>
    </xf>
    <xf numFmtId="3" fontId="80" fillId="0" borderId="27" xfId="102" applyNumberFormat="1" applyFont="1" applyFill="1" applyBorder="1" applyAlignment="1">
      <alignment horizontal="right"/>
      <protection/>
    </xf>
    <xf numFmtId="3" fontId="80" fillId="0" borderId="24" xfId="94" applyNumberFormat="1" applyFont="1" applyFill="1" applyBorder="1" applyAlignment="1">
      <alignment horizontal="right" wrapText="1"/>
      <protection/>
    </xf>
    <xf numFmtId="3" fontId="80" fillId="0" borderId="86" xfId="102" applyNumberFormat="1" applyFont="1" applyFill="1" applyBorder="1" applyAlignment="1">
      <alignment horizontal="right"/>
      <protection/>
    </xf>
    <xf numFmtId="0" fontId="80" fillId="0" borderId="0" xfId="102" applyFont="1" applyFill="1" applyBorder="1" applyAlignment="1">
      <alignment/>
      <protection/>
    </xf>
    <xf numFmtId="0" fontId="80" fillId="0" borderId="92" xfId="94" applyFont="1" applyFill="1" applyBorder="1" applyAlignment="1">
      <alignment/>
      <protection/>
    </xf>
    <xf numFmtId="3" fontId="2" fillId="0" borderId="26" xfId="102" applyNumberFormat="1" applyFont="1" applyFill="1" applyBorder="1" applyAlignment="1">
      <alignment horizontal="center" vertical="center" wrapText="1"/>
      <protection/>
    </xf>
    <xf numFmtId="3" fontId="2" fillId="0" borderId="102" xfId="94" applyNumberFormat="1" applyFont="1" applyFill="1" applyBorder="1" applyAlignment="1">
      <alignment horizontal="right" wrapText="1"/>
      <protection/>
    </xf>
    <xf numFmtId="3" fontId="2" fillId="0" borderId="98" xfId="94" applyNumberFormat="1" applyFont="1" applyFill="1" applyBorder="1" applyAlignment="1">
      <alignment horizontal="right" wrapText="1"/>
      <protection/>
    </xf>
    <xf numFmtId="3" fontId="80" fillId="0" borderId="98" xfId="94" applyNumberFormat="1" applyFont="1" applyFill="1" applyBorder="1" applyAlignment="1">
      <alignment horizontal="right" wrapText="1"/>
      <protection/>
    </xf>
    <xf numFmtId="0" fontId="2" fillId="0" borderId="78" xfId="102" applyFont="1" applyFill="1" applyBorder="1" applyAlignment="1">
      <alignment horizontal="center" wrapText="1"/>
      <protection/>
    </xf>
    <xf numFmtId="0" fontId="2" fillId="0" borderId="77" xfId="102" applyFont="1" applyFill="1" applyBorder="1" applyAlignment="1">
      <alignment horizontal="center" wrapText="1"/>
      <protection/>
    </xf>
    <xf numFmtId="0" fontId="80" fillId="0" borderId="77" xfId="102" applyFont="1" applyFill="1" applyBorder="1" applyAlignment="1">
      <alignment horizont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3" fontId="9" fillId="0" borderId="0" xfId="95" applyNumberFormat="1" applyFont="1">
      <alignment/>
      <protection/>
    </xf>
    <xf numFmtId="3" fontId="9" fillId="0" borderId="0" xfId="95" applyNumberFormat="1" applyFont="1" applyAlignment="1">
      <alignment horizontal="center"/>
      <protection/>
    </xf>
    <xf numFmtId="3" fontId="9" fillId="0" borderId="0" xfId="95" applyNumberFormat="1" applyFont="1" applyAlignment="1">
      <alignment horizontal="left" wrapText="1"/>
      <protection/>
    </xf>
    <xf numFmtId="14" fontId="9" fillId="0" borderId="0" xfId="95" applyNumberFormat="1" applyFont="1" applyAlignment="1">
      <alignment horizontal="center"/>
      <protection/>
    </xf>
    <xf numFmtId="3" fontId="81" fillId="0" borderId="24" xfId="102" applyNumberFormat="1" applyFont="1" applyFill="1" applyBorder="1" applyAlignment="1">
      <alignment horizontal="right"/>
      <protection/>
    </xf>
    <xf numFmtId="3" fontId="81" fillId="0" borderId="24" xfId="94" applyNumberFormat="1" applyFont="1" applyFill="1" applyBorder="1" applyAlignment="1">
      <alignment horizontal="right" wrapText="1"/>
      <protection/>
    </xf>
    <xf numFmtId="3" fontId="81" fillId="0" borderId="102" xfId="94" applyNumberFormat="1" applyFont="1" applyFill="1" applyBorder="1" applyAlignment="1">
      <alignment horizontal="right" wrapText="1"/>
      <protection/>
    </xf>
    <xf numFmtId="3" fontId="81" fillId="0" borderId="93" xfId="94" applyNumberFormat="1" applyFont="1" applyFill="1" applyBorder="1" applyAlignment="1">
      <alignment horizontal="right" wrapText="1"/>
      <protection/>
    </xf>
    <xf numFmtId="3" fontId="80" fillId="0" borderId="91" xfId="94" applyNumberFormat="1" applyFont="1" applyFill="1" applyBorder="1" applyAlignment="1">
      <alignment horizontal="right" wrapText="1"/>
      <protection/>
    </xf>
    <xf numFmtId="3" fontId="81" fillId="0" borderId="98" xfId="94" applyNumberFormat="1" applyFont="1" applyFill="1" applyBorder="1" applyAlignment="1">
      <alignment horizontal="right" wrapText="1"/>
      <protection/>
    </xf>
    <xf numFmtId="3" fontId="81" fillId="0" borderId="98" xfId="102" applyNumberFormat="1" applyFont="1" applyFill="1" applyBorder="1" applyAlignment="1">
      <alignment horizontal="right"/>
      <protection/>
    </xf>
    <xf numFmtId="3" fontId="80" fillId="0" borderId="90" xfId="102" applyNumberFormat="1" applyFont="1" applyFill="1" applyBorder="1" applyAlignment="1">
      <alignment horizontal="right"/>
      <protection/>
    </xf>
    <xf numFmtId="0" fontId="2" fillId="0" borderId="92" xfId="94" applyFont="1" applyFill="1" applyBorder="1" applyAlignment="1">
      <alignment horizontal="left" wrapText="1"/>
      <protection/>
    </xf>
    <xf numFmtId="2" fontId="2" fillId="0" borderId="24" xfId="94" applyNumberFormat="1" applyFont="1" applyFill="1" applyBorder="1" applyAlignment="1">
      <alignment wrapText="1"/>
      <protection/>
    </xf>
    <xf numFmtId="0" fontId="81" fillId="0" borderId="0" xfId="102" applyFont="1" applyFill="1" applyBorder="1" applyAlignment="1">
      <alignment/>
      <protection/>
    </xf>
    <xf numFmtId="0" fontId="23" fillId="0" borderId="24" xfId="94" applyFont="1" applyFill="1" applyBorder="1" applyAlignment="1">
      <alignment horizontal="left"/>
      <protection/>
    </xf>
    <xf numFmtId="0" fontId="2" fillId="0" borderId="77" xfId="102" applyFont="1" applyFill="1" applyBorder="1" applyAlignment="1">
      <alignment horizontal="center" vertical="top" wrapText="1"/>
      <protection/>
    </xf>
    <xf numFmtId="3" fontId="81" fillId="0" borderId="24" xfId="94" applyNumberFormat="1" applyFont="1" applyFill="1" applyBorder="1" applyAlignment="1">
      <alignment horizontal="right"/>
      <protection/>
    </xf>
    <xf numFmtId="0" fontId="2" fillId="0" borderId="24" xfId="102" applyFont="1" applyFill="1" applyBorder="1" applyAlignment="1">
      <alignment wrapText="1"/>
      <protection/>
    </xf>
    <xf numFmtId="0" fontId="4" fillId="0" borderId="0" xfId="0" applyFont="1" applyFill="1" applyAlignment="1">
      <alignment horizontal="center" vertical="center"/>
    </xf>
    <xf numFmtId="0" fontId="26" fillId="0" borderId="24" xfId="94" applyFont="1" applyFill="1" applyBorder="1" applyAlignment="1">
      <alignment horizontal="left"/>
      <protection/>
    </xf>
    <xf numFmtId="3" fontId="4" fillId="0" borderId="33" xfId="0" applyNumberFormat="1" applyFont="1" applyFill="1" applyBorder="1" applyAlignment="1">
      <alignment vertical="center"/>
    </xf>
    <xf numFmtId="3" fontId="4" fillId="0" borderId="103" xfId="0" applyNumberFormat="1" applyFont="1" applyFill="1" applyBorder="1" applyAlignment="1">
      <alignment horizontal="right" vertical="center"/>
    </xf>
    <xf numFmtId="0" fontId="2" fillId="0" borderId="28" xfId="102" applyFont="1" applyFill="1" applyBorder="1" applyAlignment="1">
      <alignment horizontal="center"/>
      <protection/>
    </xf>
    <xf numFmtId="3" fontId="81" fillId="0" borderId="28" xfId="102" applyNumberFormat="1" applyFont="1" applyFill="1" applyBorder="1" applyAlignment="1">
      <alignment horizontal="right"/>
      <protection/>
    </xf>
    <xf numFmtId="3" fontId="81" fillId="0" borderId="28" xfId="94" applyNumberFormat="1" applyFont="1" applyFill="1" applyBorder="1" applyAlignment="1">
      <alignment horizontal="right"/>
      <protection/>
    </xf>
    <xf numFmtId="3" fontId="81" fillId="0" borderId="29" xfId="102" applyNumberFormat="1" applyFont="1" applyFill="1" applyBorder="1" applyAlignment="1">
      <alignment horizontal="right"/>
      <protection/>
    </xf>
    <xf numFmtId="3" fontId="80" fillId="0" borderId="75" xfId="94" applyNumberFormat="1" applyFont="1" applyFill="1" applyBorder="1" applyAlignment="1">
      <alignment horizontal="right" wrapText="1"/>
      <protection/>
    </xf>
    <xf numFmtId="3" fontId="80" fillId="0" borderId="28" xfId="94" applyNumberFormat="1" applyFont="1" applyFill="1" applyBorder="1" applyAlignment="1">
      <alignment horizontal="right" wrapText="1"/>
      <protection/>
    </xf>
    <xf numFmtId="3" fontId="81" fillId="0" borderId="28" xfId="94" applyNumberFormat="1" applyFont="1" applyFill="1" applyBorder="1" applyAlignment="1">
      <alignment horizontal="right" wrapText="1"/>
      <protection/>
    </xf>
    <xf numFmtId="3" fontId="80" fillId="0" borderId="104" xfId="94" applyNumberFormat="1" applyFont="1" applyFill="1" applyBorder="1" applyAlignment="1">
      <alignment horizontal="right" wrapText="1"/>
      <protection/>
    </xf>
    <xf numFmtId="0" fontId="26" fillId="0" borderId="28" xfId="94" applyFont="1" applyFill="1" applyBorder="1" applyAlignment="1">
      <alignment horizontal="left"/>
      <protection/>
    </xf>
    <xf numFmtId="3" fontId="80" fillId="0" borderId="105" xfId="102" applyNumberFormat="1" applyFont="1" applyFill="1" applyBorder="1" applyAlignment="1">
      <alignment horizontal="right"/>
      <protection/>
    </xf>
    <xf numFmtId="3" fontId="80" fillId="0" borderId="85" xfId="102" applyNumberFormat="1" applyFont="1" applyFill="1" applyBorder="1" applyAlignment="1">
      <alignment horizontal="right"/>
      <protection/>
    </xf>
    <xf numFmtId="3" fontId="2" fillId="0" borderId="105" xfId="102" applyNumberFormat="1" applyFont="1" applyFill="1" applyBorder="1" applyAlignment="1">
      <alignment horizontal="right"/>
      <protection/>
    </xf>
    <xf numFmtId="0" fontId="2" fillId="0" borderId="106" xfId="102" applyFont="1" applyFill="1" applyBorder="1" applyAlignment="1">
      <alignment horizontal="center"/>
      <protection/>
    </xf>
    <xf numFmtId="0" fontId="80" fillId="0" borderId="106" xfId="94" applyFont="1" applyFill="1" applyBorder="1" applyAlignment="1">
      <alignment horizontal="left"/>
      <protection/>
    </xf>
    <xf numFmtId="0" fontId="80" fillId="0" borderId="107" xfId="102" applyFont="1" applyFill="1" applyBorder="1" applyAlignment="1">
      <alignment horizontal="center" wrapText="1"/>
      <protection/>
    </xf>
    <xf numFmtId="3" fontId="80" fillId="0" borderId="108" xfId="94" applyNumberFormat="1" applyFont="1" applyFill="1" applyBorder="1" applyAlignment="1">
      <alignment horizontal="right" wrapText="1"/>
      <protection/>
    </xf>
    <xf numFmtId="3" fontId="80" fillId="0" borderId="106" xfId="94" applyNumberFormat="1" applyFont="1" applyFill="1" applyBorder="1" applyAlignment="1">
      <alignment horizontal="right" wrapText="1"/>
      <protection/>
    </xf>
    <xf numFmtId="3" fontId="81" fillId="0" borderId="106" xfId="94" applyNumberFormat="1" applyFont="1" applyFill="1" applyBorder="1" applyAlignment="1">
      <alignment horizontal="right" wrapText="1"/>
      <protection/>
    </xf>
    <xf numFmtId="3" fontId="80" fillId="0" borderId="109" xfId="94" applyNumberFormat="1" applyFont="1" applyFill="1" applyBorder="1" applyAlignment="1">
      <alignment horizontal="right" wrapText="1"/>
      <protection/>
    </xf>
    <xf numFmtId="0" fontId="2" fillId="0" borderId="110" xfId="102" applyFont="1" applyFill="1" applyBorder="1" applyAlignment="1">
      <alignment horizontal="center"/>
      <protection/>
    </xf>
    <xf numFmtId="0" fontId="4" fillId="0" borderId="110" xfId="94" applyFont="1" applyFill="1" applyBorder="1" applyAlignment="1">
      <alignment horizontal="left"/>
      <protection/>
    </xf>
    <xf numFmtId="3" fontId="80" fillId="0" borderId="111" xfId="102" applyNumberFormat="1" applyFont="1" applyFill="1" applyBorder="1" applyAlignment="1">
      <alignment horizontal="right"/>
      <protection/>
    </xf>
    <xf numFmtId="0" fontId="80" fillId="0" borderId="112" xfId="94" applyFont="1" applyFill="1" applyBorder="1" applyAlignment="1">
      <alignment/>
      <protection/>
    </xf>
    <xf numFmtId="3" fontId="2" fillId="0" borderId="106" xfId="102" applyNumberFormat="1" applyFont="1" applyFill="1" applyBorder="1" applyAlignment="1">
      <alignment horizontal="right"/>
      <protection/>
    </xf>
    <xf numFmtId="3" fontId="2" fillId="0" borderId="113" xfId="102" applyNumberFormat="1" applyFont="1" applyFill="1" applyBorder="1" applyAlignment="1">
      <alignment horizontal="right"/>
      <protection/>
    </xf>
    <xf numFmtId="0" fontId="2" fillId="0" borderId="107" xfId="102" applyFont="1" applyFill="1" applyBorder="1" applyAlignment="1">
      <alignment horizontal="center" wrapText="1"/>
      <protection/>
    </xf>
    <xf numFmtId="0" fontId="4" fillId="0" borderId="114" xfId="102" applyFont="1" applyFill="1" applyBorder="1" applyAlignment="1">
      <alignment horizontal="center" wrapText="1"/>
      <protection/>
    </xf>
    <xf numFmtId="3" fontId="4" fillId="0" borderId="115" xfId="94" applyNumberFormat="1" applyFont="1" applyFill="1" applyBorder="1" applyAlignment="1">
      <alignment horizontal="right" wrapText="1"/>
      <protection/>
    </xf>
    <xf numFmtId="3" fontId="4" fillId="0" borderId="116" xfId="94" applyNumberFormat="1" applyFont="1" applyFill="1" applyBorder="1" applyAlignment="1">
      <alignment horizontal="right" vertical="center" wrapText="1"/>
      <protection/>
    </xf>
    <xf numFmtId="3" fontId="4" fillId="0" borderId="37" xfId="94" applyNumberFormat="1" applyFont="1" applyFill="1" applyBorder="1" applyAlignment="1">
      <alignment horizontal="right" vertical="center" wrapText="1"/>
      <protection/>
    </xf>
    <xf numFmtId="3" fontId="2" fillId="0" borderId="24" xfId="93" applyNumberFormat="1" applyFont="1" applyFill="1" applyBorder="1" applyAlignment="1">
      <alignment horizontal="center" vertical="center"/>
      <protection/>
    </xf>
    <xf numFmtId="3" fontId="2" fillId="0" borderId="0" xfId="93" applyNumberFormat="1" applyFont="1" applyFill="1" applyBorder="1" applyAlignment="1">
      <alignment horizontal="center" vertical="center"/>
      <protection/>
    </xf>
    <xf numFmtId="3" fontId="4" fillId="0" borderId="94" xfId="94" applyNumberFormat="1" applyFont="1" applyFill="1" applyBorder="1" applyAlignment="1">
      <alignment horizontal="right" vertical="center" wrapText="1"/>
      <protection/>
    </xf>
    <xf numFmtId="3" fontId="9" fillId="0" borderId="0" xfId="95" applyNumberFormat="1" applyFont="1" applyAlignment="1">
      <alignment horizontal="center" wrapText="1"/>
      <protection/>
    </xf>
    <xf numFmtId="3" fontId="9" fillId="0" borderId="0" xfId="95" applyNumberFormat="1" applyFont="1" applyBorder="1" applyAlignment="1">
      <alignment horizontal="center"/>
      <protection/>
    </xf>
    <xf numFmtId="3" fontId="9" fillId="0" borderId="25" xfId="95" applyNumberFormat="1" applyFont="1" applyBorder="1" applyAlignment="1">
      <alignment horizontal="center" vertical="center" wrapText="1"/>
      <protection/>
    </xf>
    <xf numFmtId="3" fontId="2" fillId="0" borderId="117" xfId="95" applyNumberFormat="1" applyFont="1" applyBorder="1" applyAlignment="1">
      <alignment horizontal="center" vertical="center" wrapText="1"/>
      <protection/>
    </xf>
    <xf numFmtId="3" fontId="2" fillId="0" borderId="82" xfId="95" applyNumberFormat="1" applyFont="1" applyBorder="1" applyAlignment="1">
      <alignment horizontal="center" vertical="center" wrapText="1"/>
      <protection/>
    </xf>
    <xf numFmtId="3" fontId="9" fillId="0" borderId="0" xfId="95" applyNumberFormat="1" applyFont="1" applyBorder="1" applyAlignment="1">
      <alignment horizontal="center" vertical="center" wrapText="1"/>
      <protection/>
    </xf>
    <xf numFmtId="3" fontId="2" fillId="0" borderId="13" xfId="95" applyNumberFormat="1" applyFont="1" applyBorder="1" applyAlignment="1">
      <alignment horizontal="center" wrapText="1"/>
      <protection/>
    </xf>
    <xf numFmtId="3" fontId="22" fillId="0" borderId="118" xfId="95" applyNumberFormat="1" applyFont="1" applyBorder="1" applyAlignment="1">
      <alignment horizontal="left"/>
      <protection/>
    </xf>
    <xf numFmtId="3" fontId="2" fillId="0" borderId="119" xfId="95" applyNumberFormat="1" applyFont="1" applyBorder="1" applyAlignment="1">
      <alignment horizontal="center" wrapText="1"/>
      <protection/>
    </xf>
    <xf numFmtId="14" fontId="2" fillId="0" borderId="89" xfId="95" applyNumberFormat="1" applyFont="1" applyBorder="1" applyAlignment="1">
      <alignment horizontal="center" vertical="center" wrapText="1"/>
      <protection/>
    </xf>
    <xf numFmtId="3" fontId="2" fillId="0" borderId="0" xfId="95" applyNumberFormat="1" applyFont="1" applyBorder="1" applyAlignment="1">
      <alignment horizontal="center" vertical="center" wrapText="1"/>
      <protection/>
    </xf>
    <xf numFmtId="3" fontId="2" fillId="0" borderId="120" xfId="95" applyNumberFormat="1" applyFont="1" applyBorder="1" applyAlignment="1">
      <alignment horizontal="center" vertical="center" wrapText="1"/>
      <protection/>
    </xf>
    <xf numFmtId="3" fontId="2" fillId="0" borderId="93" xfId="95" applyNumberFormat="1" applyFont="1" applyBorder="1" applyAlignment="1">
      <alignment horizontal="center" vertical="center" wrapText="1"/>
      <protection/>
    </xf>
    <xf numFmtId="3" fontId="2" fillId="0" borderId="121" xfId="95" applyNumberFormat="1" applyFont="1" applyBorder="1" applyAlignment="1">
      <alignment horizontal="center" vertical="center" wrapText="1"/>
      <protection/>
    </xf>
    <xf numFmtId="3" fontId="2" fillId="0" borderId="24" xfId="95" applyNumberFormat="1" applyFont="1" applyBorder="1" applyAlignment="1">
      <alignment horizontal="left" vertical="center" wrapText="1"/>
      <protection/>
    </xf>
    <xf numFmtId="14" fontId="2" fillId="0" borderId="90" xfId="95" applyNumberFormat="1" applyFont="1" applyBorder="1" applyAlignment="1">
      <alignment horizontal="center" vertical="center" wrapText="1"/>
      <protection/>
    </xf>
    <xf numFmtId="3" fontId="2" fillId="0" borderId="77" xfId="95" applyNumberFormat="1" applyFont="1" applyBorder="1" applyAlignment="1">
      <alignment horizontal="right" vertical="center" wrapText="1"/>
      <protection/>
    </xf>
    <xf numFmtId="3" fontId="2" fillId="0" borderId="98" xfId="95" applyNumberFormat="1" applyFont="1" applyBorder="1" applyAlignment="1">
      <alignment horizontal="right" vertical="center" wrapText="1"/>
      <protection/>
    </xf>
    <xf numFmtId="3" fontId="2" fillId="0" borderId="24" xfId="95" applyNumberFormat="1" applyFont="1" applyBorder="1" applyAlignment="1">
      <alignment horizontal="right" vertical="center" wrapText="1"/>
      <protection/>
    </xf>
    <xf numFmtId="3" fontId="2" fillId="0" borderId="90" xfId="95" applyNumberFormat="1" applyFont="1" applyBorder="1" applyAlignment="1">
      <alignment horizontal="right" vertical="center" wrapText="1"/>
      <protection/>
    </xf>
    <xf numFmtId="3" fontId="2" fillId="0" borderId="122" xfId="95" applyNumberFormat="1" applyFont="1" applyFill="1" applyBorder="1" applyAlignment="1">
      <alignment horizontal="right" vertical="center" wrapText="1"/>
      <protection/>
    </xf>
    <xf numFmtId="3" fontId="2" fillId="0" borderId="24" xfId="95" applyNumberFormat="1" applyFont="1" applyBorder="1" applyAlignment="1">
      <alignment horizontal="center" vertical="top" wrapText="1"/>
      <protection/>
    </xf>
    <xf numFmtId="3" fontId="2" fillId="0" borderId="24" xfId="95" applyNumberFormat="1" applyFont="1" applyFill="1" applyBorder="1" applyAlignment="1">
      <alignment horizontal="left" vertical="center" wrapText="1"/>
      <protection/>
    </xf>
    <xf numFmtId="3" fontId="2" fillId="0" borderId="78" xfId="95" applyNumberFormat="1" applyFont="1" applyBorder="1" applyAlignment="1">
      <alignment horizontal="right" vertical="center" wrapText="1"/>
      <protection/>
    </xf>
    <xf numFmtId="3" fontId="2" fillId="0" borderId="75" xfId="95" applyNumberFormat="1" applyFont="1" applyBorder="1" applyAlignment="1">
      <alignment horizontal="right" vertical="center" wrapText="1"/>
      <protection/>
    </xf>
    <xf numFmtId="3" fontId="2" fillId="0" borderId="77" xfId="95" applyNumberFormat="1" applyFont="1" applyFill="1" applyBorder="1" applyAlignment="1">
      <alignment horizontal="right" vertical="center" wrapText="1"/>
      <protection/>
    </xf>
    <xf numFmtId="3" fontId="2" fillId="0" borderId="24" xfId="95" applyNumberFormat="1" applyFont="1" applyFill="1" applyBorder="1" applyAlignment="1">
      <alignment horizontal="right" vertical="center" wrapText="1"/>
      <protection/>
    </xf>
    <xf numFmtId="3" fontId="2" fillId="0" borderId="24" xfId="95" applyNumberFormat="1" applyFont="1" applyBorder="1" applyAlignment="1">
      <alignment horizontal="center" vertical="center" wrapText="1"/>
      <protection/>
    </xf>
    <xf numFmtId="0" fontId="2" fillId="0" borderId="119" xfId="0" applyFont="1" applyFill="1" applyBorder="1" applyAlignment="1">
      <alignment vertical="center" wrapText="1"/>
    </xf>
    <xf numFmtId="3" fontId="2" fillId="0" borderId="78" xfId="95" applyNumberFormat="1" applyFont="1" applyFill="1" applyBorder="1" applyAlignment="1">
      <alignment horizontal="right" vertical="center" wrapText="1"/>
      <protection/>
    </xf>
    <xf numFmtId="3" fontId="2" fillId="0" borderId="75" xfId="95" applyNumberFormat="1" applyFont="1" applyFill="1" applyBorder="1" applyAlignment="1">
      <alignment horizontal="right" vertical="center" wrapText="1"/>
      <protection/>
    </xf>
    <xf numFmtId="0" fontId="2" fillId="0" borderId="24" xfId="0" applyFont="1" applyFill="1" applyBorder="1" applyAlignment="1">
      <alignment wrapText="1"/>
    </xf>
    <xf numFmtId="3" fontId="4" fillId="0" borderId="94" xfId="95" applyNumberFormat="1" applyFont="1" applyBorder="1" applyAlignment="1">
      <alignment horizontal="right" vertical="center"/>
      <protection/>
    </xf>
    <xf numFmtId="3" fontId="4" fillId="0" borderId="99" xfId="95" applyNumberFormat="1" applyFont="1" applyBorder="1" applyAlignment="1">
      <alignment horizontal="right" vertical="center"/>
      <protection/>
    </xf>
    <xf numFmtId="3" fontId="4" fillId="0" borderId="123" xfId="95" applyNumberFormat="1" applyFont="1" applyBorder="1" applyAlignment="1">
      <alignment horizontal="right" vertical="center"/>
      <protection/>
    </xf>
    <xf numFmtId="3" fontId="82" fillId="0" borderId="98" xfId="93" applyNumberFormat="1" applyFont="1" applyFill="1" applyBorder="1" applyAlignment="1">
      <alignment horizontal="right"/>
      <protection/>
    </xf>
    <xf numFmtId="3" fontId="82" fillId="0" borderId="24" xfId="0" applyNumberFormat="1" applyFont="1" applyFill="1" applyBorder="1" applyAlignment="1">
      <alignment horizontal="right" wrapText="1"/>
    </xf>
    <xf numFmtId="3" fontId="82" fillId="0" borderId="122" xfId="0" applyNumberFormat="1" applyFont="1" applyFill="1" applyBorder="1" applyAlignment="1">
      <alignment horizontal="right" wrapText="1"/>
    </xf>
    <xf numFmtId="3" fontId="83" fillId="0" borderId="98" xfId="93" applyNumberFormat="1" applyFont="1" applyFill="1" applyBorder="1" applyAlignment="1">
      <alignment horizontal="right"/>
      <protection/>
    </xf>
    <xf numFmtId="3" fontId="82" fillId="0" borderId="24" xfId="0" applyNumberFormat="1" applyFont="1" applyFill="1" applyBorder="1" applyAlignment="1">
      <alignment horizontal="right" vertical="center" wrapText="1"/>
    </xf>
    <xf numFmtId="3" fontId="82" fillId="0" borderId="23" xfId="93" applyNumberFormat="1" applyFont="1" applyFill="1" applyBorder="1" applyAlignment="1">
      <alignment horizontal="center" vertical="center"/>
      <protection/>
    </xf>
    <xf numFmtId="3" fontId="82" fillId="0" borderId="24" xfId="93" applyNumberFormat="1" applyFont="1" applyFill="1" applyBorder="1" applyAlignment="1">
      <alignment horizontal="center" vertical="center"/>
      <protection/>
    </xf>
    <xf numFmtId="3" fontId="82" fillId="0" borderId="28" xfId="93" applyNumberFormat="1" applyFont="1" applyFill="1" applyBorder="1" applyAlignment="1">
      <alignment wrapText="1"/>
      <protection/>
    </xf>
    <xf numFmtId="3" fontId="82" fillId="0" borderId="24" xfId="93" applyNumberFormat="1" applyFont="1" applyFill="1" applyBorder="1" applyAlignment="1">
      <alignment horizontal="right"/>
      <protection/>
    </xf>
    <xf numFmtId="3" fontId="82" fillId="0" borderId="27" xfId="93" applyNumberFormat="1" applyFont="1" applyFill="1" applyBorder="1" applyAlignment="1">
      <alignment horizontal="right"/>
      <protection/>
    </xf>
    <xf numFmtId="3" fontId="82" fillId="0" borderId="77" xfId="93" applyNumberFormat="1" applyFont="1" applyFill="1" applyBorder="1" applyAlignment="1">
      <alignment horizontal="center"/>
      <protection/>
    </xf>
    <xf numFmtId="3" fontId="80" fillId="0" borderId="0" xfId="93" applyNumberFormat="1" applyFont="1" applyFill="1" applyAlignment="1">
      <alignment horizontal="center" vertical="center"/>
      <protection/>
    </xf>
    <xf numFmtId="3" fontId="82" fillId="0" borderId="28" xfId="93" applyNumberFormat="1" applyFont="1" applyFill="1" applyBorder="1" applyAlignment="1">
      <alignment horizontal="right"/>
      <protection/>
    </xf>
    <xf numFmtId="3" fontId="82" fillId="0" borderId="29" xfId="93" applyNumberFormat="1" applyFont="1" applyFill="1" applyBorder="1" applyAlignment="1">
      <alignment horizontal="right"/>
      <protection/>
    </xf>
    <xf numFmtId="3" fontId="82" fillId="0" borderId="78" xfId="93" applyNumberFormat="1" applyFont="1" applyFill="1" applyBorder="1" applyAlignment="1">
      <alignment horizontal="center"/>
      <protection/>
    </xf>
    <xf numFmtId="3" fontId="82" fillId="0" borderId="28" xfId="0" applyNumberFormat="1" applyFont="1" applyFill="1" applyBorder="1" applyAlignment="1">
      <alignment horizontal="right" wrapText="1"/>
    </xf>
    <xf numFmtId="3" fontId="82" fillId="0" borderId="31" xfId="0" applyNumberFormat="1" applyFont="1" applyFill="1" applyBorder="1" applyAlignment="1">
      <alignment horizontal="right" wrapText="1"/>
    </xf>
    <xf numFmtId="3" fontId="80" fillId="0" borderId="0" xfId="93" applyNumberFormat="1" applyFont="1" applyFill="1" applyAlignment="1">
      <alignment horizontal="center"/>
      <protection/>
    </xf>
    <xf numFmtId="3" fontId="83" fillId="0" borderId="23" xfId="93" applyNumberFormat="1" applyFont="1" applyFill="1" applyBorder="1" applyAlignment="1">
      <alignment horizontal="center" vertical="center"/>
      <protection/>
    </xf>
    <xf numFmtId="3" fontId="83" fillId="0" borderId="28" xfId="93" applyNumberFormat="1" applyFont="1" applyFill="1" applyBorder="1" applyAlignment="1">
      <alignment horizontal="left" wrapText="1" indent="4"/>
      <protection/>
    </xf>
    <xf numFmtId="3" fontId="83" fillId="0" borderId="24" xfId="93" applyNumberFormat="1" applyFont="1" applyFill="1" applyBorder="1" applyAlignment="1">
      <alignment horizontal="right"/>
      <protection/>
    </xf>
    <xf numFmtId="3" fontId="83" fillId="0" borderId="27" xfId="93" applyNumberFormat="1" applyFont="1" applyFill="1" applyBorder="1" applyAlignment="1">
      <alignment horizontal="right"/>
      <protection/>
    </xf>
    <xf numFmtId="3" fontId="83" fillId="0" borderId="77" xfId="93" applyNumberFormat="1" applyFont="1" applyFill="1" applyBorder="1" applyAlignment="1">
      <alignment horizontal="center"/>
      <protection/>
    </xf>
    <xf numFmtId="3" fontId="83" fillId="0" borderId="24" xfId="0" applyNumberFormat="1" applyFont="1" applyFill="1" applyBorder="1" applyAlignment="1">
      <alignment horizontal="right" wrapText="1"/>
    </xf>
    <xf numFmtId="3" fontId="83" fillId="0" borderId="122" xfId="0" applyNumberFormat="1" applyFont="1" applyFill="1" applyBorder="1" applyAlignment="1">
      <alignment horizontal="right" wrapText="1"/>
    </xf>
    <xf numFmtId="3" fontId="84" fillId="0" borderId="0" xfId="93" applyNumberFormat="1" applyFont="1" applyFill="1" applyAlignment="1">
      <alignment horizontal="center" vertical="center"/>
      <protection/>
    </xf>
    <xf numFmtId="3" fontId="84" fillId="0" borderId="0" xfId="93" applyNumberFormat="1" applyFont="1" applyFill="1" applyBorder="1" applyAlignment="1">
      <alignment horizontal="center" vertical="center"/>
      <protection/>
    </xf>
    <xf numFmtId="3" fontId="84" fillId="0" borderId="24" xfId="93" applyNumberFormat="1" applyFont="1" applyFill="1" applyBorder="1" applyAlignment="1">
      <alignment horizontal="center" vertical="center"/>
      <protection/>
    </xf>
    <xf numFmtId="3" fontId="83" fillId="0" borderId="28" xfId="93" applyNumberFormat="1" applyFont="1" applyFill="1" applyBorder="1" applyAlignment="1">
      <alignment horizontal="left" vertical="top" wrapText="1" indent="4"/>
      <protection/>
    </xf>
    <xf numFmtId="3" fontId="82" fillId="0" borderId="30" xfId="93" applyNumberFormat="1" applyFont="1" applyFill="1" applyBorder="1" applyAlignment="1">
      <alignment horizontal="center" vertical="center"/>
      <protection/>
    </xf>
    <xf numFmtId="3" fontId="83" fillId="0" borderId="0" xfId="93" applyNumberFormat="1" applyFont="1" applyFill="1" applyAlignment="1">
      <alignment horizontal="center" vertical="center"/>
      <protection/>
    </xf>
    <xf numFmtId="3" fontId="82" fillId="0" borderId="0" xfId="93" applyNumberFormat="1" applyFont="1" applyFill="1" applyAlignment="1">
      <alignment horizontal="center" vertical="center"/>
      <protection/>
    </xf>
    <xf numFmtId="3" fontId="82" fillId="0" borderId="28" xfId="93" applyNumberFormat="1" applyFont="1" applyFill="1" applyBorder="1" applyAlignment="1">
      <alignment horizontal="left" wrapText="1" indent="2"/>
      <protection/>
    </xf>
    <xf numFmtId="3" fontId="83" fillId="0" borderId="30" xfId="93" applyNumberFormat="1" applyFont="1" applyFill="1" applyBorder="1" applyAlignment="1">
      <alignment horizontal="center" vertical="center"/>
      <protection/>
    </xf>
    <xf numFmtId="3" fontId="83" fillId="0" borderId="28" xfId="93" applyNumberFormat="1" applyFont="1" applyFill="1" applyBorder="1" applyAlignment="1">
      <alignment horizontal="right"/>
      <protection/>
    </xf>
    <xf numFmtId="3" fontId="83" fillId="0" borderId="29" xfId="93" applyNumberFormat="1" applyFont="1" applyFill="1" applyBorder="1" applyAlignment="1">
      <alignment horizontal="right"/>
      <protection/>
    </xf>
    <xf numFmtId="3" fontId="83" fillId="0" borderId="28" xfId="0" applyNumberFormat="1" applyFont="1" applyFill="1" applyBorder="1" applyAlignment="1">
      <alignment horizontal="right" wrapText="1"/>
    </xf>
    <xf numFmtId="3" fontId="83" fillId="0" borderId="31" xfId="0" applyNumberFormat="1" applyFont="1" applyFill="1" applyBorder="1" applyAlignment="1">
      <alignment horizontal="right" wrapText="1"/>
    </xf>
    <xf numFmtId="3" fontId="83" fillId="0" borderId="78" xfId="93" applyNumberFormat="1" applyFont="1" applyFill="1" applyBorder="1" applyAlignment="1">
      <alignment horizontal="center"/>
      <protection/>
    </xf>
    <xf numFmtId="3" fontId="83" fillId="0" borderId="30" xfId="93" applyNumberFormat="1" applyFont="1" applyFill="1" applyBorder="1" applyAlignment="1">
      <alignment horizontal="center"/>
      <protection/>
    </xf>
    <xf numFmtId="3" fontId="82" fillId="0" borderId="24" xfId="93" applyNumberFormat="1" applyFont="1" applyFill="1" applyBorder="1" applyAlignment="1">
      <alignment horizontal="center"/>
      <protection/>
    </xf>
    <xf numFmtId="3" fontId="82" fillId="0" borderId="98" xfId="0" applyNumberFormat="1" applyFont="1" applyFill="1" applyBorder="1" applyAlignment="1">
      <alignment/>
    </xf>
    <xf numFmtId="3" fontId="80" fillId="0" borderId="0" xfId="93" applyNumberFormat="1" applyFont="1" applyFill="1" applyAlignment="1">
      <alignment/>
      <protection/>
    </xf>
    <xf numFmtId="3" fontId="82" fillId="0" borderId="124" xfId="93" applyNumberFormat="1" applyFont="1" applyFill="1" applyBorder="1" applyAlignment="1">
      <alignment horizontal="center" vertical="center"/>
      <protection/>
    </xf>
    <xf numFmtId="3" fontId="82" fillId="0" borderId="125" xfId="93" applyNumberFormat="1" applyFont="1" applyFill="1" applyBorder="1" applyAlignment="1">
      <alignment horizontal="center" vertical="center"/>
      <protection/>
    </xf>
    <xf numFmtId="3" fontId="82" fillId="0" borderId="126" xfId="93" applyNumberFormat="1" applyFont="1" applyFill="1" applyBorder="1" applyAlignment="1">
      <alignment horizontal="center"/>
      <protection/>
    </xf>
    <xf numFmtId="3" fontId="82" fillId="0" borderId="127" xfId="93" applyNumberFormat="1" applyFont="1" applyFill="1" applyBorder="1" applyAlignment="1">
      <alignment horizontal="right"/>
      <protection/>
    </xf>
    <xf numFmtId="3" fontId="82" fillId="0" borderId="125" xfId="0" applyNumberFormat="1" applyFont="1" applyFill="1" applyBorder="1" applyAlignment="1">
      <alignment horizontal="right" wrapText="1"/>
    </xf>
    <xf numFmtId="3" fontId="82" fillId="0" borderId="128" xfId="0" applyNumberFormat="1" applyFont="1" applyFill="1" applyBorder="1" applyAlignment="1">
      <alignment horizontal="right" wrapText="1"/>
    </xf>
    <xf numFmtId="3" fontId="85" fillId="0" borderId="0" xfId="93" applyNumberFormat="1" applyFont="1" applyFill="1" applyAlignment="1">
      <alignment horizontal="center" vertical="center"/>
      <protection/>
    </xf>
    <xf numFmtId="3" fontId="85" fillId="0" borderId="0" xfId="93" applyNumberFormat="1" applyFont="1" applyFill="1" applyBorder="1">
      <alignment/>
      <protection/>
    </xf>
    <xf numFmtId="14" fontId="2" fillId="0" borderId="90" xfId="95" applyNumberFormat="1" applyFont="1" applyFill="1" applyBorder="1" applyAlignment="1">
      <alignment horizontal="center" vertical="center" wrapText="1"/>
      <protection/>
    </xf>
    <xf numFmtId="0" fontId="2" fillId="0" borderId="24" xfId="102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wrapText="1"/>
    </xf>
    <xf numFmtId="0" fontId="79" fillId="0" borderId="13" xfId="0" applyFont="1" applyFill="1" applyBorder="1" applyAlignment="1">
      <alignment horizontal="center" vertical="top"/>
    </xf>
    <xf numFmtId="3" fontId="9" fillId="0" borderId="0" xfId="102" applyNumberFormat="1" applyFont="1" applyAlignment="1" applyProtection="1">
      <alignment horizontal="center" vertical="center"/>
      <protection locked="0"/>
    </xf>
    <xf numFmtId="0" fontId="9" fillId="0" borderId="30" xfId="103" applyFont="1" applyBorder="1" applyAlignment="1" applyProtection="1">
      <alignment horizontal="center"/>
      <protection locked="0"/>
    </xf>
    <xf numFmtId="3" fontId="21" fillId="0" borderId="28" xfId="101" applyNumberFormat="1" applyFont="1" applyBorder="1" applyAlignment="1" applyProtection="1">
      <alignment horizontal="left"/>
      <protection locked="0"/>
    </xf>
    <xf numFmtId="0" fontId="21" fillId="0" borderId="28" xfId="102" applyFont="1" applyBorder="1" applyAlignment="1" applyProtection="1">
      <alignment horizontal="left" wrapText="1"/>
      <protection locked="0"/>
    </xf>
    <xf numFmtId="0" fontId="9" fillId="0" borderId="28" xfId="103" applyFont="1" applyBorder="1" applyAlignment="1" applyProtection="1">
      <alignment horizontal="center"/>
      <protection locked="0"/>
    </xf>
    <xf numFmtId="3" fontId="9" fillId="0" borderId="28" xfId="103" applyNumberFormat="1" applyFont="1" applyBorder="1" applyProtection="1">
      <alignment/>
      <protection locked="0"/>
    </xf>
    <xf numFmtId="3" fontId="9" fillId="0" borderId="28" xfId="102" applyNumberFormat="1" applyFont="1" applyBorder="1" applyProtection="1">
      <alignment/>
      <protection locked="0"/>
    </xf>
    <xf numFmtId="3" fontId="9" fillId="0" borderId="29" xfId="102" applyNumberFormat="1" applyFont="1" applyBorder="1" applyAlignment="1" applyProtection="1">
      <alignment horizontal="right"/>
      <protection locked="0"/>
    </xf>
    <xf numFmtId="3" fontId="9" fillId="0" borderId="31" xfId="102" applyNumberFormat="1" applyFont="1" applyBorder="1" applyAlignment="1" applyProtection="1">
      <alignment horizontal="left"/>
      <protection locked="0"/>
    </xf>
    <xf numFmtId="0" fontId="9" fillId="0" borderId="0" xfId="102" applyFont="1" applyAlignment="1" applyProtection="1">
      <alignment horizontal="left"/>
      <protection locked="0"/>
    </xf>
    <xf numFmtId="0" fontId="9" fillId="0" borderId="0" xfId="102" applyFont="1" applyAlignment="1" applyProtection="1">
      <alignment horizontal="center" vertical="center"/>
      <protection locked="0"/>
    </xf>
    <xf numFmtId="3" fontId="9" fillId="0" borderId="24" xfId="101" applyNumberFormat="1" applyFont="1" applyBorder="1" applyAlignment="1" applyProtection="1">
      <alignment horizontal="center" vertical="top"/>
      <protection locked="0"/>
    </xf>
    <xf numFmtId="0" fontId="9" fillId="0" borderId="24" xfId="102" applyFont="1" applyBorder="1" applyAlignment="1" applyProtection="1">
      <alignment horizontal="left" wrapText="1"/>
      <protection locked="0"/>
    </xf>
    <xf numFmtId="3" fontId="9" fillId="0" borderId="28" xfId="103" applyNumberFormat="1" applyFont="1" applyBorder="1" applyAlignment="1" applyProtection="1">
      <alignment vertical="center"/>
      <protection locked="0"/>
    </xf>
    <xf numFmtId="3" fontId="9" fillId="0" borderId="28" xfId="102" applyNumberFormat="1" applyFont="1" applyBorder="1" applyAlignment="1" applyProtection="1">
      <alignment vertical="center"/>
      <protection locked="0"/>
    </xf>
    <xf numFmtId="3" fontId="9" fillId="0" borderId="29" xfId="102" applyNumberFormat="1" applyFont="1" applyBorder="1" applyAlignment="1" applyProtection="1">
      <alignment horizontal="right" vertical="center"/>
      <protection locked="0"/>
    </xf>
    <xf numFmtId="3" fontId="9" fillId="0" borderId="31" xfId="102" applyNumberFormat="1" applyFont="1" applyBorder="1" applyAlignment="1" applyProtection="1">
      <alignment horizontal="right"/>
      <protection locked="0"/>
    </xf>
    <xf numFmtId="0" fontId="9" fillId="0" borderId="0" xfId="102" applyFont="1" applyProtection="1">
      <alignment/>
      <protection locked="0"/>
    </xf>
    <xf numFmtId="3" fontId="9" fillId="0" borderId="24" xfId="101" applyNumberFormat="1" applyFont="1" applyBorder="1" applyAlignment="1" applyProtection="1">
      <alignment horizontal="center"/>
      <protection locked="0"/>
    </xf>
    <xf numFmtId="0" fontId="9" fillId="0" borderId="28" xfId="102" applyFont="1" applyBorder="1" applyAlignment="1" applyProtection="1">
      <alignment horizontal="left" wrapText="1"/>
      <protection locked="0"/>
    </xf>
    <xf numFmtId="0" fontId="15" fillId="0" borderId="24" xfId="102" applyFont="1" applyBorder="1" applyProtection="1">
      <alignment/>
      <protection locked="0"/>
    </xf>
    <xf numFmtId="0" fontId="15" fillId="0" borderId="28" xfId="103" applyFont="1" applyBorder="1" applyAlignment="1" applyProtection="1">
      <alignment horizontal="left"/>
      <protection locked="0"/>
    </xf>
    <xf numFmtId="3" fontId="21" fillId="0" borderId="24" xfId="101" applyNumberFormat="1" applyFont="1" applyBorder="1" applyAlignment="1" applyProtection="1">
      <alignment horizontal="left"/>
      <protection locked="0"/>
    </xf>
    <xf numFmtId="0" fontId="15" fillId="0" borderId="24" xfId="102" applyFont="1" applyBorder="1" applyAlignment="1" applyProtection="1">
      <alignment horizontal="left"/>
      <protection locked="0"/>
    </xf>
    <xf numFmtId="3" fontId="12" fillId="0" borderId="28" xfId="103" applyNumberFormat="1" applyFont="1" applyBorder="1" applyProtection="1">
      <alignment/>
      <protection locked="0"/>
    </xf>
    <xf numFmtId="3" fontId="9" fillId="0" borderId="29" xfId="102" applyNumberFormat="1" applyFont="1" applyBorder="1" applyAlignment="1" applyProtection="1">
      <alignment horizontal="left"/>
      <protection locked="0"/>
    </xf>
    <xf numFmtId="0" fontId="12" fillId="0" borderId="24" xfId="102" applyFont="1" applyBorder="1" applyAlignment="1" applyProtection="1">
      <alignment wrapText="1"/>
      <protection locked="0"/>
    </xf>
    <xf numFmtId="0" fontId="27" fillId="0" borderId="24" xfId="102" applyFont="1" applyBorder="1" applyAlignment="1" applyProtection="1">
      <alignment horizontal="left"/>
      <protection locked="0"/>
    </xf>
    <xf numFmtId="0" fontId="9" fillId="0" borderId="30" xfId="103" applyFont="1" applyBorder="1" applyAlignment="1" applyProtection="1">
      <alignment horizontal="center" vertical="top"/>
      <protection locked="0"/>
    </xf>
    <xf numFmtId="0" fontId="9" fillId="0" borderId="28" xfId="103" applyFont="1" applyBorder="1" applyAlignment="1" applyProtection="1">
      <alignment horizontal="center" vertical="top"/>
      <protection locked="0"/>
    </xf>
    <xf numFmtId="3" fontId="9" fillId="0" borderId="28" xfId="102" applyNumberFormat="1" applyFont="1" applyBorder="1" applyAlignment="1" applyProtection="1">
      <alignment horizontal="right"/>
      <protection locked="0"/>
    </xf>
    <xf numFmtId="0" fontId="9" fillId="0" borderId="0" xfId="102" applyFont="1" applyAlignment="1" applyProtection="1">
      <alignment vertical="top"/>
      <protection locked="0"/>
    </xf>
    <xf numFmtId="3" fontId="9" fillId="0" borderId="28" xfId="103" applyNumberFormat="1" applyFont="1" applyBorder="1" applyAlignment="1" applyProtection="1">
      <alignment horizontal="right"/>
      <protection locked="0"/>
    </xf>
    <xf numFmtId="3" fontId="21" fillId="0" borderId="28" xfId="0" applyNumberFormat="1" applyFont="1" applyBorder="1" applyAlignment="1" applyProtection="1">
      <alignment horizontal="left"/>
      <protection locked="0"/>
    </xf>
    <xf numFmtId="0" fontId="9" fillId="0" borderId="23" xfId="103" applyFont="1" applyBorder="1" applyAlignment="1" applyProtection="1">
      <alignment horizontal="center"/>
      <protection locked="0"/>
    </xf>
    <xf numFmtId="0" fontId="9" fillId="0" borderId="24" xfId="103" applyFont="1" applyBorder="1" applyAlignment="1" applyProtection="1">
      <alignment horizontal="center"/>
      <protection locked="0"/>
    </xf>
    <xf numFmtId="3" fontId="9" fillId="0" borderId="24" xfId="103" applyNumberFormat="1" applyFont="1" applyBorder="1" applyAlignment="1" applyProtection="1">
      <alignment vertical="center"/>
      <protection locked="0"/>
    </xf>
    <xf numFmtId="3" fontId="9" fillId="0" borderId="24" xfId="102" applyNumberFormat="1" applyFont="1" applyBorder="1" applyAlignment="1" applyProtection="1">
      <alignment vertical="center"/>
      <protection locked="0"/>
    </xf>
    <xf numFmtId="3" fontId="9" fillId="0" borderId="27" xfId="102" applyNumberFormat="1" applyFont="1" applyBorder="1" applyAlignment="1" applyProtection="1">
      <alignment horizontal="right" vertical="center"/>
      <protection locked="0"/>
    </xf>
    <xf numFmtId="3" fontId="9" fillId="0" borderId="122" xfId="102" applyNumberFormat="1" applyFont="1" applyBorder="1" applyAlignment="1" applyProtection="1">
      <alignment horizontal="right"/>
      <protection locked="0"/>
    </xf>
    <xf numFmtId="3" fontId="21" fillId="0" borderId="29" xfId="0" applyNumberFormat="1" applyFont="1" applyBorder="1" applyAlignment="1" applyProtection="1">
      <alignment horizontal="left"/>
      <protection locked="0"/>
    </xf>
    <xf numFmtId="3" fontId="9" fillId="0" borderId="28" xfId="101" applyNumberFormat="1" applyFont="1" applyBorder="1" applyAlignment="1" applyProtection="1">
      <alignment horizontal="center"/>
      <protection locked="0"/>
    </xf>
    <xf numFmtId="3" fontId="2" fillId="0" borderId="0" xfId="95" applyNumberFormat="1" applyFont="1" applyAlignment="1">
      <alignment horizontal="left" wrapText="1"/>
      <protection/>
    </xf>
    <xf numFmtId="3" fontId="80" fillId="0" borderId="106" xfId="94" applyNumberFormat="1" applyFont="1" applyFill="1" applyBorder="1" applyAlignment="1">
      <alignment horizontal="right"/>
      <protection/>
    </xf>
    <xf numFmtId="3" fontId="2" fillId="0" borderId="75" xfId="94" applyNumberFormat="1" applyFont="1" applyFill="1" applyBorder="1" applyAlignment="1">
      <alignment horizontal="right" wrapText="1"/>
      <protection/>
    </xf>
    <xf numFmtId="3" fontId="2" fillId="0" borderId="28" xfId="94" applyNumberFormat="1" applyFont="1" applyFill="1" applyBorder="1" applyAlignment="1">
      <alignment horizontal="right" wrapText="1"/>
      <protection/>
    </xf>
    <xf numFmtId="3" fontId="4" fillId="0" borderId="104" xfId="94" applyNumberFormat="1" applyFont="1" applyFill="1" applyBorder="1" applyAlignment="1">
      <alignment horizontal="right" wrapText="1"/>
      <protection/>
    </xf>
    <xf numFmtId="0" fontId="80" fillId="0" borderId="114" xfId="102" applyFont="1" applyFill="1" applyBorder="1" applyAlignment="1">
      <alignment horizontal="center" wrapText="1"/>
      <protection/>
    </xf>
    <xf numFmtId="3" fontId="4" fillId="0" borderId="110" xfId="102" applyNumberFormat="1" applyFont="1" applyFill="1" applyBorder="1" applyAlignment="1">
      <alignment horizontal="right"/>
      <protection/>
    </xf>
    <xf numFmtId="3" fontId="2" fillId="0" borderId="108" xfId="102" applyNumberFormat="1" applyFont="1" applyFill="1" applyBorder="1" applyAlignment="1">
      <alignment horizontal="right"/>
      <protection/>
    </xf>
    <xf numFmtId="3" fontId="2" fillId="0" borderId="75" xfId="102" applyNumberFormat="1" applyFont="1" applyFill="1" applyBorder="1" applyAlignment="1">
      <alignment horizontal="right"/>
      <protection/>
    </xf>
    <xf numFmtId="3" fontId="4" fillId="0" borderId="104" xfId="102" applyNumberFormat="1" applyFont="1" applyFill="1" applyBorder="1" applyAlignment="1">
      <alignment horizontal="right"/>
      <protection/>
    </xf>
    <xf numFmtId="3" fontId="2" fillId="0" borderId="111" xfId="102" applyNumberFormat="1" applyFont="1" applyFill="1" applyBorder="1" applyAlignment="1">
      <alignment horizontal="right"/>
      <protection/>
    </xf>
    <xf numFmtId="3" fontId="4" fillId="0" borderId="129" xfId="102" applyNumberFormat="1" applyFont="1" applyFill="1" applyBorder="1" applyAlignment="1">
      <alignment horizontal="right"/>
      <protection/>
    </xf>
    <xf numFmtId="3" fontId="4" fillId="0" borderId="114" xfId="102" applyNumberFormat="1" applyFont="1" applyFill="1" applyBorder="1" applyAlignment="1">
      <alignment horizontal="right"/>
      <protection/>
    </xf>
    <xf numFmtId="3" fontId="4" fillId="0" borderId="111" xfId="102" applyNumberFormat="1" applyFont="1" applyFill="1" applyBorder="1" applyAlignment="1">
      <alignment horizontal="right"/>
      <protection/>
    </xf>
    <xf numFmtId="3" fontId="2" fillId="0" borderId="0" xfId="95" applyNumberFormat="1" applyFont="1" applyAlignment="1">
      <alignment horizontal="center" vertical="center"/>
      <protection/>
    </xf>
    <xf numFmtId="3" fontId="2" fillId="0" borderId="81" xfId="95" applyNumberFormat="1" applyFont="1" applyFill="1" applyBorder="1" applyAlignment="1">
      <alignment horizontal="center" vertical="center" wrapText="1"/>
      <protection/>
    </xf>
    <xf numFmtId="3" fontId="2" fillId="0" borderId="24" xfId="95" applyNumberFormat="1" applyFont="1" applyFill="1" applyBorder="1" applyAlignment="1">
      <alignment horizontal="center" vertical="center" wrapText="1"/>
      <protection/>
    </xf>
    <xf numFmtId="3" fontId="2" fillId="0" borderId="36" xfId="95" applyNumberFormat="1" applyFont="1" applyFill="1" applyBorder="1" applyAlignment="1">
      <alignment horizontal="right" vertical="center" wrapText="1"/>
      <protection/>
    </xf>
    <xf numFmtId="3" fontId="2" fillId="0" borderId="90" xfId="95" applyNumberFormat="1" applyFont="1" applyFill="1" applyBorder="1" applyAlignment="1">
      <alignment horizontal="right" vertical="center" wrapText="1"/>
      <protection/>
    </xf>
    <xf numFmtId="3" fontId="2" fillId="0" borderId="0" xfId="95" applyNumberFormat="1" applyFont="1" applyFill="1">
      <alignment/>
      <protection/>
    </xf>
    <xf numFmtId="3" fontId="2" fillId="0" borderId="23" xfId="95" applyNumberFormat="1" applyFont="1" applyFill="1" applyBorder="1" applyAlignment="1">
      <alignment horizontal="center" vertical="center" wrapText="1"/>
      <protection/>
    </xf>
    <xf numFmtId="3" fontId="2" fillId="0" borderId="0" xfId="95" applyNumberFormat="1" applyFont="1" applyBorder="1" applyAlignment="1">
      <alignment horizontal="right" vertical="center" wrapText="1"/>
      <protection/>
    </xf>
    <xf numFmtId="3" fontId="2" fillId="0" borderId="75" xfId="95" applyNumberFormat="1" applyFont="1" applyFill="1" applyBorder="1" applyAlignment="1">
      <alignment horizontal="center" vertical="center" wrapText="1"/>
      <protection/>
    </xf>
    <xf numFmtId="3" fontId="2" fillId="0" borderId="101" xfId="95" applyNumberFormat="1" applyFont="1" applyBorder="1" applyAlignment="1">
      <alignment horizontal="right" vertical="center" wrapText="1"/>
      <protection/>
    </xf>
    <xf numFmtId="3" fontId="2" fillId="0" borderId="28" xfId="95" applyNumberFormat="1" applyFont="1" applyBorder="1" applyAlignment="1">
      <alignment horizontal="right" vertical="center" wrapText="1"/>
      <protection/>
    </xf>
    <xf numFmtId="3" fontId="2" fillId="0" borderId="130" xfId="95" applyNumberFormat="1" applyFont="1" applyBorder="1" applyAlignment="1">
      <alignment horizontal="center" vertical="center" wrapText="1"/>
      <protection/>
    </xf>
    <xf numFmtId="14" fontId="2" fillId="0" borderId="109" xfId="95" applyNumberFormat="1" applyFont="1" applyBorder="1" applyAlignment="1">
      <alignment horizontal="center" vertical="center" wrapText="1"/>
      <protection/>
    </xf>
    <xf numFmtId="3" fontId="2" fillId="0" borderId="131" xfId="95" applyNumberFormat="1" applyFont="1" applyBorder="1" applyAlignment="1">
      <alignment horizontal="right" vertical="center" wrapText="1"/>
      <protection/>
    </xf>
    <xf numFmtId="3" fontId="2" fillId="0" borderId="107" xfId="95" applyNumberFormat="1" applyFont="1" applyBorder="1" applyAlignment="1">
      <alignment horizontal="right" vertical="center" wrapText="1"/>
      <protection/>
    </xf>
    <xf numFmtId="3" fontId="2" fillId="0" borderId="108" xfId="95" applyNumberFormat="1" applyFont="1" applyBorder="1" applyAlignment="1">
      <alignment horizontal="right" vertical="center" wrapText="1"/>
      <protection/>
    </xf>
    <xf numFmtId="3" fontId="2" fillId="0" borderId="106" xfId="95" applyNumberFormat="1" applyFont="1" applyBorder="1" applyAlignment="1">
      <alignment horizontal="right" vertical="center" wrapText="1"/>
      <protection/>
    </xf>
    <xf numFmtId="3" fontId="2" fillId="0" borderId="109" xfId="95" applyNumberFormat="1" applyFont="1" applyBorder="1" applyAlignment="1">
      <alignment horizontal="right" vertical="center" wrapText="1"/>
      <protection/>
    </xf>
    <xf numFmtId="3" fontId="2" fillId="0" borderId="119" xfId="95" applyNumberFormat="1" applyFont="1" applyBorder="1" applyAlignment="1">
      <alignment horizontal="left" vertical="center" wrapText="1"/>
      <protection/>
    </xf>
    <xf numFmtId="3" fontId="2" fillId="0" borderId="106" xfId="95" applyNumberFormat="1" applyFont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2" fillId="0" borderId="24" xfId="94" applyFont="1" applyFill="1" applyBorder="1" applyAlignment="1">
      <alignment vertical="center" wrapText="1"/>
      <protection/>
    </xf>
    <xf numFmtId="0" fontId="2" fillId="0" borderId="119" xfId="102" applyFont="1" applyFill="1" applyBorder="1" applyAlignment="1">
      <alignment horizontal="center"/>
      <protection/>
    </xf>
    <xf numFmtId="3" fontId="4" fillId="0" borderId="119" xfId="102" applyNumberFormat="1" applyFont="1" applyFill="1" applyBorder="1" applyAlignment="1">
      <alignment horizontal="right"/>
      <protection/>
    </xf>
    <xf numFmtId="3" fontId="4" fillId="0" borderId="118" xfId="102" applyNumberFormat="1" applyFont="1" applyFill="1" applyBorder="1" applyAlignment="1">
      <alignment horizontal="right"/>
      <protection/>
    </xf>
    <xf numFmtId="0" fontId="4" fillId="0" borderId="132" xfId="102" applyFont="1" applyFill="1" applyBorder="1" applyAlignment="1">
      <alignment horizontal="center"/>
      <protection/>
    </xf>
    <xf numFmtId="3" fontId="4" fillId="0" borderId="24" xfId="102" applyNumberFormat="1" applyFont="1" applyFill="1" applyBorder="1" applyAlignment="1">
      <alignment horizontal="right"/>
      <protection/>
    </xf>
    <xf numFmtId="3" fontId="2" fillId="0" borderId="133" xfId="102" applyNumberFormat="1" applyFont="1" applyFill="1" applyBorder="1" applyAlignment="1">
      <alignment horizontal="right"/>
      <protection/>
    </xf>
    <xf numFmtId="3" fontId="4" fillId="0" borderId="98" xfId="102" applyNumberFormat="1" applyFont="1" applyFill="1" applyBorder="1" applyAlignment="1">
      <alignment horizontal="right"/>
      <protection/>
    </xf>
    <xf numFmtId="3" fontId="4" fillId="0" borderId="106" xfId="102" applyNumberFormat="1" applyFont="1" applyFill="1" applyBorder="1" applyAlignment="1">
      <alignment horizontal="right"/>
      <protection/>
    </xf>
    <xf numFmtId="3" fontId="4" fillId="0" borderId="109" xfId="102" applyNumberFormat="1" applyFont="1" applyFill="1" applyBorder="1" applyAlignment="1">
      <alignment horizontal="right"/>
      <protection/>
    </xf>
    <xf numFmtId="3" fontId="2" fillId="0" borderId="104" xfId="102" applyNumberFormat="1" applyFont="1" applyFill="1" applyBorder="1" applyAlignment="1">
      <alignment horizontal="right"/>
      <protection/>
    </xf>
    <xf numFmtId="0" fontId="2" fillId="0" borderId="75" xfId="102" applyFont="1" applyFill="1" applyBorder="1" applyAlignment="1">
      <alignment horizontal="center" wrapText="1"/>
      <protection/>
    </xf>
    <xf numFmtId="3" fontId="2" fillId="0" borderId="134" xfId="102" applyNumberFormat="1" applyFont="1" applyFill="1" applyBorder="1" applyAlignment="1">
      <alignment horizontal="right"/>
      <protection/>
    </xf>
    <xf numFmtId="3" fontId="4" fillId="0" borderId="135" xfId="102" applyNumberFormat="1" applyFont="1" applyFill="1" applyBorder="1" applyAlignment="1">
      <alignment horizontal="right"/>
      <protection/>
    </xf>
    <xf numFmtId="3" fontId="4" fillId="0" borderId="115" xfId="102" applyNumberFormat="1" applyFont="1" applyFill="1" applyBorder="1" applyAlignment="1">
      <alignment horizontal="right"/>
      <protection/>
    </xf>
    <xf numFmtId="3" fontId="2" fillId="0" borderId="136" xfId="102" applyNumberFormat="1" applyFont="1" applyFill="1" applyBorder="1" applyAlignment="1">
      <alignment horizontal="right"/>
      <protection/>
    </xf>
    <xf numFmtId="3" fontId="4" fillId="0" borderId="28" xfId="102" applyNumberFormat="1" applyFont="1" applyFill="1" applyBorder="1" applyAlignment="1">
      <alignment horizontal="right"/>
      <protection/>
    </xf>
    <xf numFmtId="3" fontId="4" fillId="0" borderId="137" xfId="102" applyNumberFormat="1" applyFont="1" applyFill="1" applyBorder="1" applyAlignment="1">
      <alignment horizontal="right"/>
      <protection/>
    </xf>
    <xf numFmtId="3" fontId="2" fillId="0" borderId="25" xfId="102" applyNumberFormat="1" applyFont="1" applyFill="1" applyBorder="1" applyAlignment="1">
      <alignment horizontal="right"/>
      <protection/>
    </xf>
    <xf numFmtId="3" fontId="2" fillId="0" borderId="23" xfId="93" applyNumberFormat="1" applyFont="1" applyFill="1" applyBorder="1" applyAlignment="1">
      <alignment horizontal="center"/>
      <protection/>
    </xf>
    <xf numFmtId="3" fontId="2" fillId="0" borderId="77" xfId="93" applyNumberFormat="1" applyFont="1" applyFill="1" applyBorder="1" applyAlignment="1">
      <alignment horizontal="center"/>
      <protection/>
    </xf>
    <xf numFmtId="0" fontId="22" fillId="0" borderId="24" xfId="94" applyFont="1" applyFill="1" applyBorder="1" applyAlignment="1">
      <alignment vertical="center" wrapText="1"/>
      <protection/>
    </xf>
    <xf numFmtId="3" fontId="9" fillId="0" borderId="133" xfId="102" applyNumberFormat="1" applyFont="1" applyFill="1" applyBorder="1" applyAlignment="1">
      <alignment horizontal="right" vertical="center"/>
      <protection/>
    </xf>
    <xf numFmtId="3" fontId="86" fillId="0" borderId="24" xfId="0" applyNumberFormat="1" applyFont="1" applyFill="1" applyBorder="1" applyAlignment="1">
      <alignment horizontal="right" wrapText="1"/>
    </xf>
    <xf numFmtId="3" fontId="86" fillId="0" borderId="122" xfId="0" applyNumberFormat="1" applyFont="1" applyFill="1" applyBorder="1" applyAlignment="1">
      <alignment horizontal="right" wrapText="1"/>
    </xf>
    <xf numFmtId="3" fontId="82" fillId="0" borderId="75" xfId="93" applyNumberFormat="1" applyFont="1" applyFill="1" applyBorder="1" applyAlignment="1">
      <alignment horizontal="right"/>
      <protection/>
    </xf>
    <xf numFmtId="3" fontId="86" fillId="0" borderId="28" xfId="0" applyNumberFormat="1" applyFont="1" applyFill="1" applyBorder="1" applyAlignment="1">
      <alignment horizontal="right" wrapText="1"/>
    </xf>
    <xf numFmtId="3" fontId="86" fillId="0" borderId="31" xfId="0" applyNumberFormat="1" applyFont="1" applyFill="1" applyBorder="1" applyAlignment="1">
      <alignment horizontal="right" wrapText="1"/>
    </xf>
    <xf numFmtId="3" fontId="82" fillId="0" borderId="98" xfId="93" applyNumberFormat="1" applyFont="1" applyFill="1" applyBorder="1" applyAlignment="1">
      <alignment horizontal="right" vertical="center"/>
      <protection/>
    </xf>
    <xf numFmtId="3" fontId="86" fillId="0" borderId="24" xfId="0" applyNumberFormat="1" applyFont="1" applyFill="1" applyBorder="1" applyAlignment="1">
      <alignment horizontal="right" vertical="center" wrapText="1"/>
    </xf>
    <xf numFmtId="3" fontId="86" fillId="0" borderId="122" xfId="0" applyNumberFormat="1" applyFont="1" applyFill="1" applyBorder="1" applyAlignment="1">
      <alignment horizontal="right" vertical="center" wrapText="1"/>
    </xf>
    <xf numFmtId="3" fontId="87" fillId="0" borderId="24" xfId="0" applyNumberFormat="1" applyFont="1" applyFill="1" applyBorder="1" applyAlignment="1">
      <alignment horizontal="right" wrapText="1"/>
    </xf>
    <xf numFmtId="3" fontId="87" fillId="0" borderId="122" xfId="0" applyNumberFormat="1" applyFont="1" applyFill="1" applyBorder="1" applyAlignment="1">
      <alignment horizontal="right" wrapText="1"/>
    </xf>
    <xf numFmtId="3" fontId="83" fillId="0" borderId="98" xfId="93" applyNumberFormat="1" applyFont="1" applyFill="1" applyBorder="1" applyAlignment="1">
      <alignment horizontal="right" vertical="center"/>
      <protection/>
    </xf>
    <xf numFmtId="3" fontId="87" fillId="0" borderId="24" xfId="0" applyNumberFormat="1" applyFont="1" applyFill="1" applyBorder="1" applyAlignment="1">
      <alignment horizontal="right" vertical="center" wrapText="1"/>
    </xf>
    <xf numFmtId="3" fontId="87" fillId="0" borderId="122" xfId="0" applyNumberFormat="1" applyFont="1" applyFill="1" applyBorder="1" applyAlignment="1">
      <alignment horizontal="right" vertical="center" wrapText="1"/>
    </xf>
    <xf numFmtId="3" fontId="87" fillId="0" borderId="28" xfId="0" applyNumberFormat="1" applyFont="1" applyFill="1" applyBorder="1" applyAlignment="1">
      <alignment horizontal="right" wrapText="1"/>
    </xf>
    <xf numFmtId="3" fontId="87" fillId="0" borderId="31" xfId="0" applyNumberFormat="1" applyFont="1" applyFill="1" applyBorder="1" applyAlignment="1">
      <alignment horizontal="right" wrapText="1"/>
    </xf>
    <xf numFmtId="3" fontId="80" fillId="0" borderId="24" xfId="93" applyNumberFormat="1" applyFont="1" applyFill="1" applyBorder="1">
      <alignment/>
      <protection/>
    </xf>
    <xf numFmtId="3" fontId="81" fillId="0" borderId="24" xfId="93" applyNumberFormat="1" applyFont="1" applyFill="1" applyBorder="1">
      <alignment/>
      <protection/>
    </xf>
    <xf numFmtId="3" fontId="81" fillId="0" borderId="122" xfId="93" applyNumberFormat="1" applyFont="1" applyFill="1" applyBorder="1">
      <alignment/>
      <protection/>
    </xf>
    <xf numFmtId="3" fontId="86" fillId="0" borderId="22" xfId="0" applyNumberFormat="1" applyFont="1" applyFill="1" applyBorder="1" applyAlignment="1">
      <alignment horizontal="right" wrapText="1"/>
    </xf>
    <xf numFmtId="3" fontId="82" fillId="0" borderId="138" xfId="0" applyNumberFormat="1" applyFont="1" applyFill="1" applyBorder="1" applyAlignment="1">
      <alignment horizontal="right"/>
    </xf>
    <xf numFmtId="3" fontId="82" fillId="0" borderId="75" xfId="0" applyNumberFormat="1" applyFont="1" applyFill="1" applyBorder="1" applyAlignment="1">
      <alignment horizontal="right"/>
    </xf>
    <xf numFmtId="3" fontId="80" fillId="0" borderId="98" xfId="102" applyNumberFormat="1" applyFont="1" applyFill="1" applyBorder="1" applyAlignment="1">
      <alignment horizontal="right"/>
      <protection/>
    </xf>
    <xf numFmtId="3" fontId="2" fillId="0" borderId="75" xfId="102" applyNumberFormat="1" applyFont="1" applyFill="1" applyBorder="1" applyAlignment="1">
      <alignment horizontal="center"/>
      <protection/>
    </xf>
    <xf numFmtId="3" fontId="12" fillId="0" borderId="139" xfId="93" applyNumberFormat="1" applyFont="1" applyFill="1" applyBorder="1" applyAlignment="1">
      <alignment horizontal="center" vertical="center"/>
      <protection/>
    </xf>
    <xf numFmtId="3" fontId="9" fillId="0" borderId="110" xfId="93" applyNumberFormat="1" applyFont="1" applyFill="1" applyBorder="1" applyAlignment="1">
      <alignment horizontal="center" vertical="center" wrapText="1"/>
      <protection/>
    </xf>
    <xf numFmtId="3" fontId="9" fillId="0" borderId="114" xfId="93" applyNumberFormat="1" applyFont="1" applyFill="1" applyBorder="1" applyAlignment="1">
      <alignment horizontal="center"/>
      <protection/>
    </xf>
    <xf numFmtId="3" fontId="82" fillId="0" borderId="115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96" applyFont="1" applyFill="1" applyBorder="1" applyAlignment="1">
      <alignment horizontal="center" vertical="center"/>
      <protection/>
    </xf>
    <xf numFmtId="0" fontId="2" fillId="0" borderId="0" xfId="96" applyFont="1" applyFill="1" applyBorder="1" applyAlignment="1">
      <alignment horizontal="center" vertical="center" wrapText="1"/>
      <protection/>
    </xf>
    <xf numFmtId="3" fontId="87" fillId="0" borderId="28" xfId="93" applyNumberFormat="1" applyFont="1" applyFill="1" applyBorder="1" applyAlignment="1">
      <alignment horizontal="left" vertical="top" wrapText="1" indent="4"/>
      <protection/>
    </xf>
    <xf numFmtId="0" fontId="2" fillId="0" borderId="17" xfId="96" applyFont="1" applyFill="1" applyBorder="1" applyAlignment="1">
      <alignment horizontal="left" vertical="center"/>
      <protection/>
    </xf>
    <xf numFmtId="0" fontId="2" fillId="0" borderId="140" xfId="94" applyFont="1" applyFill="1" applyBorder="1" applyAlignment="1">
      <alignment horizontal="left" vertical="center" wrapText="1"/>
      <protection/>
    </xf>
    <xf numFmtId="0" fontId="2" fillId="0" borderId="140" xfId="102" applyFont="1" applyFill="1" applyBorder="1" applyAlignment="1">
      <alignment horizontal="left" vertical="center" wrapText="1"/>
      <protection/>
    </xf>
    <xf numFmtId="0" fontId="2" fillId="0" borderId="140" xfId="94" applyFont="1" applyFill="1" applyBorder="1" applyAlignment="1">
      <alignment horizontal="left"/>
      <protection/>
    </xf>
    <xf numFmtId="3" fontId="4" fillId="0" borderId="141" xfId="96" applyNumberFormat="1" applyFont="1" applyFill="1" applyBorder="1" applyAlignment="1">
      <alignment horizontal="right" vertical="center"/>
      <protection/>
    </xf>
    <xf numFmtId="0" fontId="2" fillId="0" borderId="142" xfId="94" applyFont="1" applyFill="1" applyBorder="1" applyAlignment="1">
      <alignment vertical="center" wrapText="1"/>
      <protection/>
    </xf>
    <xf numFmtId="3" fontId="2" fillId="0" borderId="143" xfId="0" applyNumberFormat="1" applyFont="1" applyBorder="1" applyAlignment="1">
      <alignment horizontal="right" vertical="center" wrapText="1"/>
    </xf>
    <xf numFmtId="0" fontId="88" fillId="0" borderId="144" xfId="96" applyFont="1" applyFill="1" applyBorder="1" applyAlignment="1">
      <alignment horizontal="left" vertical="center" wrapText="1"/>
      <protection/>
    </xf>
    <xf numFmtId="3" fontId="2" fillId="0" borderId="57" xfId="0" applyNumberFormat="1" applyFont="1" applyBorder="1" applyAlignment="1">
      <alignment horizontal="right" vertical="center" wrapText="1"/>
    </xf>
    <xf numFmtId="0" fontId="2" fillId="0" borderId="144" xfId="102" applyFont="1" applyFill="1" applyBorder="1" applyAlignment="1">
      <alignment vertical="center" wrapText="1"/>
      <protection/>
    </xf>
    <xf numFmtId="0" fontId="2" fillId="0" borderId="145" xfId="96" applyFont="1" applyFill="1" applyBorder="1" applyAlignment="1">
      <alignment vertical="center" wrapText="1"/>
      <protection/>
    </xf>
    <xf numFmtId="3" fontId="2" fillId="0" borderId="141" xfId="0" applyNumberFormat="1" applyFont="1" applyBorder="1" applyAlignment="1">
      <alignment horizontal="right" vertical="center" wrapText="1"/>
    </xf>
    <xf numFmtId="0" fontId="4" fillId="0" borderId="50" xfId="96" applyFont="1" applyFill="1" applyBorder="1" applyAlignment="1">
      <alignment horizontal="center" vertical="center" wrapText="1"/>
      <protection/>
    </xf>
    <xf numFmtId="3" fontId="4" fillId="0" borderId="146" xfId="96" applyNumberFormat="1" applyFont="1" applyFill="1" applyBorder="1" applyAlignment="1">
      <alignment horizontal="right" vertical="center"/>
      <protection/>
    </xf>
    <xf numFmtId="3" fontId="82" fillId="0" borderId="122" xfId="0" applyNumberFormat="1" applyFont="1" applyFill="1" applyBorder="1" applyAlignment="1">
      <alignment horizontal="right" vertical="center" wrapText="1"/>
    </xf>
    <xf numFmtId="3" fontId="86" fillId="0" borderId="147" xfId="0" applyNumberFormat="1" applyFont="1" applyFill="1" applyBorder="1" applyAlignment="1">
      <alignment horizontal="right" wrapText="1"/>
    </xf>
    <xf numFmtId="3" fontId="2" fillId="0" borderId="106" xfId="95" applyNumberFormat="1" applyFont="1" applyFill="1" applyBorder="1" applyAlignment="1">
      <alignment horizontal="right" vertical="center" wrapText="1"/>
      <protection/>
    </xf>
    <xf numFmtId="3" fontId="2" fillId="0" borderId="24" xfId="93" applyNumberFormat="1" applyFont="1" applyFill="1" applyBorder="1" applyAlignment="1">
      <alignment shrinkToFit="1"/>
      <protection/>
    </xf>
    <xf numFmtId="3" fontId="2" fillId="0" borderId="0" xfId="0" applyNumberFormat="1" applyFont="1" applyFill="1" applyBorder="1" applyAlignment="1">
      <alignment/>
    </xf>
    <xf numFmtId="0" fontId="2" fillId="0" borderId="24" xfId="94" applyFont="1" applyBorder="1" applyAlignment="1">
      <alignment wrapText="1"/>
      <protection/>
    </xf>
    <xf numFmtId="0" fontId="2" fillId="0" borderId="92" xfId="94" applyFont="1" applyFill="1" applyBorder="1" applyAlignment="1">
      <alignment wrapText="1"/>
      <protection/>
    </xf>
    <xf numFmtId="0" fontId="2" fillId="0" borderId="92" xfId="94" applyFont="1" applyBorder="1" applyAlignment="1">
      <alignment wrapText="1"/>
      <protection/>
    </xf>
    <xf numFmtId="3" fontId="4" fillId="0" borderId="100" xfId="94" applyNumberFormat="1" applyFont="1" applyFill="1" applyBorder="1" applyAlignment="1">
      <alignment horizontal="right" vertical="center" wrapText="1"/>
      <protection/>
    </xf>
    <xf numFmtId="0" fontId="2" fillId="0" borderId="24" xfId="94" applyFont="1" applyBorder="1" applyAlignment="1">
      <alignment horizontal="left" vertical="top" wrapText="1"/>
      <protection/>
    </xf>
    <xf numFmtId="2" fontId="2" fillId="0" borderId="24" xfId="94" applyNumberFormat="1" applyFont="1" applyBorder="1" applyAlignment="1">
      <alignment wrapText="1"/>
      <protection/>
    </xf>
    <xf numFmtId="3" fontId="4" fillId="0" borderId="113" xfId="102" applyNumberFormat="1" applyFont="1" applyFill="1" applyBorder="1" applyAlignment="1">
      <alignment horizontal="right"/>
      <protection/>
    </xf>
    <xf numFmtId="3" fontId="4" fillId="0" borderId="110" xfId="94" applyNumberFormat="1" applyFont="1" applyFill="1" applyBorder="1" applyAlignment="1">
      <alignment horizontal="right"/>
      <protection/>
    </xf>
    <xf numFmtId="3" fontId="2" fillId="0" borderId="137" xfId="102" applyNumberFormat="1" applyFont="1" applyFill="1" applyBorder="1" applyAlignment="1">
      <alignment horizontal="right"/>
      <protection/>
    </xf>
    <xf numFmtId="3" fontId="80" fillId="0" borderId="92" xfId="94" applyNumberFormat="1" applyFont="1" applyFill="1" applyBorder="1" applyAlignment="1">
      <alignment horizontal="right" wrapText="1"/>
      <protection/>
    </xf>
    <xf numFmtId="3" fontId="4" fillId="0" borderId="148" xfId="102" applyNumberFormat="1" applyFont="1" applyFill="1" applyBorder="1" applyAlignment="1">
      <alignment horizontal="right"/>
      <protection/>
    </xf>
    <xf numFmtId="0" fontId="4" fillId="0" borderId="149" xfId="102" applyFont="1" applyFill="1" applyBorder="1" applyAlignment="1">
      <alignment horizontal="center" wrapText="1"/>
      <protection/>
    </xf>
    <xf numFmtId="3" fontId="4" fillId="0" borderId="118" xfId="94" applyNumberFormat="1" applyFont="1" applyFill="1" applyBorder="1" applyAlignment="1">
      <alignment horizontal="right" wrapText="1"/>
      <protection/>
    </xf>
    <xf numFmtId="3" fontId="4" fillId="0" borderId="0" xfId="94" applyNumberFormat="1" applyFont="1" applyFill="1" applyBorder="1" applyAlignment="1">
      <alignment horizontal="right" wrapText="1"/>
      <protection/>
    </xf>
    <xf numFmtId="3" fontId="4" fillId="0" borderId="38" xfId="102" applyNumberFormat="1" applyFont="1" applyFill="1" applyBorder="1" applyAlignment="1">
      <alignment horizontal="right"/>
      <protection/>
    </xf>
    <xf numFmtId="3" fontId="4" fillId="0" borderId="27" xfId="102" applyNumberFormat="1" applyFont="1" applyFill="1" applyBorder="1" applyAlignment="1">
      <alignment horizontal="right"/>
      <protection/>
    </xf>
    <xf numFmtId="0" fontId="4" fillId="0" borderId="77" xfId="102" applyFont="1" applyFill="1" applyBorder="1" applyAlignment="1">
      <alignment horizontal="center" wrapText="1"/>
      <protection/>
    </xf>
    <xf numFmtId="3" fontId="4" fillId="0" borderId="98" xfId="94" applyNumberFormat="1" applyFont="1" applyFill="1" applyBorder="1" applyAlignment="1">
      <alignment horizontal="right" wrapText="1"/>
      <protection/>
    </xf>
    <xf numFmtId="3" fontId="4" fillId="0" borderId="92" xfId="94" applyNumberFormat="1" applyFont="1" applyFill="1" applyBorder="1" applyAlignment="1">
      <alignment horizontal="right" wrapText="1"/>
      <protection/>
    </xf>
    <xf numFmtId="3" fontId="4" fillId="0" borderId="86" xfId="102" applyNumberFormat="1" applyFont="1" applyFill="1" applyBorder="1" applyAlignment="1">
      <alignment horizontal="right"/>
      <protection/>
    </xf>
    <xf numFmtId="3" fontId="4" fillId="0" borderId="29" xfId="102" applyNumberFormat="1" applyFont="1" applyFill="1" applyBorder="1" applyAlignment="1">
      <alignment horizontal="right"/>
      <protection/>
    </xf>
    <xf numFmtId="3" fontId="4" fillId="0" borderId="75" xfId="94" applyNumberFormat="1" applyFont="1" applyFill="1" applyBorder="1" applyAlignment="1">
      <alignment horizontal="right" wrapText="1"/>
      <protection/>
    </xf>
    <xf numFmtId="3" fontId="4" fillId="0" borderId="101" xfId="94" applyNumberFormat="1" applyFont="1" applyFill="1" applyBorder="1" applyAlignment="1">
      <alignment horizontal="right" wrapText="1"/>
      <protection/>
    </xf>
    <xf numFmtId="3" fontId="4" fillId="0" borderId="85" xfId="102" applyNumberFormat="1" applyFont="1" applyFill="1" applyBorder="1" applyAlignment="1">
      <alignment horizontal="right"/>
      <protection/>
    </xf>
    <xf numFmtId="0" fontId="2" fillId="0" borderId="150" xfId="102" applyFont="1" applyFill="1" applyBorder="1" applyAlignment="1">
      <alignment horizontal="center"/>
      <protection/>
    </xf>
    <xf numFmtId="0" fontId="80" fillId="0" borderId="151" xfId="94" applyFont="1" applyFill="1" applyBorder="1" applyAlignment="1">
      <alignment/>
      <protection/>
    </xf>
    <xf numFmtId="3" fontId="2" fillId="0" borderId="150" xfId="102" applyNumberFormat="1" applyFont="1" applyFill="1" applyBorder="1" applyAlignment="1">
      <alignment horizontal="right"/>
      <protection/>
    </xf>
    <xf numFmtId="3" fontId="4" fillId="0" borderId="150" xfId="102" applyNumberFormat="1" applyFont="1" applyFill="1" applyBorder="1" applyAlignment="1">
      <alignment horizontal="right"/>
      <protection/>
    </xf>
    <xf numFmtId="3" fontId="4" fillId="0" borderId="152" xfId="102" applyNumberFormat="1" applyFont="1" applyFill="1" applyBorder="1" applyAlignment="1">
      <alignment horizontal="right"/>
      <protection/>
    </xf>
    <xf numFmtId="0" fontId="4" fillId="0" borderId="153" xfId="102" applyFont="1" applyFill="1" applyBorder="1" applyAlignment="1">
      <alignment horizontal="center" wrapText="1"/>
      <protection/>
    </xf>
    <xf numFmtId="3" fontId="4" fillId="0" borderId="154" xfId="94" applyNumberFormat="1" applyFont="1" applyFill="1" applyBorder="1" applyAlignment="1">
      <alignment horizontal="right" wrapText="1"/>
      <protection/>
    </xf>
    <xf numFmtId="3" fontId="4" fillId="0" borderId="155" xfId="102" applyNumberFormat="1" applyFont="1" applyFill="1" applyBorder="1" applyAlignment="1">
      <alignment horizontal="right"/>
      <protection/>
    </xf>
    <xf numFmtId="0" fontId="4" fillId="0" borderId="156" xfId="94" applyFont="1" applyFill="1" applyBorder="1" applyAlignment="1">
      <alignment horizontal="left"/>
      <protection/>
    </xf>
    <xf numFmtId="3" fontId="4" fillId="0" borderId="156" xfId="94" applyNumberFormat="1" applyFont="1" applyFill="1" applyBorder="1" applyAlignment="1">
      <alignment horizontal="right" wrapText="1"/>
      <protection/>
    </xf>
    <xf numFmtId="0" fontId="4" fillId="0" borderId="107" xfId="102" applyFont="1" applyFill="1" applyBorder="1" applyAlignment="1">
      <alignment horizontal="center" wrapText="1"/>
      <protection/>
    </xf>
    <xf numFmtId="3" fontId="4" fillId="0" borderId="108" xfId="94" applyNumberFormat="1" applyFont="1" applyFill="1" applyBorder="1" applyAlignment="1">
      <alignment horizontal="right" wrapText="1"/>
      <protection/>
    </xf>
    <xf numFmtId="3" fontId="4" fillId="0" borderId="105" xfId="102" applyNumberFormat="1" applyFont="1" applyFill="1" applyBorder="1" applyAlignment="1">
      <alignment horizontal="right"/>
      <protection/>
    </xf>
    <xf numFmtId="0" fontId="2" fillId="0" borderId="27" xfId="102" applyFont="1" applyFill="1" applyBorder="1" applyAlignment="1">
      <alignment horizontal="center"/>
      <protection/>
    </xf>
    <xf numFmtId="3" fontId="4" fillId="0" borderId="133" xfId="102" applyNumberFormat="1" applyFont="1" applyFill="1" applyBorder="1" applyAlignment="1">
      <alignment horizontal="right"/>
      <protection/>
    </xf>
    <xf numFmtId="3" fontId="4" fillId="0" borderId="24" xfId="94" applyNumberFormat="1" applyFont="1" applyFill="1" applyBorder="1" applyAlignment="1">
      <alignment horizontal="right" wrapText="1"/>
      <protection/>
    </xf>
    <xf numFmtId="0" fontId="4" fillId="0" borderId="98" xfId="102" applyFont="1" applyFill="1" applyBorder="1" applyAlignment="1">
      <alignment horizontal="center" wrapText="1"/>
      <protection/>
    </xf>
    <xf numFmtId="3" fontId="81" fillId="0" borderId="108" xfId="94" applyNumberFormat="1" applyFont="1" applyFill="1" applyBorder="1" applyAlignment="1">
      <alignment horizontal="right" wrapText="1"/>
      <protection/>
    </xf>
    <xf numFmtId="0" fontId="80" fillId="0" borderId="24" xfId="94" applyFont="1" applyFill="1" applyBorder="1" applyAlignment="1">
      <alignment/>
      <protection/>
    </xf>
    <xf numFmtId="0" fontId="2" fillId="0" borderId="113" xfId="102" applyFont="1" applyFill="1" applyBorder="1" applyAlignment="1">
      <alignment horizontal="center"/>
      <protection/>
    </xf>
    <xf numFmtId="0" fontId="80" fillId="0" borderId="106" xfId="94" applyFont="1" applyFill="1" applyBorder="1" applyAlignment="1">
      <alignment/>
      <protection/>
    </xf>
    <xf numFmtId="0" fontId="4" fillId="0" borderId="108" xfId="102" applyFont="1" applyFill="1" applyBorder="1" applyAlignment="1">
      <alignment horizontal="center" wrapText="1"/>
      <protection/>
    </xf>
    <xf numFmtId="3" fontId="4" fillId="0" borderId="106" xfId="94" applyNumberFormat="1" applyFont="1" applyFill="1" applyBorder="1" applyAlignment="1">
      <alignment horizontal="right" wrapText="1"/>
      <protection/>
    </xf>
    <xf numFmtId="3" fontId="4" fillId="0" borderId="157" xfId="102" applyNumberFormat="1" applyFont="1" applyFill="1" applyBorder="1" applyAlignment="1">
      <alignment horizontal="right"/>
      <protection/>
    </xf>
    <xf numFmtId="0" fontId="2" fillId="0" borderId="29" xfId="102" applyFont="1" applyFill="1" applyBorder="1" applyAlignment="1">
      <alignment horizontal="center"/>
      <protection/>
    </xf>
    <xf numFmtId="0" fontId="4" fillId="0" borderId="75" xfId="102" applyFont="1" applyFill="1" applyBorder="1" applyAlignment="1">
      <alignment horizontal="center" wrapText="1"/>
      <protection/>
    </xf>
    <xf numFmtId="3" fontId="4" fillId="0" borderId="28" xfId="94" applyNumberFormat="1" applyFont="1" applyFill="1" applyBorder="1" applyAlignment="1">
      <alignment horizontal="right" wrapText="1"/>
      <protection/>
    </xf>
    <xf numFmtId="3" fontId="4" fillId="0" borderId="134" xfId="102" applyNumberFormat="1" applyFont="1" applyFill="1" applyBorder="1" applyAlignment="1">
      <alignment horizontal="right"/>
      <protection/>
    </xf>
    <xf numFmtId="0" fontId="2" fillId="0" borderId="129" xfId="102" applyFont="1" applyFill="1" applyBorder="1" applyAlignment="1">
      <alignment horizontal="center"/>
      <protection/>
    </xf>
    <xf numFmtId="0" fontId="4" fillId="0" borderId="115" xfId="102" applyFont="1" applyFill="1" applyBorder="1" applyAlignment="1">
      <alignment horizontal="center" wrapText="1"/>
      <protection/>
    </xf>
    <xf numFmtId="3" fontId="4" fillId="0" borderId="110" xfId="94" applyNumberFormat="1" applyFont="1" applyFill="1" applyBorder="1" applyAlignment="1">
      <alignment horizontal="right" wrapText="1"/>
      <protection/>
    </xf>
    <xf numFmtId="3" fontId="4" fillId="0" borderId="135" xfId="94" applyNumberFormat="1" applyFont="1" applyFill="1" applyBorder="1" applyAlignment="1">
      <alignment horizontal="right" wrapText="1"/>
      <protection/>
    </xf>
    <xf numFmtId="3" fontId="4" fillId="0" borderId="136" xfId="102" applyNumberFormat="1" applyFont="1" applyFill="1" applyBorder="1" applyAlignment="1">
      <alignment horizontal="right"/>
      <protection/>
    </xf>
    <xf numFmtId="0" fontId="2" fillId="0" borderId="148" xfId="102" applyFont="1" applyFill="1" applyBorder="1" applyAlignment="1">
      <alignment horizontal="center"/>
      <protection/>
    </xf>
    <xf numFmtId="0" fontId="4" fillId="0" borderId="118" xfId="102" applyFont="1" applyFill="1" applyBorder="1" applyAlignment="1">
      <alignment horizontal="center" wrapText="1"/>
      <protection/>
    </xf>
    <xf numFmtId="3" fontId="4" fillId="0" borderId="119" xfId="94" applyNumberFormat="1" applyFont="1" applyFill="1" applyBorder="1" applyAlignment="1">
      <alignment horizontal="right" wrapText="1"/>
      <protection/>
    </xf>
    <xf numFmtId="3" fontId="4" fillId="0" borderId="25" xfId="102" applyNumberFormat="1" applyFont="1" applyFill="1" applyBorder="1" applyAlignment="1">
      <alignment horizontal="right"/>
      <protection/>
    </xf>
    <xf numFmtId="3" fontId="81" fillId="0" borderId="119" xfId="94" applyNumberFormat="1" applyFont="1" applyFill="1" applyBorder="1" applyAlignment="1">
      <alignment horizontal="right" wrapText="1"/>
      <protection/>
    </xf>
    <xf numFmtId="0" fontId="4" fillId="0" borderId="92" xfId="94" applyFont="1" applyFill="1" applyBorder="1" applyAlignment="1">
      <alignment/>
      <protection/>
    </xf>
    <xf numFmtId="3" fontId="86" fillId="0" borderId="0" xfId="0" applyNumberFormat="1" applyFont="1" applyFill="1" applyBorder="1" applyAlignment="1">
      <alignment horizontal="right" wrapText="1"/>
    </xf>
    <xf numFmtId="3" fontId="82" fillId="0" borderId="136" xfId="0" applyNumberFormat="1" applyFont="1" applyFill="1" applyBorder="1" applyAlignment="1">
      <alignment vertical="center"/>
    </xf>
    <xf numFmtId="0" fontId="2" fillId="0" borderId="149" xfId="102" applyFont="1" applyFill="1" applyBorder="1" applyAlignment="1">
      <alignment horizontal="center" wrapText="1"/>
      <protection/>
    </xf>
    <xf numFmtId="3" fontId="9" fillId="0" borderId="158" xfId="0" applyNumberFormat="1" applyFont="1" applyFill="1" applyBorder="1" applyAlignment="1">
      <alignment horizontal="center" vertical="center" wrapText="1"/>
    </xf>
    <xf numFmtId="3" fontId="80" fillId="0" borderId="98" xfId="93" applyNumberFormat="1" applyFont="1" applyFill="1" applyBorder="1">
      <alignment/>
      <protection/>
    </xf>
    <xf numFmtId="3" fontId="12" fillId="0" borderId="75" xfId="101" applyNumberFormat="1" applyFont="1" applyBorder="1">
      <alignment/>
      <protection/>
    </xf>
    <xf numFmtId="3" fontId="6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19" fillId="0" borderId="0" xfId="0" applyFont="1" applyAlignment="1">
      <alignment/>
    </xf>
    <xf numFmtId="3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14" fillId="0" borderId="87" xfId="0" applyNumberFormat="1" applyFont="1" applyBorder="1" applyAlignment="1">
      <alignment horizontal="center" vertical="center" wrapText="1"/>
    </xf>
    <xf numFmtId="3" fontId="9" fillId="0" borderId="30" xfId="0" applyNumberFormat="1" applyFont="1" applyBorder="1" applyAlignment="1">
      <alignment horizontal="center"/>
    </xf>
    <xf numFmtId="3" fontId="9" fillId="0" borderId="28" xfId="0" applyNumberFormat="1" applyFont="1" applyBorder="1" applyAlignment="1">
      <alignment horizontal="center"/>
    </xf>
    <xf numFmtId="3" fontId="12" fillId="0" borderId="101" xfId="101" applyNumberFormat="1" applyFont="1" applyBorder="1" applyAlignment="1">
      <alignment horizontal="left"/>
      <protection/>
    </xf>
    <xf numFmtId="3" fontId="12" fillId="0" borderId="75" xfId="101" applyNumberFormat="1" applyFont="1" applyBorder="1" applyAlignment="1">
      <alignment horizontal="left"/>
      <protection/>
    </xf>
    <xf numFmtId="3" fontId="9" fillId="0" borderId="28" xfId="0" applyNumberFormat="1" applyFont="1" applyBorder="1" applyAlignment="1">
      <alignment/>
    </xf>
    <xf numFmtId="3" fontId="9" fillId="0" borderId="104" xfId="0" applyNumberFormat="1" applyFont="1" applyBorder="1" applyAlignment="1">
      <alignment/>
    </xf>
    <xf numFmtId="3" fontId="9" fillId="0" borderId="75" xfId="0" applyNumberFormat="1" applyFont="1" applyBorder="1" applyAlignment="1">
      <alignment/>
    </xf>
    <xf numFmtId="3" fontId="9" fillId="0" borderId="23" xfId="0" applyNumberFormat="1" applyFont="1" applyBorder="1" applyAlignment="1">
      <alignment horizontal="center"/>
    </xf>
    <xf numFmtId="3" fontId="9" fillId="0" borderId="24" xfId="0" applyNumberFormat="1" applyFont="1" applyBorder="1" applyAlignment="1">
      <alignment horizontal="center"/>
    </xf>
    <xf numFmtId="3" fontId="9" fillId="0" borderId="92" xfId="101" applyNumberFormat="1" applyFont="1" applyBorder="1" applyAlignment="1">
      <alignment horizontal="left"/>
      <protection/>
    </xf>
    <xf numFmtId="3" fontId="9" fillId="0" borderId="24" xfId="0" applyNumberFormat="1" applyFont="1" applyBorder="1" applyAlignment="1">
      <alignment/>
    </xf>
    <xf numFmtId="3" fontId="9" fillId="0" borderId="90" xfId="0" applyNumberFormat="1" applyFont="1" applyBorder="1" applyAlignment="1">
      <alignment/>
    </xf>
    <xf numFmtId="3" fontId="9" fillId="0" borderId="98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3" fontId="82" fillId="0" borderId="23" xfId="0" applyNumberFormat="1" applyFont="1" applyBorder="1" applyAlignment="1">
      <alignment horizontal="center" vertical="center"/>
    </xf>
    <xf numFmtId="3" fontId="82" fillId="0" borderId="24" xfId="0" applyNumberFormat="1" applyFont="1" applyBorder="1" applyAlignment="1">
      <alignment horizontal="center"/>
    </xf>
    <xf numFmtId="3" fontId="82" fillId="0" borderId="92" xfId="0" applyNumberFormat="1" applyFont="1" applyBorder="1" applyAlignment="1">
      <alignment horizontal="center"/>
    </xf>
    <xf numFmtId="3" fontId="82" fillId="0" borderId="98" xfId="101" applyNumberFormat="1" applyFont="1" applyBorder="1">
      <alignment/>
      <protection/>
    </xf>
    <xf numFmtId="3" fontId="82" fillId="0" borderId="24" xfId="0" applyNumberFormat="1" applyFont="1" applyBorder="1" applyAlignment="1">
      <alignment/>
    </xf>
    <xf numFmtId="3" fontId="82" fillId="0" borderId="90" xfId="0" applyNumberFormat="1" applyFont="1" applyBorder="1" applyAlignment="1">
      <alignment/>
    </xf>
    <xf numFmtId="3" fontId="82" fillId="0" borderId="98" xfId="0" applyNumberFormat="1" applyFont="1" applyBorder="1" applyAlignment="1">
      <alignment/>
    </xf>
    <xf numFmtId="3" fontId="82" fillId="0" borderId="0" xfId="0" applyNumberFormat="1" applyFont="1" applyAlignment="1">
      <alignment vertical="center"/>
    </xf>
    <xf numFmtId="0" fontId="89" fillId="0" borderId="0" xfId="0" applyFont="1" applyAlignment="1">
      <alignment/>
    </xf>
    <xf numFmtId="3" fontId="12" fillId="0" borderId="98" xfId="101" applyNumberFormat="1" applyFont="1" applyBorder="1" applyAlignment="1">
      <alignment horizontal="left"/>
      <protection/>
    </xf>
    <xf numFmtId="3" fontId="11" fillId="0" borderId="0" xfId="0" applyNumberFormat="1" applyFont="1" applyAlignment="1">
      <alignment vertical="top"/>
    </xf>
    <xf numFmtId="3" fontId="82" fillId="0" borderId="0" xfId="0" applyNumberFormat="1" applyFont="1" applyAlignment="1">
      <alignment vertical="top"/>
    </xf>
    <xf numFmtId="3" fontId="12" fillId="0" borderId="0" xfId="0" applyNumberFormat="1" applyFont="1" applyAlignment="1">
      <alignment vertical="top"/>
    </xf>
    <xf numFmtId="3" fontId="9" fillId="0" borderId="23" xfId="0" applyNumberFormat="1" applyFont="1" applyBorder="1" applyAlignment="1">
      <alignment horizontal="center" vertical="center"/>
    </xf>
    <xf numFmtId="3" fontId="9" fillId="0" borderId="98" xfId="101" applyNumberFormat="1" applyFont="1" applyBorder="1">
      <alignment/>
      <protection/>
    </xf>
    <xf numFmtId="0" fontId="0" fillId="0" borderId="24" xfId="0" applyBorder="1" applyAlignment="1">
      <alignment/>
    </xf>
    <xf numFmtId="0" fontId="0" fillId="0" borderId="90" xfId="0" applyBorder="1" applyAlignment="1">
      <alignment/>
    </xf>
    <xf numFmtId="0" fontId="0" fillId="0" borderId="98" xfId="0" applyBorder="1" applyAlignment="1">
      <alignment/>
    </xf>
    <xf numFmtId="3" fontId="12" fillId="0" borderId="98" xfId="101" applyNumberFormat="1" applyFont="1" applyBorder="1">
      <alignment/>
      <protection/>
    </xf>
    <xf numFmtId="3" fontId="82" fillId="0" borderId="0" xfId="0" applyNumberFormat="1" applyFont="1" applyAlignment="1">
      <alignment/>
    </xf>
    <xf numFmtId="3" fontId="9" fillId="0" borderId="0" xfId="0" applyNumberFormat="1" applyFont="1" applyAlignment="1">
      <alignment vertical="top"/>
    </xf>
    <xf numFmtId="3" fontId="83" fillId="0" borderId="0" xfId="0" applyNumberFormat="1" applyFont="1" applyAlignment="1">
      <alignment vertical="top"/>
    </xf>
    <xf numFmtId="3" fontId="12" fillId="0" borderId="22" xfId="0" applyNumberFormat="1" applyFont="1" applyBorder="1" applyAlignment="1">
      <alignment/>
    </xf>
    <xf numFmtId="3" fontId="12" fillId="0" borderId="159" xfId="0" applyNumberFormat="1" applyFont="1" applyBorder="1" applyAlignment="1">
      <alignment/>
    </xf>
    <xf numFmtId="3" fontId="12" fillId="0" borderId="138" xfId="0" applyNumberFormat="1" applyFont="1" applyBorder="1" applyAlignment="1">
      <alignment/>
    </xf>
    <xf numFmtId="3" fontId="82" fillId="0" borderId="23" xfId="0" applyNumberFormat="1" applyFont="1" applyBorder="1" applyAlignment="1">
      <alignment horizontal="center" vertical="top"/>
    </xf>
    <xf numFmtId="3" fontId="82" fillId="0" borderId="150" xfId="0" applyNumberFormat="1" applyFont="1" applyBorder="1" applyAlignment="1">
      <alignment horizontal="center"/>
    </xf>
    <xf numFmtId="3" fontId="82" fillId="0" borderId="151" xfId="0" applyNumberFormat="1" applyFont="1" applyBorder="1" applyAlignment="1">
      <alignment horizontal="center"/>
    </xf>
    <xf numFmtId="3" fontId="82" fillId="0" borderId="154" xfId="101" applyNumberFormat="1" applyFont="1" applyBorder="1" applyAlignment="1">
      <alignment horizontal="left"/>
      <protection/>
    </xf>
    <xf numFmtId="3" fontId="82" fillId="0" borderId="150" xfId="0" applyNumberFormat="1" applyFont="1" applyBorder="1" applyAlignment="1">
      <alignment/>
    </xf>
    <xf numFmtId="3" fontId="82" fillId="0" borderId="160" xfId="0" applyNumberFormat="1" applyFont="1" applyBorder="1" applyAlignment="1">
      <alignment/>
    </xf>
    <xf numFmtId="3" fontId="82" fillId="0" borderId="154" xfId="0" applyNumberFormat="1" applyFont="1" applyBorder="1" applyAlignment="1">
      <alignment/>
    </xf>
    <xf numFmtId="3" fontId="9" fillId="0" borderId="30" xfId="0" applyNumberFormat="1" applyFont="1" applyBorder="1" applyAlignment="1">
      <alignment horizontal="center" vertical="top"/>
    </xf>
    <xf numFmtId="3" fontId="82" fillId="0" borderId="106" xfId="0" applyNumberFormat="1" applyFont="1" applyBorder="1" applyAlignment="1">
      <alignment horizontal="center"/>
    </xf>
    <xf numFmtId="3" fontId="82" fillId="0" borderId="112" xfId="0" applyNumberFormat="1" applyFont="1" applyBorder="1" applyAlignment="1">
      <alignment horizontal="center"/>
    </xf>
    <xf numFmtId="3" fontId="82" fillId="0" borderId="108" xfId="101" applyNumberFormat="1" applyFont="1" applyBorder="1">
      <alignment/>
      <protection/>
    </xf>
    <xf numFmtId="3" fontId="82" fillId="0" borderId="106" xfId="0" applyNumberFormat="1" applyFont="1" applyBorder="1" applyAlignment="1">
      <alignment/>
    </xf>
    <xf numFmtId="3" fontId="82" fillId="0" borderId="109" xfId="0" applyNumberFormat="1" applyFont="1" applyBorder="1" applyAlignment="1">
      <alignment/>
    </xf>
    <xf numFmtId="3" fontId="82" fillId="0" borderId="108" xfId="0" applyNumberFormat="1" applyFont="1" applyBorder="1" applyAlignment="1">
      <alignment/>
    </xf>
    <xf numFmtId="3" fontId="9" fillId="0" borderId="24" xfId="0" applyNumberFormat="1" applyFont="1" applyBorder="1" applyAlignment="1">
      <alignment horizontal="center" vertical="top"/>
    </xf>
    <xf numFmtId="3" fontId="12" fillId="0" borderId="0" xfId="0" applyNumberFormat="1" applyFont="1" applyAlignment="1">
      <alignment vertical="center"/>
    </xf>
    <xf numFmtId="3" fontId="82" fillId="0" borderId="108" xfId="101" applyNumberFormat="1" applyFont="1" applyBorder="1" applyAlignment="1">
      <alignment horizontal="left"/>
      <protection/>
    </xf>
    <xf numFmtId="3" fontId="82" fillId="0" borderId="154" xfId="101" applyNumberFormat="1" applyFont="1" applyBorder="1">
      <alignment/>
      <protection/>
    </xf>
    <xf numFmtId="3" fontId="12" fillId="0" borderId="75" xfId="101" applyNumberFormat="1" applyFont="1" applyBorder="1" applyAlignment="1">
      <alignment wrapText="1"/>
      <protection/>
    </xf>
    <xf numFmtId="3" fontId="12" fillId="0" borderId="98" xfId="101" applyNumberFormat="1" applyFont="1" applyBorder="1" applyAlignment="1">
      <alignment wrapText="1"/>
      <protection/>
    </xf>
    <xf numFmtId="3" fontId="82" fillId="0" borderId="98" xfId="101" applyNumberFormat="1" applyFont="1" applyBorder="1" applyAlignment="1">
      <alignment horizontal="left"/>
      <protection/>
    </xf>
    <xf numFmtId="3" fontId="9" fillId="0" borderId="23" xfId="0" applyNumberFormat="1" applyFont="1" applyBorder="1" applyAlignment="1">
      <alignment horizontal="center" vertical="top"/>
    </xf>
    <xf numFmtId="0" fontId="18" fillId="0" borderId="0" xfId="0" applyFont="1" applyAlignment="1">
      <alignment/>
    </xf>
    <xf numFmtId="3" fontId="83" fillId="0" borderId="0" xfId="0" applyNumberFormat="1" applyFont="1" applyAlignment="1">
      <alignment vertical="center"/>
    </xf>
    <xf numFmtId="0" fontId="90" fillId="0" borderId="0" xfId="0" applyFont="1" applyAlignment="1">
      <alignment/>
    </xf>
    <xf numFmtId="3" fontId="82" fillId="0" borderId="124" xfId="0" applyNumberFormat="1" applyFont="1" applyBorder="1" applyAlignment="1">
      <alignment horizontal="center" vertical="center"/>
    </xf>
    <xf numFmtId="3" fontId="82" fillId="0" borderId="125" xfId="0" applyNumberFormat="1" applyFont="1" applyBorder="1" applyAlignment="1">
      <alignment horizontal="center"/>
    </xf>
    <xf numFmtId="3" fontId="82" fillId="0" borderId="161" xfId="0" applyNumberFormat="1" applyFont="1" applyBorder="1" applyAlignment="1">
      <alignment horizontal="center"/>
    </xf>
    <xf numFmtId="3" fontId="82" fillId="0" borderId="127" xfId="101" applyNumberFormat="1" applyFont="1" applyBorder="1">
      <alignment/>
      <protection/>
    </xf>
    <xf numFmtId="3" fontId="82" fillId="0" borderId="125" xfId="0" applyNumberFormat="1" applyFont="1" applyBorder="1" applyAlignment="1">
      <alignment/>
    </xf>
    <xf numFmtId="3" fontId="82" fillId="0" borderId="162" xfId="0" applyNumberFormat="1" applyFont="1" applyBorder="1" applyAlignment="1">
      <alignment/>
    </xf>
    <xf numFmtId="3" fontId="82" fillId="0" borderId="127" xfId="0" applyNumberFormat="1" applyFont="1" applyBorder="1" applyAlignment="1">
      <alignment/>
    </xf>
    <xf numFmtId="3" fontId="12" fillId="0" borderId="88" xfId="0" applyNumberFormat="1" applyFont="1" applyBorder="1" applyAlignment="1">
      <alignment/>
    </xf>
    <xf numFmtId="3" fontId="12" fillId="0" borderId="89" xfId="0" applyNumberFormat="1" applyFont="1" applyBorder="1" applyAlignment="1">
      <alignment/>
    </xf>
    <xf numFmtId="3" fontId="9" fillId="0" borderId="97" xfId="0" applyNumberFormat="1" applyFont="1" applyBorder="1" applyAlignment="1">
      <alignment/>
    </xf>
    <xf numFmtId="3" fontId="9" fillId="0" borderId="88" xfId="0" applyNumberFormat="1" applyFont="1" applyBorder="1" applyAlignment="1">
      <alignment/>
    </xf>
    <xf numFmtId="3" fontId="9" fillId="0" borderId="95" xfId="0" applyNumberFormat="1" applyFont="1" applyBorder="1" applyAlignment="1">
      <alignment horizontal="center" vertical="top"/>
    </xf>
    <xf numFmtId="3" fontId="9" fillId="0" borderId="88" xfId="0" applyNumberFormat="1" applyFont="1" applyBorder="1" applyAlignment="1">
      <alignment horizontal="center"/>
    </xf>
    <xf numFmtId="3" fontId="9" fillId="0" borderId="88" xfId="101" applyNumberFormat="1" applyFont="1" applyBorder="1" applyAlignment="1">
      <alignment wrapText="1"/>
      <protection/>
    </xf>
    <xf numFmtId="3" fontId="9" fillId="0" borderId="89" xfId="101" applyNumberFormat="1" applyFont="1" applyBorder="1" applyAlignment="1">
      <alignment wrapText="1"/>
      <protection/>
    </xf>
    <xf numFmtId="3" fontId="12" fillId="0" borderId="163" xfId="101" applyNumberFormat="1" applyFont="1" applyBorder="1" applyAlignment="1">
      <alignment wrapText="1"/>
      <protection/>
    </xf>
    <xf numFmtId="3" fontId="12" fillId="0" borderId="97" xfId="101" applyNumberFormat="1" applyFont="1" applyBorder="1" applyAlignment="1">
      <alignment wrapText="1"/>
      <protection/>
    </xf>
    <xf numFmtId="3" fontId="82" fillId="0" borderId="132" xfId="0" applyNumberFormat="1" applyFont="1" applyBorder="1" applyAlignment="1">
      <alignment horizontal="center" vertical="center"/>
    </xf>
    <xf numFmtId="3" fontId="82" fillId="0" borderId="106" xfId="101" applyNumberFormat="1" applyFont="1" applyBorder="1">
      <alignment/>
      <protection/>
    </xf>
    <xf numFmtId="3" fontId="12" fillId="0" borderId="97" xfId="0" applyNumberFormat="1" applyFont="1" applyBorder="1" applyAlignment="1">
      <alignment/>
    </xf>
    <xf numFmtId="3" fontId="82" fillId="0" borderId="125" xfId="101" applyNumberFormat="1" applyFont="1" applyBorder="1" applyAlignment="1">
      <alignment horizontal="left"/>
      <protection/>
    </xf>
    <xf numFmtId="3" fontId="0" fillId="0" borderId="0" xfId="0" applyNumberFormat="1" applyAlignment="1">
      <alignment/>
    </xf>
    <xf numFmtId="0" fontId="13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right"/>
    </xf>
    <xf numFmtId="3" fontId="9" fillId="0" borderId="87" xfId="92" applyNumberFormat="1" applyFont="1" applyBorder="1" applyAlignment="1">
      <alignment horizontal="center" vertical="center" wrapText="1"/>
      <protection/>
    </xf>
    <xf numFmtId="3" fontId="9" fillId="0" borderId="75" xfId="0" applyNumberFormat="1" applyFont="1" applyBorder="1" applyAlignment="1">
      <alignment horizontal="center"/>
    </xf>
    <xf numFmtId="3" fontId="12" fillId="0" borderId="28" xfId="101" applyNumberFormat="1" applyFont="1" applyBorder="1">
      <alignment/>
      <protection/>
    </xf>
    <xf numFmtId="3" fontId="9" fillId="0" borderId="28" xfId="101" applyNumberFormat="1" applyFont="1" applyBorder="1" applyAlignment="1">
      <alignment horizontal="center"/>
      <protection/>
    </xf>
    <xf numFmtId="3" fontId="9" fillId="0" borderId="29" xfId="0" applyNumberFormat="1" applyFont="1" applyBorder="1" applyAlignment="1">
      <alignment/>
    </xf>
    <xf numFmtId="3" fontId="12" fillId="0" borderId="78" xfId="0" applyNumberFormat="1" applyFont="1" applyBorder="1" applyAlignment="1">
      <alignment/>
    </xf>
    <xf numFmtId="3" fontId="9" fillId="0" borderId="31" xfId="0" applyNumberFormat="1" applyFont="1" applyBorder="1" applyAlignment="1">
      <alignment/>
    </xf>
    <xf numFmtId="3" fontId="9" fillId="0" borderId="98" xfId="0" applyNumberFormat="1" applyFont="1" applyBorder="1" applyAlignment="1">
      <alignment horizontal="center"/>
    </xf>
    <xf numFmtId="3" fontId="9" fillId="0" borderId="24" xfId="101" applyNumberFormat="1" applyFont="1" applyBorder="1">
      <alignment/>
      <protection/>
    </xf>
    <xf numFmtId="3" fontId="9" fillId="0" borderId="27" xfId="0" applyNumberFormat="1" applyFont="1" applyBorder="1" applyAlignment="1">
      <alignment/>
    </xf>
    <xf numFmtId="3" fontId="12" fillId="0" borderId="77" xfId="0" applyNumberFormat="1" applyFont="1" applyBorder="1" applyAlignment="1">
      <alignment/>
    </xf>
    <xf numFmtId="3" fontId="9" fillId="0" borderId="122" xfId="0" applyNumberFormat="1" applyFont="1" applyBorder="1" applyAlignment="1">
      <alignment/>
    </xf>
    <xf numFmtId="3" fontId="82" fillId="0" borderId="98" xfId="0" applyNumberFormat="1" applyFont="1" applyBorder="1" applyAlignment="1">
      <alignment horizontal="center" vertical="center"/>
    </xf>
    <xf numFmtId="3" fontId="82" fillId="0" borderId="24" xfId="101" applyNumberFormat="1" applyFont="1" applyBorder="1">
      <alignment/>
      <protection/>
    </xf>
    <xf numFmtId="3" fontId="82" fillId="0" borderId="24" xfId="0" applyNumberFormat="1" applyFont="1" applyBorder="1" applyAlignment="1">
      <alignment vertical="center"/>
    </xf>
    <xf numFmtId="3" fontId="82" fillId="0" borderId="27" xfId="0" applyNumberFormat="1" applyFont="1" applyBorder="1" applyAlignment="1">
      <alignment vertical="center"/>
    </xf>
    <xf numFmtId="3" fontId="82" fillId="0" borderId="77" xfId="0" applyNumberFormat="1" applyFont="1" applyBorder="1" applyAlignment="1">
      <alignment/>
    </xf>
    <xf numFmtId="3" fontId="82" fillId="0" borderId="24" xfId="0" applyNumberFormat="1" applyFont="1" applyBorder="1" applyAlignment="1">
      <alignment horizontal="right"/>
    </xf>
    <xf numFmtId="3" fontId="82" fillId="0" borderId="122" xfId="0" applyNumberFormat="1" applyFont="1" applyBorder="1" applyAlignment="1">
      <alignment horizontal="right"/>
    </xf>
    <xf numFmtId="3" fontId="82" fillId="0" borderId="0" xfId="0" applyNumberFormat="1" applyFont="1" applyAlignment="1">
      <alignment horizontal="right" vertical="center"/>
    </xf>
    <xf numFmtId="3" fontId="12" fillId="0" borderId="24" xfId="101" applyNumberFormat="1" applyFont="1" applyBorder="1">
      <alignment/>
      <protection/>
    </xf>
    <xf numFmtId="3" fontId="9" fillId="0" borderId="24" xfId="101" applyNumberFormat="1" applyFont="1" applyBorder="1" applyAlignment="1">
      <alignment horizontal="center"/>
      <protection/>
    </xf>
    <xf numFmtId="3" fontId="12" fillId="0" borderId="0" xfId="0" applyNumberFormat="1" applyFont="1" applyAlignment="1">
      <alignment horizontal="right" vertical="center"/>
    </xf>
    <xf numFmtId="3" fontId="82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 vertical="center"/>
    </xf>
    <xf numFmtId="3" fontId="9" fillId="0" borderId="24" xfId="0" applyNumberFormat="1" applyFont="1" applyBorder="1" applyAlignment="1">
      <alignment horizontal="right"/>
    </xf>
    <xf numFmtId="3" fontId="9" fillId="0" borderId="122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vertical="center"/>
    </xf>
    <xf numFmtId="3" fontId="15" fillId="0" borderId="164" xfId="0" applyNumberFormat="1" applyFont="1" applyBorder="1" applyAlignment="1">
      <alignment vertical="center"/>
    </xf>
    <xf numFmtId="3" fontId="15" fillId="0" borderId="79" xfId="0" applyNumberFormat="1" applyFont="1" applyBorder="1" applyAlignment="1">
      <alignment vertical="center"/>
    </xf>
    <xf numFmtId="3" fontId="15" fillId="0" borderId="147" xfId="0" applyNumberFormat="1" applyFont="1" applyBorder="1" applyAlignment="1">
      <alignment vertical="center"/>
    </xf>
    <xf numFmtId="3" fontId="15" fillId="0" borderId="0" xfId="0" applyNumberFormat="1" applyFont="1" applyAlignment="1">
      <alignment horizontal="right" vertical="center"/>
    </xf>
    <xf numFmtId="3" fontId="15" fillId="0" borderId="0" xfId="0" applyNumberFormat="1" applyFont="1" applyAlignment="1">
      <alignment vertical="center"/>
    </xf>
    <xf numFmtId="3" fontId="82" fillId="0" borderId="150" xfId="0" applyNumberFormat="1" applyFont="1" applyBorder="1" applyAlignment="1">
      <alignment horizontal="center" vertical="center"/>
    </xf>
    <xf numFmtId="3" fontId="82" fillId="0" borderId="154" xfId="0" applyNumberFormat="1" applyFont="1" applyBorder="1" applyAlignment="1">
      <alignment horizontal="center" vertical="center"/>
    </xf>
    <xf numFmtId="3" fontId="82" fillId="0" borderId="150" xfId="101" applyNumberFormat="1" applyFont="1" applyBorder="1" applyAlignment="1">
      <alignment horizontal="left"/>
      <protection/>
    </xf>
    <xf numFmtId="3" fontId="82" fillId="0" borderId="150" xfId="0" applyNumberFormat="1" applyFont="1" applyBorder="1" applyAlignment="1">
      <alignment vertical="center"/>
    </xf>
    <xf numFmtId="3" fontId="82" fillId="0" borderId="152" xfId="0" applyNumberFormat="1" applyFont="1" applyBorder="1" applyAlignment="1">
      <alignment vertical="center"/>
    </xf>
    <xf numFmtId="3" fontId="82" fillId="0" borderId="153" xfId="0" applyNumberFormat="1" applyFont="1" applyBorder="1" applyAlignment="1">
      <alignment/>
    </xf>
    <xf numFmtId="3" fontId="82" fillId="0" borderId="150" xfId="0" applyNumberFormat="1" applyFont="1" applyBorder="1" applyAlignment="1">
      <alignment horizontal="right"/>
    </xf>
    <xf numFmtId="3" fontId="82" fillId="0" borderId="165" xfId="0" applyNumberFormat="1" applyFont="1" applyBorder="1" applyAlignment="1">
      <alignment horizontal="right"/>
    </xf>
    <xf numFmtId="3" fontId="12" fillId="0" borderId="28" xfId="101" applyNumberFormat="1" applyFont="1" applyBorder="1" applyAlignment="1">
      <alignment wrapText="1"/>
      <protection/>
    </xf>
    <xf numFmtId="3" fontId="15" fillId="0" borderId="78" xfId="0" applyNumberFormat="1" applyFont="1" applyBorder="1" applyAlignment="1">
      <alignment/>
    </xf>
    <xf numFmtId="3" fontId="15" fillId="0" borderId="77" xfId="0" applyNumberFormat="1" applyFont="1" applyBorder="1" applyAlignment="1">
      <alignment/>
    </xf>
    <xf numFmtId="3" fontId="12" fillId="0" borderId="23" xfId="0" applyNumberFormat="1" applyFont="1" applyBorder="1" applyAlignment="1">
      <alignment horizontal="center" vertical="center"/>
    </xf>
    <xf numFmtId="3" fontId="12" fillId="0" borderId="98" xfId="0" applyNumberFormat="1" applyFont="1" applyBorder="1" applyAlignment="1">
      <alignment horizontal="center" vertical="center"/>
    </xf>
    <xf numFmtId="3" fontId="12" fillId="0" borderId="24" xfId="0" applyNumberFormat="1" applyFont="1" applyBorder="1" applyAlignment="1">
      <alignment vertical="center"/>
    </xf>
    <xf numFmtId="3" fontId="12" fillId="0" borderId="108" xfId="0" applyNumberFormat="1" applyFont="1" applyBorder="1" applyAlignment="1">
      <alignment horizontal="center" vertical="center"/>
    </xf>
    <xf numFmtId="3" fontId="12" fillId="0" borderId="106" xfId="0" applyNumberFormat="1" applyFont="1" applyBorder="1" applyAlignment="1">
      <alignment vertical="center"/>
    </xf>
    <xf numFmtId="3" fontId="82" fillId="0" borderId="113" xfId="0" applyNumberFormat="1" applyFont="1" applyBorder="1" applyAlignment="1">
      <alignment vertical="center"/>
    </xf>
    <xf numFmtId="3" fontId="82" fillId="0" borderId="107" xfId="0" applyNumberFormat="1" applyFont="1" applyBorder="1" applyAlignment="1">
      <alignment/>
    </xf>
    <xf numFmtId="3" fontId="82" fillId="0" borderId="106" xfId="0" applyNumberFormat="1" applyFont="1" applyBorder="1" applyAlignment="1">
      <alignment horizontal="right"/>
    </xf>
    <xf numFmtId="3" fontId="82" fillId="0" borderId="166" xfId="0" applyNumberFormat="1" applyFont="1" applyBorder="1" applyAlignment="1">
      <alignment horizontal="right"/>
    </xf>
    <xf numFmtId="3" fontId="9" fillId="0" borderId="98" xfId="0" applyNumberFormat="1" applyFont="1" applyBorder="1" applyAlignment="1">
      <alignment horizontal="center" vertical="top"/>
    </xf>
    <xf numFmtId="3" fontId="9" fillId="0" borderId="24" xfId="101" applyNumberFormat="1" applyFont="1" applyBorder="1" applyAlignment="1">
      <alignment horizontal="left"/>
      <protection/>
    </xf>
    <xf numFmtId="3" fontId="9" fillId="0" borderId="24" xfId="101" applyNumberFormat="1" applyFont="1" applyBorder="1" applyAlignment="1">
      <alignment horizontal="center" vertical="top" wrapText="1"/>
      <protection/>
    </xf>
    <xf numFmtId="3" fontId="11" fillId="0" borderId="24" xfId="0" applyNumberFormat="1" applyFont="1" applyBorder="1" applyAlignment="1">
      <alignment horizontal="right"/>
    </xf>
    <xf numFmtId="3" fontId="11" fillId="0" borderId="122" xfId="0" applyNumberFormat="1" applyFont="1" applyBorder="1" applyAlignment="1">
      <alignment horizontal="right"/>
    </xf>
    <xf numFmtId="3" fontId="9" fillId="0" borderId="101" xfId="0" applyNumberFormat="1" applyFont="1" applyBorder="1" applyAlignment="1">
      <alignment horizontal="center" vertical="top"/>
    </xf>
    <xf numFmtId="3" fontId="9" fillId="0" borderId="150" xfId="101" applyNumberFormat="1" applyFont="1" applyBorder="1" applyAlignment="1">
      <alignment horizontal="left"/>
      <protection/>
    </xf>
    <xf numFmtId="3" fontId="9" fillId="0" borderId="28" xfId="101" applyNumberFormat="1" applyFont="1" applyBorder="1" applyAlignment="1">
      <alignment horizontal="center" vertical="top" wrapText="1"/>
      <protection/>
    </xf>
    <xf numFmtId="3" fontId="9" fillId="0" borderId="28" xfId="0" applyNumberFormat="1" applyFont="1" applyBorder="1" applyAlignment="1">
      <alignment horizontal="right"/>
    </xf>
    <xf numFmtId="3" fontId="11" fillId="0" borderId="28" xfId="0" applyNumberFormat="1" applyFont="1" applyBorder="1" applyAlignment="1">
      <alignment horizontal="right"/>
    </xf>
    <xf numFmtId="3" fontId="11" fillId="0" borderId="31" xfId="0" applyNumberFormat="1" applyFont="1" applyBorder="1" applyAlignment="1">
      <alignment horizontal="right"/>
    </xf>
    <xf numFmtId="3" fontId="15" fillId="0" borderId="22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right" vertical="center"/>
    </xf>
    <xf numFmtId="3" fontId="15" fillId="0" borderId="147" xfId="0" applyNumberFormat="1" applyFont="1" applyBorder="1" applyAlignment="1">
      <alignment horizontal="right" vertical="center"/>
    </xf>
    <xf numFmtId="3" fontId="15" fillId="0" borderId="0" xfId="0" applyNumberFormat="1" applyFont="1" applyAlignment="1">
      <alignment horizontal="right" vertical="top"/>
    </xf>
    <xf numFmtId="3" fontId="15" fillId="0" borderId="0" xfId="0" applyNumberFormat="1" applyFont="1" applyAlignment="1">
      <alignment vertical="top"/>
    </xf>
    <xf numFmtId="3" fontId="12" fillId="0" borderId="150" xfId="0" applyNumberFormat="1" applyFont="1" applyBorder="1" applyAlignment="1">
      <alignment horizontal="center" vertical="center"/>
    </xf>
    <xf numFmtId="3" fontId="12" fillId="0" borderId="154" xfId="0" applyNumberFormat="1" applyFont="1" applyBorder="1" applyAlignment="1">
      <alignment horizontal="center" vertical="center"/>
    </xf>
    <xf numFmtId="3" fontId="82" fillId="0" borderId="150" xfId="101" applyNumberFormat="1" applyFont="1" applyBorder="1">
      <alignment/>
      <protection/>
    </xf>
    <xf numFmtId="3" fontId="12" fillId="0" borderId="150" xfId="0" applyNumberFormat="1" applyFont="1" applyBorder="1" applyAlignment="1">
      <alignment vertical="center"/>
    </xf>
    <xf numFmtId="3" fontId="82" fillId="0" borderId="24" xfId="101" applyNumberFormat="1" applyFont="1" applyBorder="1" applyAlignment="1">
      <alignment horizontal="left"/>
      <protection/>
    </xf>
    <xf numFmtId="3" fontId="12" fillId="0" borderId="24" xfId="101" applyNumberFormat="1" applyFont="1" applyBorder="1" applyAlignment="1">
      <alignment horizontal="center" vertical="center"/>
      <protection/>
    </xf>
    <xf numFmtId="3" fontId="83" fillId="0" borderId="0" xfId="0" applyNumberFormat="1" applyFont="1" applyAlignment="1">
      <alignment horizontal="right" vertical="center"/>
    </xf>
    <xf numFmtId="3" fontId="9" fillId="0" borderId="98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vertical="center"/>
    </xf>
    <xf numFmtId="3" fontId="12" fillId="0" borderId="92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3" fontId="9" fillId="0" borderId="27" xfId="0" applyNumberFormat="1" applyFont="1" applyBorder="1" applyAlignment="1">
      <alignment vertical="center"/>
    </xf>
    <xf numFmtId="3" fontId="12" fillId="0" borderId="24" xfId="101" applyNumberFormat="1" applyFont="1" applyBorder="1" applyAlignment="1">
      <alignment horizontal="left"/>
      <protection/>
    </xf>
    <xf numFmtId="3" fontId="11" fillId="0" borderId="23" xfId="0" applyNumberFormat="1" applyFont="1" applyBorder="1" applyAlignment="1">
      <alignment horizontal="center" vertical="top"/>
    </xf>
    <xf numFmtId="3" fontId="11" fillId="0" borderId="24" xfId="101" applyNumberFormat="1" applyFont="1" applyBorder="1" applyAlignment="1">
      <alignment horizontal="left"/>
      <protection/>
    </xf>
    <xf numFmtId="3" fontId="11" fillId="0" borderId="24" xfId="101" applyNumberFormat="1" applyFont="1" applyBorder="1" applyAlignment="1">
      <alignment horizontal="center" vertical="top" wrapText="1"/>
      <protection/>
    </xf>
    <xf numFmtId="3" fontId="11" fillId="0" borderId="27" xfId="0" applyNumberFormat="1" applyFont="1" applyBorder="1" applyAlignment="1">
      <alignment/>
    </xf>
    <xf numFmtId="3" fontId="15" fillId="0" borderId="98" xfId="0" applyNumberFormat="1" applyFont="1" applyBorder="1" applyAlignment="1">
      <alignment horizontal="center" vertical="center"/>
    </xf>
    <xf numFmtId="3" fontId="15" fillId="0" borderId="24" xfId="101" applyNumberFormat="1" applyFont="1" applyBorder="1" applyAlignment="1">
      <alignment horizontal="center" vertical="center"/>
      <protection/>
    </xf>
    <xf numFmtId="3" fontId="15" fillId="0" borderId="24" xfId="0" applyNumberFormat="1" applyFont="1" applyBorder="1" applyAlignment="1">
      <alignment vertical="center"/>
    </xf>
    <xf numFmtId="3" fontId="83" fillId="0" borderId="27" xfId="0" applyNumberFormat="1" applyFont="1" applyBorder="1" applyAlignment="1">
      <alignment vertical="center"/>
    </xf>
    <xf numFmtId="3" fontId="83" fillId="0" borderId="77" xfId="0" applyNumberFormat="1" applyFont="1" applyBorder="1" applyAlignment="1">
      <alignment/>
    </xf>
    <xf numFmtId="3" fontId="83" fillId="0" borderId="24" xfId="0" applyNumberFormat="1" applyFont="1" applyBorder="1" applyAlignment="1">
      <alignment horizontal="right"/>
    </xf>
    <xf numFmtId="3" fontId="83" fillId="0" borderId="122" xfId="0" applyNumberFormat="1" applyFont="1" applyBorder="1" applyAlignment="1">
      <alignment horizontal="right"/>
    </xf>
    <xf numFmtId="3" fontId="9" fillId="0" borderId="24" xfId="0" applyNumberFormat="1" applyFont="1" applyBorder="1" applyAlignment="1">
      <alignment vertical="top"/>
    </xf>
    <xf numFmtId="3" fontId="9" fillId="0" borderId="27" xfId="0" applyNumberFormat="1" applyFont="1" applyBorder="1" applyAlignment="1">
      <alignment vertical="top"/>
    </xf>
    <xf numFmtId="3" fontId="9" fillId="0" borderId="0" xfId="0" applyNumberFormat="1" applyFont="1" applyAlignment="1">
      <alignment horizontal="right" vertical="top"/>
    </xf>
    <xf numFmtId="3" fontId="9" fillId="0" borderId="24" xfId="101" applyNumberFormat="1" applyFont="1" applyBorder="1" applyAlignment="1">
      <alignment wrapText="1"/>
      <protection/>
    </xf>
    <xf numFmtId="3" fontId="15" fillId="0" borderId="22" xfId="101" applyNumberFormat="1" applyFont="1" applyBorder="1" applyAlignment="1">
      <alignment horizontal="center" vertical="center"/>
      <protection/>
    </xf>
    <xf numFmtId="3" fontId="15" fillId="0" borderId="159" xfId="0" applyNumberFormat="1" applyFont="1" applyBorder="1" applyAlignment="1">
      <alignment vertical="center"/>
    </xf>
    <xf numFmtId="3" fontId="15" fillId="0" borderId="138" xfId="0" applyNumberFormat="1" applyFont="1" applyBorder="1" applyAlignment="1">
      <alignment horizontal="right" vertical="center"/>
    </xf>
    <xf numFmtId="3" fontId="12" fillId="0" borderId="28" xfId="0" applyNumberFormat="1" applyFont="1" applyBorder="1" applyAlignment="1">
      <alignment horizontal="left"/>
    </xf>
    <xf numFmtId="3" fontId="12" fillId="0" borderId="124" xfId="0" applyNumberFormat="1" applyFont="1" applyBorder="1" applyAlignment="1">
      <alignment horizontal="center" vertical="center"/>
    </xf>
    <xf numFmtId="3" fontId="12" fillId="0" borderId="127" xfId="0" applyNumberFormat="1" applyFont="1" applyBorder="1" applyAlignment="1">
      <alignment horizontal="center" vertical="center"/>
    </xf>
    <xf numFmtId="3" fontId="82" fillId="0" borderId="125" xfId="101" applyNumberFormat="1" applyFont="1" applyBorder="1">
      <alignment/>
      <protection/>
    </xf>
    <xf numFmtId="3" fontId="12" fillId="0" borderId="125" xfId="0" applyNumberFormat="1" applyFont="1" applyBorder="1" applyAlignment="1">
      <alignment vertical="center"/>
    </xf>
    <xf numFmtId="3" fontId="82" fillId="0" borderId="167" xfId="0" applyNumberFormat="1" applyFont="1" applyBorder="1" applyAlignment="1">
      <alignment vertical="center"/>
    </xf>
    <xf numFmtId="3" fontId="82" fillId="0" borderId="126" xfId="0" applyNumberFormat="1" applyFont="1" applyBorder="1" applyAlignment="1">
      <alignment/>
    </xf>
    <xf numFmtId="3" fontId="82" fillId="0" borderId="125" xfId="0" applyNumberFormat="1" applyFont="1" applyBorder="1" applyAlignment="1">
      <alignment horizontal="right"/>
    </xf>
    <xf numFmtId="3" fontId="82" fillId="0" borderId="128" xfId="0" applyNumberFormat="1" applyFont="1" applyBorder="1" applyAlignment="1">
      <alignment horizontal="right"/>
    </xf>
    <xf numFmtId="3" fontId="12" fillId="0" borderId="88" xfId="101" applyNumberFormat="1" applyFont="1" applyBorder="1" applyAlignment="1">
      <alignment horizontal="center"/>
      <protection/>
    </xf>
    <xf numFmtId="3" fontId="12" fillId="0" borderId="88" xfId="0" applyNumberFormat="1" applyFont="1" applyBorder="1" applyAlignment="1">
      <alignment vertical="center"/>
    </xf>
    <xf numFmtId="3" fontId="12" fillId="0" borderId="168" xfId="0" applyNumberFormat="1" applyFont="1" applyBorder="1" applyAlignment="1">
      <alignment vertical="center"/>
    </xf>
    <xf numFmtId="3" fontId="12" fillId="0" borderId="169" xfId="0" applyNumberFormat="1" applyFont="1" applyBorder="1" applyAlignment="1">
      <alignment vertical="center"/>
    </xf>
    <xf numFmtId="3" fontId="12" fillId="0" borderId="88" xfId="0" applyNumberFormat="1" applyFont="1" applyBorder="1" applyAlignment="1">
      <alignment horizontal="right" vertical="center"/>
    </xf>
    <xf numFmtId="3" fontId="12" fillId="0" borderId="96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horizontal="right" vertical="top"/>
    </xf>
    <xf numFmtId="3" fontId="9" fillId="0" borderId="95" xfId="0" applyNumberFormat="1" applyFont="1" applyBorder="1" applyAlignment="1">
      <alignment horizontal="center"/>
    </xf>
    <xf numFmtId="3" fontId="9" fillId="0" borderId="97" xfId="0" applyNumberFormat="1" applyFont="1" applyBorder="1" applyAlignment="1">
      <alignment horizontal="center"/>
    </xf>
    <xf numFmtId="3" fontId="12" fillId="0" borderId="168" xfId="0" applyNumberFormat="1" applyFont="1" applyBorder="1" applyAlignment="1">
      <alignment/>
    </xf>
    <xf numFmtId="3" fontId="12" fillId="0" borderId="163" xfId="0" applyNumberFormat="1" applyFont="1" applyBorder="1" applyAlignment="1">
      <alignment/>
    </xf>
    <xf numFmtId="3" fontId="12" fillId="0" borderId="88" xfId="0" applyNumberFormat="1" applyFont="1" applyBorder="1" applyAlignment="1">
      <alignment horizontal="right"/>
    </xf>
    <xf numFmtId="3" fontId="12" fillId="0" borderId="168" xfId="0" applyNumberFormat="1" applyFont="1" applyBorder="1" applyAlignment="1">
      <alignment horizontal="right"/>
    </xf>
    <xf numFmtId="3" fontId="12" fillId="0" borderId="169" xfId="0" applyNumberFormat="1" applyFont="1" applyBorder="1" applyAlignment="1">
      <alignment horizontal="right"/>
    </xf>
    <xf numFmtId="3" fontId="12" fillId="0" borderId="96" xfId="0" applyNumberFormat="1" applyFont="1" applyBorder="1" applyAlignment="1">
      <alignment horizontal="right"/>
    </xf>
    <xf numFmtId="3" fontId="9" fillId="0" borderId="27" xfId="101" applyNumberFormat="1" applyFont="1" applyBorder="1">
      <alignment/>
      <protection/>
    </xf>
    <xf numFmtId="3" fontId="12" fillId="0" borderId="0" xfId="0" applyNumberFormat="1" applyFont="1" applyAlignment="1">
      <alignment/>
    </xf>
    <xf numFmtId="3" fontId="12" fillId="0" borderId="24" xfId="0" applyNumberFormat="1" applyFont="1" applyBorder="1" applyAlignment="1">
      <alignment horizontal="center"/>
    </xf>
    <xf numFmtId="3" fontId="82" fillId="0" borderId="27" xfId="101" applyNumberFormat="1" applyFont="1" applyBorder="1">
      <alignment/>
      <protection/>
    </xf>
    <xf numFmtId="3" fontId="12" fillId="0" borderId="24" xfId="0" applyNumberFormat="1" applyFont="1" applyBorder="1" applyAlignment="1">
      <alignment/>
    </xf>
    <xf numFmtId="3" fontId="11" fillId="0" borderId="23" xfId="0" applyNumberFormat="1" applyFont="1" applyBorder="1" applyAlignment="1">
      <alignment horizontal="center"/>
    </xf>
    <xf numFmtId="3" fontId="11" fillId="0" borderId="24" xfId="0" applyNumberFormat="1" applyFont="1" applyBorder="1" applyAlignment="1">
      <alignment horizontal="center"/>
    </xf>
    <xf numFmtId="3" fontId="11" fillId="0" borderId="24" xfId="101" applyNumberFormat="1" applyFont="1" applyBorder="1" applyAlignment="1">
      <alignment horizontal="center"/>
      <protection/>
    </xf>
    <xf numFmtId="3" fontId="11" fillId="0" borderId="122" xfId="0" applyNumberFormat="1" applyFont="1" applyBorder="1" applyAlignment="1">
      <alignment/>
    </xf>
    <xf numFmtId="3" fontId="15" fillId="0" borderId="0" xfId="0" applyNumberFormat="1" applyFont="1" applyAlignment="1">
      <alignment horizontal="right"/>
    </xf>
    <xf numFmtId="3" fontId="15" fillId="0" borderId="0" xfId="0" applyNumberFormat="1" applyFont="1" applyAlignment="1">
      <alignment/>
    </xf>
    <xf numFmtId="3" fontId="15" fillId="0" borderId="24" xfId="0" applyNumberFormat="1" applyFont="1" applyBorder="1" applyAlignment="1">
      <alignment horizontal="center"/>
    </xf>
    <xf numFmtId="3" fontId="83" fillId="0" borderId="27" xfId="101" applyNumberFormat="1" applyFont="1" applyBorder="1">
      <alignment/>
      <protection/>
    </xf>
    <xf numFmtId="3" fontId="15" fillId="0" borderId="24" xfId="0" applyNumberFormat="1" applyFont="1" applyBorder="1" applyAlignment="1">
      <alignment/>
    </xf>
    <xf numFmtId="3" fontId="83" fillId="0" borderId="0" xfId="0" applyNumberFormat="1" applyFont="1" applyAlignment="1">
      <alignment horizontal="right"/>
    </xf>
    <xf numFmtId="3" fontId="83" fillId="0" borderId="0" xfId="0" applyNumberFormat="1" applyFont="1" applyAlignment="1">
      <alignment/>
    </xf>
    <xf numFmtId="3" fontId="9" fillId="0" borderId="24" xfId="0" applyNumberFormat="1" applyFont="1" applyBorder="1" applyAlignment="1">
      <alignment horizontal="right" vertical="center"/>
    </xf>
    <xf numFmtId="3" fontId="12" fillId="0" borderId="24" xfId="0" applyNumberFormat="1" applyFont="1" applyBorder="1" applyAlignment="1">
      <alignment horizontal="right" vertical="center"/>
    </xf>
    <xf numFmtId="3" fontId="12" fillId="0" borderId="122" xfId="0" applyNumberFormat="1" applyFont="1" applyBorder="1" applyAlignment="1">
      <alignment horizontal="right" vertical="center"/>
    </xf>
    <xf numFmtId="3" fontId="12" fillId="0" borderId="24" xfId="101" applyNumberFormat="1" applyFont="1" applyBorder="1" applyAlignment="1">
      <alignment horizontal="center"/>
      <protection/>
    </xf>
    <xf numFmtId="3" fontId="82" fillId="0" borderId="24" xfId="0" applyNumberFormat="1" applyFont="1" applyBorder="1" applyAlignment="1">
      <alignment horizontal="right" vertical="center"/>
    </xf>
    <xf numFmtId="3" fontId="82" fillId="0" borderId="122" xfId="0" applyNumberFormat="1" applyFont="1" applyBorder="1" applyAlignment="1">
      <alignment horizontal="right" vertical="center"/>
    </xf>
    <xf numFmtId="3" fontId="9" fillId="0" borderId="24" xfId="101" applyNumberFormat="1" applyFont="1" applyBorder="1" applyAlignment="1">
      <alignment vertical="top" wrapText="1"/>
      <protection/>
    </xf>
    <xf numFmtId="3" fontId="9" fillId="0" borderId="27" xfId="101" applyNumberFormat="1" applyFont="1" applyBorder="1" applyAlignment="1">
      <alignment wrapText="1"/>
      <protection/>
    </xf>
    <xf numFmtId="3" fontId="9" fillId="0" borderId="27" xfId="101" applyNumberFormat="1" applyFont="1" applyBorder="1" applyAlignment="1">
      <alignment vertical="top" wrapText="1"/>
      <protection/>
    </xf>
    <xf numFmtId="3" fontId="11" fillId="0" borderId="27" xfId="101" applyNumberFormat="1" applyFont="1" applyBorder="1">
      <alignment/>
      <protection/>
    </xf>
    <xf numFmtId="3" fontId="12" fillId="0" borderId="92" xfId="0" applyNumberFormat="1" applyFont="1" applyBorder="1" applyAlignment="1">
      <alignment horizontal="center" vertical="center"/>
    </xf>
    <xf numFmtId="3" fontId="86" fillId="0" borderId="24" xfId="0" applyNumberFormat="1" applyFont="1" applyBorder="1" applyAlignment="1">
      <alignment horizontal="center"/>
    </xf>
    <xf numFmtId="3" fontId="86" fillId="0" borderId="27" xfId="101" applyNumberFormat="1" applyFont="1" applyBorder="1" applyAlignment="1">
      <alignment horizontal="left" wrapText="1"/>
      <protection/>
    </xf>
    <xf numFmtId="3" fontId="86" fillId="0" borderId="24" xfId="101" applyNumberFormat="1" applyFont="1" applyBorder="1" applyAlignment="1">
      <alignment horizontal="center"/>
      <protection/>
    </xf>
    <xf numFmtId="3" fontId="86" fillId="0" borderId="24" xfId="0" applyNumberFormat="1" applyFont="1" applyBorder="1" applyAlignment="1">
      <alignment vertical="center"/>
    </xf>
    <xf numFmtId="3" fontId="86" fillId="0" borderId="27" xfId="0" applyNumberFormat="1" applyFont="1" applyBorder="1" applyAlignment="1">
      <alignment vertical="center"/>
    </xf>
    <xf numFmtId="3" fontId="86" fillId="0" borderId="0" xfId="0" applyNumberFormat="1" applyFont="1" applyAlignment="1">
      <alignment horizontal="right" vertical="center"/>
    </xf>
    <xf numFmtId="3" fontId="86" fillId="0" borderId="0" xfId="0" applyNumberFormat="1" applyFont="1" applyAlignment="1">
      <alignment vertical="center"/>
    </xf>
    <xf numFmtId="3" fontId="9" fillId="0" borderId="132" xfId="0" applyNumberFormat="1" applyFont="1" applyBorder="1" applyAlignment="1">
      <alignment/>
    </xf>
    <xf numFmtId="3" fontId="12" fillId="0" borderId="22" xfId="101" applyNumberFormat="1" applyFont="1" applyBorder="1" applyAlignment="1">
      <alignment horizontal="center" vertical="center"/>
      <protection/>
    </xf>
    <xf numFmtId="3" fontId="82" fillId="0" borderId="127" xfId="0" applyNumberFormat="1" applyFont="1" applyBorder="1" applyAlignment="1">
      <alignment horizontal="center" vertical="center"/>
    </xf>
    <xf numFmtId="3" fontId="82" fillId="0" borderId="167" xfId="101" applyNumberFormat="1" applyFont="1" applyBorder="1">
      <alignment/>
      <protection/>
    </xf>
    <xf numFmtId="3" fontId="82" fillId="0" borderId="125" xfId="101" applyNumberFormat="1" applyFont="1" applyBorder="1" applyAlignment="1">
      <alignment horizontal="center"/>
      <protection/>
    </xf>
    <xf numFmtId="3" fontId="82" fillId="0" borderId="125" xfId="0" applyNumberFormat="1" applyFont="1" applyBorder="1" applyAlignment="1">
      <alignment vertical="center"/>
    </xf>
    <xf numFmtId="3" fontId="82" fillId="0" borderId="125" xfId="0" applyNumberFormat="1" applyFont="1" applyBorder="1" applyAlignment="1">
      <alignment horizontal="right" vertical="center"/>
    </xf>
    <xf numFmtId="3" fontId="9" fillId="0" borderId="88" xfId="101" applyNumberFormat="1" applyFont="1" applyBorder="1" applyAlignment="1">
      <alignment horizontal="center" vertical="center"/>
      <protection/>
    </xf>
    <xf numFmtId="3" fontId="15" fillId="0" borderId="88" xfId="0" applyNumberFormat="1" applyFont="1" applyBorder="1" applyAlignment="1">
      <alignment vertical="center"/>
    </xf>
    <xf numFmtId="3" fontId="15" fillId="0" borderId="169" xfId="0" applyNumberFormat="1" applyFont="1" applyBorder="1" applyAlignment="1">
      <alignment vertical="center"/>
    </xf>
    <xf numFmtId="3" fontId="15" fillId="0" borderId="96" xfId="0" applyNumberFormat="1" applyFont="1" applyBorder="1" applyAlignment="1">
      <alignment vertical="center"/>
    </xf>
    <xf numFmtId="3" fontId="82" fillId="0" borderId="128" xfId="0" applyNumberFormat="1" applyFont="1" applyBorder="1" applyAlignment="1">
      <alignment horizontal="right" vertical="center"/>
    </xf>
    <xf numFmtId="3" fontId="12" fillId="0" borderId="88" xfId="0" applyNumberFormat="1" applyFont="1" applyBorder="1" applyAlignment="1">
      <alignment horizontal="center" vertical="center"/>
    </xf>
    <xf numFmtId="3" fontId="12" fillId="0" borderId="168" xfId="0" applyNumberFormat="1" applyFont="1" applyBorder="1" applyAlignment="1">
      <alignment horizontal="right" vertical="center"/>
    </xf>
    <xf numFmtId="3" fontId="12" fillId="0" borderId="169" xfId="0" applyNumberFormat="1" applyFont="1" applyBorder="1" applyAlignment="1">
      <alignment horizontal="right" vertical="center"/>
    </xf>
    <xf numFmtId="3" fontId="9" fillId="0" borderId="27" xfId="0" applyNumberFormat="1" applyFont="1" applyBorder="1" applyAlignment="1">
      <alignment horizontal="right" vertical="center"/>
    </xf>
    <xf numFmtId="3" fontId="12" fillId="0" borderId="77" xfId="0" applyNumberFormat="1" applyFont="1" applyBorder="1" applyAlignment="1">
      <alignment horizontal="right" vertical="center"/>
    </xf>
    <xf numFmtId="3" fontId="9" fillId="0" borderId="122" xfId="0" applyNumberFormat="1" applyFont="1" applyBorder="1" applyAlignment="1">
      <alignment vertical="center"/>
    </xf>
    <xf numFmtId="3" fontId="83" fillId="0" borderId="23" xfId="0" applyNumberFormat="1" applyFont="1" applyBorder="1" applyAlignment="1">
      <alignment horizontal="left" vertical="center" wrapText="1"/>
    </xf>
    <xf numFmtId="3" fontId="83" fillId="0" borderId="98" xfId="0" applyNumberFormat="1" applyFont="1" applyBorder="1" applyAlignment="1">
      <alignment horizontal="left" vertical="center" wrapText="1"/>
    </xf>
    <xf numFmtId="3" fontId="83" fillId="0" borderId="24" xfId="0" applyNumberFormat="1" applyFont="1" applyBorder="1" applyAlignment="1">
      <alignment horizontal="left" vertical="center" wrapText="1"/>
    </xf>
    <xf numFmtId="3" fontId="83" fillId="0" borderId="24" xfId="0" applyNumberFormat="1" applyFont="1" applyBorder="1" applyAlignment="1">
      <alignment horizontal="right" vertical="center"/>
    </xf>
    <xf numFmtId="3" fontId="83" fillId="0" borderId="90" xfId="0" applyNumberFormat="1" applyFont="1" applyBorder="1" applyAlignment="1">
      <alignment horizontal="right" vertical="center"/>
    </xf>
    <xf numFmtId="3" fontId="9" fillId="0" borderId="24" xfId="0" applyNumberFormat="1" applyFont="1" applyBorder="1" applyAlignment="1">
      <alignment horizontal="center" vertical="center" wrapText="1"/>
    </xf>
    <xf numFmtId="3" fontId="15" fillId="0" borderId="77" xfId="0" applyNumberFormat="1" applyFont="1" applyBorder="1" applyAlignment="1">
      <alignment horizontal="right" vertical="center"/>
    </xf>
    <xf numFmtId="3" fontId="9" fillId="0" borderId="122" xfId="0" applyNumberFormat="1" applyFont="1" applyBorder="1" applyAlignment="1">
      <alignment horizontal="right" vertical="center"/>
    </xf>
    <xf numFmtId="3" fontId="83" fillId="0" borderId="27" xfId="0" applyNumberFormat="1" applyFont="1" applyBorder="1" applyAlignment="1">
      <alignment horizontal="right" vertical="center"/>
    </xf>
    <xf numFmtId="3" fontId="82" fillId="0" borderId="77" xfId="0" applyNumberFormat="1" applyFont="1" applyBorder="1" applyAlignment="1">
      <alignment horizontal="right" vertical="center"/>
    </xf>
    <xf numFmtId="3" fontId="9" fillId="0" borderId="24" xfId="0" applyNumberFormat="1" applyFont="1" applyBorder="1" applyAlignment="1">
      <alignment horizontal="right" vertical="top"/>
    </xf>
    <xf numFmtId="3" fontId="9" fillId="0" borderId="27" xfId="0" applyNumberFormat="1" applyFont="1" applyBorder="1" applyAlignment="1">
      <alignment horizontal="right" vertical="top"/>
    </xf>
    <xf numFmtId="3" fontId="83" fillId="0" borderId="124" xfId="0" applyNumberFormat="1" applyFont="1" applyBorder="1" applyAlignment="1">
      <alignment horizontal="left" vertical="center" wrapText="1"/>
    </xf>
    <xf numFmtId="3" fontId="83" fillId="0" borderId="127" xfId="0" applyNumberFormat="1" applyFont="1" applyBorder="1" applyAlignment="1">
      <alignment horizontal="left" vertical="center" wrapText="1"/>
    </xf>
    <xf numFmtId="3" fontId="83" fillId="0" borderId="125" xfId="0" applyNumberFormat="1" applyFont="1" applyBorder="1" applyAlignment="1">
      <alignment horizontal="left" vertical="center" wrapText="1"/>
    </xf>
    <xf numFmtId="3" fontId="83" fillId="0" borderId="125" xfId="0" applyNumberFormat="1" applyFont="1" applyBorder="1" applyAlignment="1">
      <alignment horizontal="right" vertical="center"/>
    </xf>
    <xf numFmtId="3" fontId="83" fillId="0" borderId="167" xfId="0" applyNumberFormat="1" applyFont="1" applyBorder="1" applyAlignment="1">
      <alignment horizontal="right" vertical="center"/>
    </xf>
    <xf numFmtId="3" fontId="82" fillId="0" borderId="126" xfId="0" applyNumberFormat="1" applyFont="1" applyBorder="1" applyAlignment="1">
      <alignment horizontal="right" vertical="center"/>
    </xf>
    <xf numFmtId="3" fontId="6" fillId="0" borderId="72" xfId="0" applyNumberFormat="1" applyFont="1" applyBorder="1" applyAlignment="1">
      <alignment/>
    </xf>
    <xf numFmtId="3" fontId="9" fillId="0" borderId="72" xfId="0" applyNumberFormat="1" applyFont="1" applyBorder="1" applyAlignment="1">
      <alignment/>
    </xf>
    <xf numFmtId="3" fontId="9" fillId="0" borderId="72" xfId="0" applyNumberFormat="1" applyFont="1" applyBorder="1" applyAlignment="1">
      <alignment horizontal="center"/>
    </xf>
    <xf numFmtId="3" fontId="9" fillId="0" borderId="72" xfId="0" applyNumberFormat="1" applyFont="1" applyBorder="1" applyAlignment="1">
      <alignment horizontal="right"/>
    </xf>
    <xf numFmtId="3" fontId="12" fillId="0" borderId="72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2" fillId="0" borderId="109" xfId="102" applyNumberFormat="1" applyFont="1" applyFill="1" applyBorder="1" applyAlignment="1">
      <alignment horizontal="right"/>
      <protection/>
    </xf>
    <xf numFmtId="0" fontId="2" fillId="0" borderId="0" xfId="100" applyFont="1" applyAlignment="1">
      <alignment horizontal="center" vertical="center"/>
      <protection/>
    </xf>
    <xf numFmtId="0" fontId="2" fillId="0" borderId="0" xfId="100" applyFont="1">
      <alignment/>
      <protection/>
    </xf>
    <xf numFmtId="0" fontId="2" fillId="0" borderId="0" xfId="100" applyFont="1" applyAlignment="1">
      <alignment vertical="center"/>
      <protection/>
    </xf>
    <xf numFmtId="0" fontId="2" fillId="0" borderId="0" xfId="97" applyFont="1" applyAlignment="1">
      <alignment horizontal="center" vertical="center"/>
      <protection/>
    </xf>
    <xf numFmtId="0" fontId="2" fillId="0" borderId="0" xfId="97" applyFont="1" applyAlignment="1">
      <alignment horizontal="center"/>
      <protection/>
    </xf>
    <xf numFmtId="0" fontId="2" fillId="0" borderId="0" xfId="97" applyFont="1">
      <alignment/>
      <protection/>
    </xf>
    <xf numFmtId="0" fontId="2" fillId="0" borderId="24" xfId="94" applyFont="1" applyFill="1" applyBorder="1" applyAlignment="1">
      <alignment vertical="top" shrinkToFit="1"/>
      <protection/>
    </xf>
    <xf numFmtId="3" fontId="2" fillId="12" borderId="0" xfId="95" applyNumberFormat="1" applyFont="1" applyFill="1">
      <alignment/>
      <protection/>
    </xf>
    <xf numFmtId="14" fontId="2" fillId="0" borderId="104" xfId="95" applyNumberFormat="1" applyFont="1" applyFill="1" applyBorder="1" applyAlignment="1">
      <alignment horizontal="center" vertical="center" wrapText="1"/>
      <protection/>
    </xf>
    <xf numFmtId="3" fontId="2" fillId="0" borderId="98" xfId="95" applyNumberFormat="1" applyFont="1" applyFill="1" applyBorder="1" applyAlignment="1">
      <alignment horizontal="center" vertical="center" wrapText="1"/>
      <protection/>
    </xf>
    <xf numFmtId="3" fontId="2" fillId="0" borderId="170" xfId="95" applyNumberFormat="1" applyFont="1" applyBorder="1" applyAlignment="1">
      <alignment horizontal="right" vertical="center" wrapText="1"/>
      <protection/>
    </xf>
    <xf numFmtId="3" fontId="2" fillId="0" borderId="27" xfId="95" applyNumberFormat="1" applyFont="1" applyBorder="1" applyAlignment="1">
      <alignment horizontal="right" vertical="center" wrapText="1"/>
      <protection/>
    </xf>
    <xf numFmtId="3" fontId="2" fillId="0" borderId="27" xfId="95" applyNumberFormat="1" applyFont="1" applyFill="1" applyBorder="1" applyAlignment="1">
      <alignment horizontal="right" vertical="center" wrapText="1"/>
      <protection/>
    </xf>
    <xf numFmtId="3" fontId="2" fillId="0" borderId="29" xfId="95" applyNumberFormat="1" applyFont="1" applyBorder="1" applyAlignment="1">
      <alignment horizontal="right" vertical="center" wrapText="1"/>
      <protection/>
    </xf>
    <xf numFmtId="3" fontId="2" fillId="0" borderId="113" xfId="95" applyNumberFormat="1" applyFont="1" applyBorder="1" applyAlignment="1">
      <alignment horizontal="right" vertical="center" wrapText="1"/>
      <protection/>
    </xf>
    <xf numFmtId="3" fontId="2" fillId="0" borderId="171" xfId="95" applyNumberFormat="1" applyFont="1" applyBorder="1" applyAlignment="1">
      <alignment horizontal="center" vertical="center" wrapText="1"/>
      <protection/>
    </xf>
    <xf numFmtId="3" fontId="2" fillId="0" borderId="172" xfId="95" applyNumberFormat="1" applyFont="1" applyBorder="1" applyAlignment="1">
      <alignment horizontal="center" vertical="center" wrapText="1"/>
      <protection/>
    </xf>
    <xf numFmtId="3" fontId="9" fillId="0" borderId="0" xfId="95" applyNumberFormat="1" applyFont="1" applyFill="1">
      <alignment/>
      <protection/>
    </xf>
    <xf numFmtId="3" fontId="9" fillId="0" borderId="0" xfId="95" applyNumberFormat="1" applyFont="1" applyFill="1" applyAlignment="1">
      <alignment horizontal="center"/>
      <protection/>
    </xf>
    <xf numFmtId="0" fontId="2" fillId="0" borderId="44" xfId="95" applyNumberFormat="1" applyFont="1" applyFill="1" applyBorder="1" applyAlignment="1">
      <alignment horizontal="center" vertical="center" wrapText="1"/>
      <protection/>
    </xf>
    <xf numFmtId="0" fontId="2" fillId="0" borderId="171" xfId="95" applyNumberFormat="1" applyFont="1" applyFill="1" applyBorder="1" applyAlignment="1">
      <alignment horizontal="center" vertical="center" wrapText="1"/>
      <protection/>
    </xf>
    <xf numFmtId="3" fontId="2" fillId="0" borderId="120" xfId="95" applyNumberFormat="1" applyFont="1" applyFill="1" applyBorder="1" applyAlignment="1">
      <alignment horizontal="center" vertical="center" wrapText="1"/>
      <protection/>
    </xf>
    <xf numFmtId="3" fontId="2" fillId="0" borderId="102" xfId="95" applyNumberFormat="1" applyFont="1" applyFill="1" applyBorder="1" applyAlignment="1">
      <alignment horizontal="center" vertical="center" wrapText="1"/>
      <protection/>
    </xf>
    <xf numFmtId="0" fontId="2" fillId="0" borderId="93" xfId="95" applyNumberFormat="1" applyFont="1" applyFill="1" applyBorder="1" applyAlignment="1">
      <alignment horizontal="center" vertical="center" wrapText="1"/>
      <protection/>
    </xf>
    <xf numFmtId="0" fontId="2" fillId="0" borderId="172" xfId="95" applyNumberFormat="1" applyFont="1" applyFill="1" applyBorder="1" applyAlignment="1">
      <alignment horizontal="center" vertical="center" wrapText="1"/>
      <protection/>
    </xf>
    <xf numFmtId="3" fontId="2" fillId="0" borderId="91" xfId="95" applyNumberFormat="1" applyFont="1" applyFill="1" applyBorder="1" applyAlignment="1">
      <alignment horizontal="center" vertical="center" wrapText="1"/>
      <protection/>
    </xf>
    <xf numFmtId="3" fontId="2" fillId="0" borderId="98" xfId="95" applyNumberFormat="1" applyFont="1" applyFill="1" applyBorder="1" applyAlignment="1">
      <alignment horizontal="right" vertical="center" wrapText="1"/>
      <protection/>
    </xf>
    <xf numFmtId="3" fontId="2" fillId="0" borderId="28" xfId="95" applyNumberFormat="1" applyFont="1" applyFill="1" applyBorder="1" applyAlignment="1">
      <alignment horizontal="right" vertical="center" wrapText="1"/>
      <protection/>
    </xf>
    <xf numFmtId="3" fontId="82" fillId="0" borderId="24" xfId="0" applyNumberFormat="1" applyFont="1" applyFill="1" applyBorder="1" applyAlignment="1">
      <alignment horizontal="right"/>
    </xf>
    <xf numFmtId="3" fontId="2" fillId="0" borderId="106" xfId="95" applyNumberFormat="1" applyFont="1" applyBorder="1" applyAlignment="1">
      <alignment horizontal="center" vertical="top" wrapText="1"/>
      <protection/>
    </xf>
    <xf numFmtId="3" fontId="2" fillId="0" borderId="166" xfId="95" applyNumberFormat="1" applyFont="1" applyFill="1" applyBorder="1" applyAlignment="1">
      <alignment horizontal="right" vertical="center" wrapText="1"/>
      <protection/>
    </xf>
    <xf numFmtId="3" fontId="2" fillId="0" borderId="92" xfId="95" applyNumberFormat="1" applyFont="1" applyBorder="1" applyAlignment="1">
      <alignment horizontal="right" vertical="center" wrapText="1"/>
      <protection/>
    </xf>
    <xf numFmtId="3" fontId="22" fillId="0" borderId="24" xfId="95" applyNumberFormat="1" applyFont="1" applyBorder="1" applyAlignment="1">
      <alignment horizontal="left"/>
      <protection/>
    </xf>
    <xf numFmtId="3" fontId="2" fillId="0" borderId="81" xfId="95" applyNumberFormat="1" applyFont="1" applyBorder="1" applyAlignment="1">
      <alignment horizontal="center" wrapText="1"/>
      <protection/>
    </xf>
    <xf numFmtId="3" fontId="2" fillId="0" borderId="24" xfId="95" applyNumberFormat="1" applyFont="1" applyBorder="1" applyAlignment="1">
      <alignment horizontal="center" wrapText="1"/>
      <protection/>
    </xf>
    <xf numFmtId="3" fontId="2" fillId="0" borderId="92" xfId="95" applyNumberFormat="1" applyFont="1" applyBorder="1" applyAlignment="1">
      <alignment horizontal="center" vertical="center" wrapText="1"/>
      <protection/>
    </xf>
    <xf numFmtId="3" fontId="2" fillId="0" borderId="77" xfId="95" applyNumberFormat="1" applyFont="1" applyBorder="1" applyAlignment="1">
      <alignment horizontal="center" vertical="center" wrapText="1"/>
      <protection/>
    </xf>
    <xf numFmtId="3" fontId="2" fillId="0" borderId="98" xfId="95" applyNumberFormat="1" applyFont="1" applyBorder="1" applyAlignment="1">
      <alignment horizontal="center" vertical="center" wrapText="1"/>
      <protection/>
    </xf>
    <xf numFmtId="0" fontId="2" fillId="0" borderId="24" xfId="95" applyNumberFormat="1" applyFont="1" applyBorder="1" applyAlignment="1">
      <alignment horizontal="center" vertical="center" wrapText="1"/>
      <protection/>
    </xf>
    <xf numFmtId="0" fontId="2" fillId="0" borderId="24" xfId="95" applyNumberFormat="1" applyFont="1" applyFill="1" applyBorder="1" applyAlignment="1">
      <alignment horizontal="center" vertical="center" wrapText="1"/>
      <protection/>
    </xf>
    <xf numFmtId="0" fontId="2" fillId="0" borderId="27" xfId="95" applyNumberFormat="1" applyFont="1" applyBorder="1" applyAlignment="1">
      <alignment horizontal="center" vertical="center" wrapText="1"/>
      <protection/>
    </xf>
    <xf numFmtId="3" fontId="2" fillId="0" borderId="27" xfId="95" applyNumberFormat="1" applyFont="1" applyBorder="1" applyAlignment="1">
      <alignment horizontal="center" vertical="center" wrapText="1"/>
      <protection/>
    </xf>
    <xf numFmtId="3" fontId="4" fillId="0" borderId="99" xfId="95" applyNumberFormat="1" applyFont="1" applyFill="1" applyBorder="1" applyAlignment="1">
      <alignment horizontal="right" vertical="center"/>
      <protection/>
    </xf>
    <xf numFmtId="3" fontId="2" fillId="4" borderId="0" xfId="95" applyNumberFormat="1" applyFont="1" applyFill="1">
      <alignment/>
      <protection/>
    </xf>
    <xf numFmtId="3" fontId="2" fillId="0" borderId="24" xfId="95" applyNumberFormat="1" applyFont="1" applyFill="1" applyBorder="1" applyAlignment="1">
      <alignment horizontal="center" vertical="top" wrapText="1"/>
      <protection/>
    </xf>
    <xf numFmtId="49" fontId="9" fillId="0" borderId="0" xfId="95" applyNumberFormat="1" applyFont="1" applyAlignment="1">
      <alignment horizontal="center"/>
      <protection/>
    </xf>
    <xf numFmtId="0" fontId="4" fillId="0" borderId="173" xfId="0" applyFont="1" applyFill="1" applyBorder="1" applyAlignment="1">
      <alignment horizontal="center" vertical="center" wrapText="1"/>
    </xf>
    <xf numFmtId="0" fontId="5" fillId="0" borderId="24" xfId="94" applyFont="1" applyFill="1" applyBorder="1" applyAlignment="1">
      <alignment vertical="center" wrapText="1"/>
      <protection/>
    </xf>
    <xf numFmtId="164" fontId="5" fillId="0" borderId="25" xfId="0" applyNumberFormat="1" applyFont="1" applyFill="1" applyBorder="1" applyAlignment="1">
      <alignment horizontal="left" vertical="top" wrapText="1" indent="2"/>
    </xf>
    <xf numFmtId="0" fontId="2" fillId="0" borderId="0" xfId="80" applyFont="1" applyAlignment="1" applyProtection="1">
      <alignment horizontal="center" vertical="center"/>
      <protection locked="0"/>
    </xf>
    <xf numFmtId="3" fontId="2" fillId="0" borderId="0" xfId="80" applyNumberFormat="1" applyFont="1" applyAlignment="1" applyProtection="1">
      <alignment horizontal="center" vertical="center"/>
      <protection locked="0"/>
    </xf>
    <xf numFmtId="3" fontId="2" fillId="0" borderId="0" xfId="80" applyNumberFormat="1" applyFont="1" applyProtection="1">
      <alignment/>
      <protection locked="0"/>
    </xf>
    <xf numFmtId="3" fontId="2" fillId="0" borderId="0" xfId="80" applyNumberFormat="1" applyFont="1" applyAlignment="1" applyProtection="1">
      <alignment horizontal="right"/>
      <protection locked="0"/>
    </xf>
    <xf numFmtId="3" fontId="2" fillId="0" borderId="0" xfId="102" applyNumberFormat="1" applyFont="1" applyAlignment="1" applyProtection="1">
      <alignment horizontal="right"/>
      <protection locked="0"/>
    </xf>
    <xf numFmtId="0" fontId="2" fillId="0" borderId="0" xfId="80" applyFont="1" applyProtection="1">
      <alignment/>
      <protection locked="0"/>
    </xf>
    <xf numFmtId="0" fontId="2" fillId="0" borderId="0" xfId="102" applyFont="1" applyProtection="1">
      <alignment/>
      <protection locked="0"/>
    </xf>
    <xf numFmtId="0" fontId="2" fillId="0" borderId="0" xfId="102" applyFont="1" applyAlignment="1" applyProtection="1">
      <alignment horizontal="center" vertical="center"/>
      <protection locked="0"/>
    </xf>
    <xf numFmtId="0" fontId="9" fillId="0" borderId="0" xfId="102" applyFont="1" applyAlignment="1" applyProtection="1">
      <alignment horizontal="center" vertical="top"/>
      <protection locked="0"/>
    </xf>
    <xf numFmtId="0" fontId="9" fillId="0" borderId="0" xfId="102" applyFont="1" applyAlignment="1" applyProtection="1">
      <alignment wrapText="1"/>
      <protection locked="0"/>
    </xf>
    <xf numFmtId="3" fontId="9" fillId="0" borderId="0" xfId="102" applyNumberFormat="1" applyFont="1" applyAlignment="1" applyProtection="1">
      <alignment horizontal="center" vertical="center" wrapText="1"/>
      <protection locked="0"/>
    </xf>
    <xf numFmtId="3" fontId="9" fillId="0" borderId="0" xfId="102" applyNumberFormat="1" applyFont="1" applyProtection="1">
      <alignment/>
      <protection locked="0"/>
    </xf>
    <xf numFmtId="3" fontId="9" fillId="0" borderId="0" xfId="102" applyNumberFormat="1" applyFont="1" applyAlignment="1" applyProtection="1">
      <alignment horizontal="right"/>
      <protection locked="0"/>
    </xf>
    <xf numFmtId="3" fontId="11" fillId="0" borderId="0" xfId="102" applyNumberFormat="1" applyFont="1" applyAlignment="1" applyProtection="1">
      <alignment horizontal="right"/>
      <protection locked="0"/>
    </xf>
    <xf numFmtId="0" fontId="6" fillId="0" borderId="0" xfId="102" applyFont="1" applyAlignment="1" applyProtection="1">
      <alignment horizontal="center"/>
      <protection locked="0"/>
    </xf>
    <xf numFmtId="0" fontId="6" fillId="0" borderId="0" xfId="103" applyFont="1" applyAlignment="1" applyProtection="1">
      <alignment horizontal="center" wrapText="1"/>
      <protection locked="0"/>
    </xf>
    <xf numFmtId="3" fontId="6" fillId="0" borderId="0" xfId="103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102" applyFont="1" applyAlignment="1" applyProtection="1">
      <alignment horizontal="center" vertical="center"/>
      <protection locked="0"/>
    </xf>
    <xf numFmtId="0" fontId="12" fillId="0" borderId="174" xfId="103" applyFont="1" applyBorder="1" applyAlignment="1" applyProtection="1">
      <alignment horizontal="center" vertical="center"/>
      <protection locked="0"/>
    </xf>
    <xf numFmtId="3" fontId="12" fillId="0" borderId="174" xfId="103" applyNumberFormat="1" applyFont="1" applyBorder="1" applyAlignment="1" applyProtection="1">
      <alignment vertical="center"/>
      <protection locked="0"/>
    </xf>
    <xf numFmtId="3" fontId="12" fillId="0" borderId="174" xfId="102" applyNumberFormat="1" applyFont="1" applyBorder="1" applyAlignment="1" applyProtection="1">
      <alignment vertical="center"/>
      <protection locked="0"/>
    </xf>
    <xf numFmtId="3" fontId="12" fillId="0" borderId="175" xfId="102" applyNumberFormat="1" applyFont="1" applyBorder="1" applyAlignment="1" applyProtection="1">
      <alignment horizontal="right" vertical="center"/>
      <protection locked="0"/>
    </xf>
    <xf numFmtId="3" fontId="12" fillId="0" borderId="176" xfId="102" applyNumberFormat="1" applyFont="1" applyBorder="1" applyAlignment="1" applyProtection="1">
      <alignment horizontal="right" vertical="center"/>
      <protection locked="0"/>
    </xf>
    <xf numFmtId="0" fontId="12" fillId="0" borderId="0" xfId="102" applyFont="1" applyAlignment="1" applyProtection="1">
      <alignment horizontal="left" vertical="center"/>
      <protection locked="0"/>
    </xf>
    <xf numFmtId="0" fontId="12" fillId="0" borderId="99" xfId="103" applyFont="1" applyBorder="1" applyAlignment="1" applyProtection="1">
      <alignment horizontal="center" vertical="center"/>
      <protection locked="0"/>
    </xf>
    <xf numFmtId="3" fontId="12" fillId="0" borderId="99" xfId="103" applyNumberFormat="1" applyFont="1" applyBorder="1" applyAlignment="1" applyProtection="1">
      <alignment vertical="center"/>
      <protection locked="0"/>
    </xf>
    <xf numFmtId="3" fontId="12" fillId="0" borderId="99" xfId="102" applyNumberFormat="1" applyFont="1" applyBorder="1" applyAlignment="1" applyProtection="1">
      <alignment vertical="center"/>
      <protection locked="0"/>
    </xf>
    <xf numFmtId="3" fontId="12" fillId="0" borderId="177" xfId="102" applyNumberFormat="1" applyFont="1" applyBorder="1" applyAlignment="1" applyProtection="1">
      <alignment horizontal="right" vertical="center"/>
      <protection locked="0"/>
    </xf>
    <xf numFmtId="3" fontId="12" fillId="0" borderId="123" xfId="102" applyNumberFormat="1" applyFont="1" applyBorder="1" applyAlignment="1" applyProtection="1">
      <alignment horizontal="right" vertical="center"/>
      <protection locked="0"/>
    </xf>
    <xf numFmtId="3" fontId="9" fillId="0" borderId="0" xfId="80" applyNumberFormat="1" applyFont="1" applyAlignment="1" applyProtection="1">
      <alignment horizontal="left" vertical="top"/>
      <protection locked="0"/>
    </xf>
    <xf numFmtId="3" fontId="9" fillId="0" borderId="0" xfId="80" applyNumberFormat="1" applyFont="1" applyAlignment="1" applyProtection="1">
      <alignment horizontal="center" vertical="top"/>
      <protection locked="0"/>
    </xf>
    <xf numFmtId="3" fontId="9" fillId="0" borderId="0" xfId="80" applyNumberFormat="1" applyFont="1" applyAlignment="1" applyProtection="1">
      <alignment horizontal="center" vertical="center"/>
      <protection locked="0"/>
    </xf>
    <xf numFmtId="3" fontId="9" fillId="0" borderId="0" xfId="103" applyNumberFormat="1" applyFont="1" applyProtection="1">
      <alignment/>
      <protection locked="0"/>
    </xf>
    <xf numFmtId="3" fontId="9" fillId="0" borderId="0" xfId="103" applyNumberFormat="1" applyFont="1" applyAlignment="1" applyProtection="1">
      <alignment wrapText="1"/>
      <protection locked="0"/>
    </xf>
    <xf numFmtId="3" fontId="9" fillId="0" borderId="0" xfId="103" applyNumberFormat="1" applyFont="1" applyAlignment="1" applyProtection="1">
      <alignment horizontal="right"/>
      <protection locked="0"/>
    </xf>
    <xf numFmtId="3" fontId="9" fillId="0" borderId="0" xfId="80" applyNumberFormat="1" applyFont="1" applyProtection="1">
      <alignment/>
      <protection locked="0"/>
    </xf>
    <xf numFmtId="3" fontId="9" fillId="0" borderId="0" xfId="102" applyNumberFormat="1" applyFont="1" applyAlignment="1" applyProtection="1">
      <alignment horizontal="right" vertical="center"/>
      <protection locked="0"/>
    </xf>
    <xf numFmtId="3" fontId="11" fillId="0" borderId="31" xfId="0" applyNumberFormat="1" applyFont="1" applyBorder="1" applyAlignment="1">
      <alignment/>
    </xf>
    <xf numFmtId="3" fontId="83" fillId="0" borderId="122" xfId="0" applyNumberFormat="1" applyFont="1" applyBorder="1" applyAlignment="1">
      <alignment/>
    </xf>
    <xf numFmtId="0" fontId="18" fillId="0" borderId="122" xfId="0" applyFont="1" applyBorder="1" applyAlignment="1">
      <alignment/>
    </xf>
    <xf numFmtId="3" fontId="15" fillId="0" borderId="147" xfId="0" applyNumberFormat="1" applyFont="1" applyBorder="1" applyAlignment="1">
      <alignment/>
    </xf>
    <xf numFmtId="3" fontId="82" fillId="0" borderId="165" xfId="0" applyNumberFormat="1" applyFont="1" applyBorder="1" applyAlignment="1">
      <alignment/>
    </xf>
    <xf numFmtId="3" fontId="83" fillId="0" borderId="166" xfId="0" applyNumberFormat="1" applyFont="1" applyBorder="1" applyAlignment="1">
      <alignment/>
    </xf>
    <xf numFmtId="3" fontId="12" fillId="0" borderId="147" xfId="0" applyNumberFormat="1" applyFont="1" applyBorder="1" applyAlignment="1">
      <alignment/>
    </xf>
    <xf numFmtId="3" fontId="83" fillId="0" borderId="165" xfId="0" applyNumberFormat="1" applyFont="1" applyBorder="1" applyAlignment="1">
      <alignment/>
    </xf>
    <xf numFmtId="3" fontId="83" fillId="0" borderId="128" xfId="0" applyNumberFormat="1" applyFont="1" applyBorder="1" applyAlignment="1">
      <alignment/>
    </xf>
    <xf numFmtId="3" fontId="11" fillId="0" borderId="96" xfId="0" applyNumberFormat="1" applyFont="1" applyBorder="1" applyAlignment="1">
      <alignment/>
    </xf>
    <xf numFmtId="3" fontId="15" fillId="0" borderId="96" xfId="0" applyNumberFormat="1" applyFont="1" applyBorder="1" applyAlignment="1">
      <alignment/>
    </xf>
    <xf numFmtId="0" fontId="2" fillId="0" borderId="24" xfId="94" applyFont="1" applyFill="1" applyBorder="1" applyAlignment="1">
      <alignment shrinkToFit="1"/>
      <protection/>
    </xf>
    <xf numFmtId="3" fontId="9" fillId="0" borderId="27" xfId="101" applyNumberFormat="1" applyFont="1" applyFill="1" applyBorder="1">
      <alignment/>
      <protection/>
    </xf>
    <xf numFmtId="3" fontId="9" fillId="0" borderId="27" xfId="101" applyNumberFormat="1" applyFont="1" applyFill="1" applyBorder="1" applyAlignment="1">
      <alignment vertical="top" wrapText="1"/>
      <protection/>
    </xf>
    <xf numFmtId="3" fontId="9" fillId="0" borderId="27" xfId="101" applyNumberFormat="1" applyFont="1" applyBorder="1" applyAlignment="1">
      <alignment horizontal="left" wrapText="1"/>
      <protection/>
    </xf>
    <xf numFmtId="3" fontId="9" fillId="0" borderId="87" xfId="0" applyNumberFormat="1" applyFont="1" applyBorder="1" applyAlignment="1">
      <alignment horizontal="center" vertical="center" wrapText="1"/>
    </xf>
    <xf numFmtId="3" fontId="9" fillId="0" borderId="98" xfId="101" applyNumberFormat="1" applyFont="1" applyBorder="1" applyAlignment="1">
      <alignment horizontal="left"/>
      <protection/>
    </xf>
    <xf numFmtId="0" fontId="5" fillId="0" borderId="24" xfId="94" applyFont="1" applyFill="1" applyBorder="1" applyAlignment="1">
      <alignment wrapText="1"/>
      <protection/>
    </xf>
    <xf numFmtId="3" fontId="2" fillId="0" borderId="178" xfId="0" applyNumberFormat="1" applyFont="1" applyBorder="1" applyAlignment="1">
      <alignment vertical="center" wrapText="1"/>
    </xf>
    <xf numFmtId="3" fontId="2" fillId="0" borderId="69" xfId="0" applyNumberFormat="1" applyFont="1" applyBorder="1" applyAlignment="1">
      <alignment vertical="center" wrapText="1"/>
    </xf>
    <xf numFmtId="0" fontId="88" fillId="0" borderId="140" xfId="96" applyFont="1" applyFill="1" applyBorder="1" applyAlignment="1">
      <alignment horizontal="left" vertical="center" wrapText="1"/>
      <protection/>
    </xf>
    <xf numFmtId="0" fontId="2" fillId="0" borderId="17" xfId="96" applyFont="1" applyFill="1" applyBorder="1" applyAlignment="1">
      <alignment horizontal="left" vertical="center"/>
      <protection/>
    </xf>
    <xf numFmtId="0" fontId="6" fillId="0" borderId="0" xfId="0" applyFont="1" applyAlignment="1">
      <alignment horizontal="center"/>
    </xf>
    <xf numFmtId="0" fontId="2" fillId="0" borderId="4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79" xfId="0" applyFont="1" applyBorder="1" applyAlignment="1">
      <alignment horizontal="center"/>
    </xf>
    <xf numFmtId="0" fontId="2" fillId="0" borderId="156" xfId="0" applyFont="1" applyBorder="1" applyAlignment="1">
      <alignment horizontal="center"/>
    </xf>
    <xf numFmtId="0" fontId="2" fillId="0" borderId="18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18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2" xfId="0" applyFont="1" applyBorder="1" applyAlignment="1">
      <alignment horizontal="center"/>
    </xf>
    <xf numFmtId="3" fontId="2" fillId="0" borderId="183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1" fontId="2" fillId="0" borderId="182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184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0" fontId="2" fillId="0" borderId="185" xfId="0" applyFont="1" applyBorder="1" applyAlignment="1">
      <alignment horizontal="center"/>
    </xf>
    <xf numFmtId="0" fontId="2" fillId="0" borderId="184" xfId="0" applyFont="1" applyBorder="1" applyAlignment="1">
      <alignment horizontal="center"/>
    </xf>
    <xf numFmtId="3" fontId="2" fillId="0" borderId="182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8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2" fillId="0" borderId="187" xfId="0" applyFont="1" applyBorder="1" applyAlignment="1">
      <alignment horizontal="center"/>
    </xf>
    <xf numFmtId="0" fontId="2" fillId="0" borderId="188" xfId="0" applyFont="1" applyBorder="1" applyAlignment="1">
      <alignment horizontal="center" vertical="center"/>
    </xf>
    <xf numFmtId="3" fontId="2" fillId="0" borderId="189" xfId="0" applyNumberFormat="1" applyFont="1" applyBorder="1" applyAlignment="1">
      <alignment horizontal="center" vertical="center" wrapText="1"/>
    </xf>
    <xf numFmtId="3" fontId="2" fillId="0" borderId="38" xfId="0" applyNumberFormat="1" applyFont="1" applyFill="1" applyBorder="1" applyAlignment="1">
      <alignment horizontal="right" vertical="center"/>
    </xf>
    <xf numFmtId="0" fontId="9" fillId="0" borderId="0" xfId="100" applyFont="1" applyAlignment="1">
      <alignment horizontal="center" vertical="center"/>
      <protection/>
    </xf>
    <xf numFmtId="0" fontId="9" fillId="0" borderId="0" xfId="98" applyFont="1" applyAlignment="1">
      <alignment horizontal="center"/>
      <protection/>
    </xf>
    <xf numFmtId="0" fontId="9" fillId="0" borderId="0" xfId="100" applyFont="1" applyAlignment="1">
      <alignment horizontal="center"/>
      <protection/>
    </xf>
    <xf numFmtId="0" fontId="6" fillId="0" borderId="0" xfId="100" applyFont="1">
      <alignment/>
      <protection/>
    </xf>
    <xf numFmtId="0" fontId="9" fillId="0" borderId="190" xfId="97" applyFont="1" applyBorder="1" applyAlignment="1">
      <alignment horizontal="center" vertical="center" wrapText="1"/>
      <protection/>
    </xf>
    <xf numFmtId="0" fontId="9" fillId="0" borderId="191" xfId="97" applyFont="1" applyBorder="1" applyAlignment="1">
      <alignment horizontal="center" vertical="center" wrapText="1"/>
      <protection/>
    </xf>
    <xf numFmtId="0" fontId="6" fillId="0" borderId="0" xfId="100" applyFont="1" applyAlignment="1">
      <alignment horizontal="center" vertical="center"/>
      <protection/>
    </xf>
    <xf numFmtId="3" fontId="9" fillId="0" borderId="22" xfId="53" applyNumberFormat="1" applyFont="1" applyFill="1" applyBorder="1" applyAlignment="1">
      <alignment horizontal="center" vertical="center"/>
    </xf>
    <xf numFmtId="3" fontId="9" fillId="0" borderId="147" xfId="53" applyNumberFormat="1" applyFont="1" applyFill="1" applyBorder="1" applyAlignment="1">
      <alignment horizontal="center" vertical="center"/>
    </xf>
    <xf numFmtId="3" fontId="9" fillId="0" borderId="28" xfId="53" applyNumberFormat="1" applyFont="1" applyFill="1" applyBorder="1" applyAlignment="1">
      <alignment horizontal="center" vertical="center"/>
    </xf>
    <xf numFmtId="3" fontId="9" fillId="0" borderId="31" xfId="53" applyNumberFormat="1" applyFont="1" applyFill="1" applyBorder="1" applyAlignment="1">
      <alignment horizontal="center" vertical="center"/>
    </xf>
    <xf numFmtId="3" fontId="9" fillId="0" borderId="24" xfId="53" applyNumberFormat="1" applyFont="1" applyFill="1" applyBorder="1" applyAlignment="1">
      <alignment horizontal="center" vertical="center"/>
    </xf>
    <xf numFmtId="3" fontId="6" fillId="0" borderId="0" xfId="100" applyNumberFormat="1" applyFont="1">
      <alignment/>
      <protection/>
    </xf>
    <xf numFmtId="3" fontId="9" fillId="0" borderId="122" xfId="53" applyNumberFormat="1" applyFont="1" applyFill="1" applyBorder="1" applyAlignment="1">
      <alignment horizontal="center" vertical="center"/>
    </xf>
    <xf numFmtId="0" fontId="9" fillId="0" borderId="192" xfId="100" applyFont="1" applyBorder="1" applyAlignment="1">
      <alignment horizontal="center" vertical="top"/>
      <protection/>
    </xf>
    <xf numFmtId="0" fontId="9" fillId="0" borderId="150" xfId="100" applyFont="1" applyBorder="1" applyAlignment="1">
      <alignment horizontal="center" vertical="center" wrapText="1"/>
      <protection/>
    </xf>
    <xf numFmtId="14" fontId="9" fillId="0" borderId="150" xfId="100" applyNumberFormat="1" applyFont="1" applyBorder="1" applyAlignment="1">
      <alignment horizontal="center" vertical="center" wrapText="1"/>
      <protection/>
    </xf>
    <xf numFmtId="14" fontId="9" fillId="0" borderId="150" xfId="100" applyNumberFormat="1" applyFont="1" applyBorder="1" applyAlignment="1">
      <alignment horizontal="center" vertical="center"/>
      <protection/>
    </xf>
    <xf numFmtId="3" fontId="9" fillId="0" borderId="150" xfId="99" applyNumberFormat="1" applyFont="1" applyBorder="1" applyAlignment="1">
      <alignment horizontal="center" vertical="center"/>
      <protection/>
    </xf>
    <xf numFmtId="3" fontId="9" fillId="0" borderId="150" xfId="99" applyNumberFormat="1" applyFont="1" applyFill="1" applyBorder="1" applyAlignment="1">
      <alignment horizontal="center" vertical="center"/>
      <protection/>
    </xf>
    <xf numFmtId="3" fontId="9" fillId="0" borderId="165" xfId="99" applyNumberFormat="1" applyFont="1" applyFill="1" applyBorder="1" applyAlignment="1">
      <alignment horizontal="center" vertical="center"/>
      <protection/>
    </xf>
    <xf numFmtId="0" fontId="12" fillId="0" borderId="139" xfId="97" applyFont="1" applyBorder="1" applyAlignment="1">
      <alignment horizontal="center" vertical="center"/>
      <protection/>
    </xf>
    <xf numFmtId="3" fontId="12" fillId="0" borderId="110" xfId="100" applyNumberFormat="1" applyFont="1" applyBorder="1" applyAlignment="1">
      <alignment vertical="center"/>
      <protection/>
    </xf>
    <xf numFmtId="0" fontId="6" fillId="0" borderId="0" xfId="100" applyFont="1" applyAlignment="1">
      <alignment vertical="center"/>
      <protection/>
    </xf>
    <xf numFmtId="0" fontId="9" fillId="0" borderId="180" xfId="97" applyFont="1" applyBorder="1" applyAlignment="1">
      <alignment/>
      <protection/>
    </xf>
    <xf numFmtId="0" fontId="9" fillId="0" borderId="61" xfId="97" applyFont="1" applyBorder="1" applyAlignment="1">
      <alignment/>
      <protection/>
    </xf>
    <xf numFmtId="0" fontId="9" fillId="0" borderId="61" xfId="97" applyFont="1" applyBorder="1" applyAlignment="1">
      <alignment horizontal="center"/>
      <protection/>
    </xf>
    <xf numFmtId="3" fontId="9" fillId="0" borderId="22" xfId="97" applyNumberFormat="1" applyFont="1" applyBorder="1" applyAlignment="1">
      <alignment horizontal="center"/>
      <protection/>
    </xf>
    <xf numFmtId="3" fontId="9" fillId="0" borderId="147" xfId="97" applyNumberFormat="1" applyFont="1" applyBorder="1" applyAlignment="1">
      <alignment horizontal="center"/>
      <protection/>
    </xf>
    <xf numFmtId="0" fontId="9" fillId="0" borderId="14" xfId="97" applyFont="1" applyBorder="1" applyAlignment="1">
      <alignment horizontal="center"/>
      <protection/>
    </xf>
    <xf numFmtId="0" fontId="9" fillId="0" borderId="15" xfId="97" applyFont="1" applyBorder="1">
      <alignment/>
      <protection/>
    </xf>
    <xf numFmtId="0" fontId="9" fillId="0" borderId="15" xfId="97" applyFont="1" applyBorder="1" applyAlignment="1">
      <alignment horizontal="center"/>
      <protection/>
    </xf>
    <xf numFmtId="3" fontId="9" fillId="0" borderId="125" xfId="97" applyNumberFormat="1" applyFont="1" applyBorder="1" applyAlignment="1">
      <alignment horizontal="center"/>
      <protection/>
    </xf>
    <xf numFmtId="3" fontId="9" fillId="0" borderId="128" xfId="97" applyNumberFormat="1" applyFont="1" applyBorder="1" applyAlignment="1">
      <alignment horizontal="center"/>
      <protection/>
    </xf>
    <xf numFmtId="3" fontId="2" fillId="0" borderId="0" xfId="97" applyNumberFormat="1" applyFont="1" applyAlignment="1">
      <alignment horizontal="center"/>
      <protection/>
    </xf>
    <xf numFmtId="3" fontId="12" fillId="0" borderId="110" xfId="100" applyNumberFormat="1" applyFont="1" applyBorder="1" applyAlignment="1">
      <alignment horizontal="center" vertical="center"/>
      <protection/>
    </xf>
    <xf numFmtId="3" fontId="12" fillId="0" borderId="193" xfId="100" applyNumberFormat="1" applyFont="1" applyBorder="1" applyAlignment="1">
      <alignment horizontal="center" vertical="center"/>
      <protection/>
    </xf>
    <xf numFmtId="0" fontId="9" fillId="0" borderId="0" xfId="100" applyFont="1" applyAlignment="1">
      <alignment vertical="center"/>
      <protection/>
    </xf>
    <xf numFmtId="3" fontId="2" fillId="0" borderId="0" xfId="93" applyNumberFormat="1" applyFont="1" applyFill="1" applyAlignment="1">
      <alignment horizontal="right"/>
      <protection/>
    </xf>
    <xf numFmtId="3" fontId="4" fillId="0" borderId="0" xfId="93" applyNumberFormat="1" applyFont="1" applyFill="1" applyAlignment="1">
      <alignment horizontal="center"/>
      <protection/>
    </xf>
    <xf numFmtId="3" fontId="4" fillId="0" borderId="0" xfId="93" applyNumberFormat="1" applyFont="1" applyFill="1" applyAlignment="1">
      <alignment horizontal="center" vertical="center"/>
      <protection/>
    </xf>
    <xf numFmtId="3" fontId="9" fillId="0" borderId="194" xfId="102" applyNumberFormat="1" applyFont="1" applyFill="1" applyBorder="1" applyAlignment="1">
      <alignment horizontal="center" vertical="center" wrapText="1"/>
      <protection/>
    </xf>
    <xf numFmtId="3" fontId="9" fillId="0" borderId="101" xfId="95" applyNumberFormat="1" applyFont="1" applyFill="1" applyBorder="1" applyAlignment="1">
      <alignment horizontal="left" vertical="center" wrapText="1"/>
      <protection/>
    </xf>
    <xf numFmtId="0" fontId="2" fillId="0" borderId="28" xfId="102" applyFont="1" applyFill="1" applyBorder="1" applyAlignment="1">
      <alignment wrapText="1"/>
      <protection/>
    </xf>
    <xf numFmtId="0" fontId="22" fillId="0" borderId="24" xfId="102" applyFont="1" applyFill="1" applyBorder="1" applyAlignment="1">
      <alignment wrapText="1"/>
      <protection/>
    </xf>
    <xf numFmtId="0" fontId="88" fillId="0" borderId="24" xfId="102" applyFont="1" applyFill="1" applyBorder="1" applyAlignment="1">
      <alignment horizontal="left" wrapText="1" indent="1"/>
      <protection/>
    </xf>
    <xf numFmtId="0" fontId="16" fillId="0" borderId="24" xfId="102" applyFont="1" applyFill="1" applyBorder="1" applyAlignment="1">
      <alignment wrapText="1"/>
      <protection/>
    </xf>
    <xf numFmtId="3" fontId="22" fillId="0" borderId="28" xfId="101" applyNumberFormat="1" applyFont="1" applyFill="1" applyBorder="1" applyAlignment="1" applyProtection="1">
      <alignment horizontal="left"/>
      <protection locked="0"/>
    </xf>
    <xf numFmtId="0" fontId="41" fillId="0" borderId="28" xfId="102" applyFont="1" applyFill="1" applyBorder="1" applyAlignment="1">
      <alignment wrapText="1"/>
      <protection/>
    </xf>
    <xf numFmtId="0" fontId="91" fillId="0" borderId="24" xfId="102" applyFont="1" applyFill="1" applyBorder="1" applyAlignment="1">
      <alignment horizontal="left"/>
      <protection/>
    </xf>
    <xf numFmtId="0" fontId="92" fillId="0" borderId="24" xfId="102" applyFont="1" applyFill="1" applyBorder="1" applyAlignment="1">
      <alignment horizontal="left" indent="1" shrinkToFit="1"/>
      <protection/>
    </xf>
    <xf numFmtId="0" fontId="93" fillId="0" borderId="24" xfId="102" applyFont="1" applyFill="1" applyBorder="1" applyAlignment="1">
      <alignment wrapText="1"/>
      <protection/>
    </xf>
    <xf numFmtId="0" fontId="91" fillId="0" borderId="24" xfId="102" applyFont="1" applyFill="1" applyBorder="1" applyAlignment="1">
      <alignment horizontal="left" wrapText="1"/>
      <protection/>
    </xf>
    <xf numFmtId="0" fontId="2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2" fillId="0" borderId="0" xfId="92" applyNumberFormat="1" applyFont="1" applyFill="1" applyAlignment="1">
      <alignment horizontal="left"/>
      <protection/>
    </xf>
    <xf numFmtId="3" fontId="4" fillId="0" borderId="0" xfId="92" applyNumberFormat="1" applyFont="1" applyFill="1" applyAlignment="1">
      <alignment horizontal="center" vertical="center"/>
      <protection/>
    </xf>
    <xf numFmtId="3" fontId="9" fillId="0" borderId="195" xfId="0" applyNumberFormat="1" applyFont="1" applyBorder="1" applyAlignment="1">
      <alignment horizontal="center" vertical="center" wrapText="1"/>
    </xf>
    <xf numFmtId="3" fontId="15" fillId="0" borderId="164" xfId="0" applyNumberFormat="1" applyFont="1" applyBorder="1" applyAlignment="1">
      <alignment horizontal="left" vertical="center"/>
    </xf>
    <xf numFmtId="3" fontId="15" fillId="0" borderId="196" xfId="0" applyNumberFormat="1" applyFont="1" applyBorder="1" applyAlignment="1">
      <alignment horizontal="left" vertical="center"/>
    </xf>
    <xf numFmtId="3" fontId="15" fillId="0" borderId="138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9" fillId="0" borderId="197" xfId="0" applyNumberFormat="1" applyFont="1" applyBorder="1" applyAlignment="1">
      <alignment horizontal="center" vertical="center" textRotation="90"/>
    </xf>
    <xf numFmtId="3" fontId="9" fillId="0" borderId="198" xfId="0" applyNumberFormat="1" applyFont="1" applyBorder="1" applyAlignment="1">
      <alignment horizontal="center" vertical="center" textRotation="90"/>
    </xf>
    <xf numFmtId="3" fontId="9" fillId="0" borderId="199" xfId="0" applyNumberFormat="1" applyFont="1" applyBorder="1" applyAlignment="1">
      <alignment horizontal="center" vertical="center" textRotation="90"/>
    </xf>
    <xf numFmtId="0" fontId="0" fillId="0" borderId="67" xfId="0" applyBorder="1" applyAlignment="1">
      <alignment horizontal="center" vertical="center"/>
    </xf>
    <xf numFmtId="3" fontId="12" fillId="0" borderId="199" xfId="0" applyNumberFormat="1" applyFont="1" applyBorder="1" applyAlignment="1">
      <alignment horizontal="center" vertical="center"/>
    </xf>
    <xf numFmtId="3" fontId="12" fillId="0" borderId="73" xfId="0" applyNumberFormat="1" applyFont="1" applyBorder="1" applyAlignment="1">
      <alignment horizontal="center" vertical="center"/>
    </xf>
    <xf numFmtId="3" fontId="12" fillId="0" borderId="67" xfId="0" applyNumberFormat="1" applyFont="1" applyBorder="1" applyAlignment="1">
      <alignment horizontal="center" vertical="center"/>
    </xf>
    <xf numFmtId="3" fontId="12" fillId="0" borderId="26" xfId="0" applyNumberFormat="1" applyFont="1" applyBorder="1" applyAlignment="1">
      <alignment horizontal="center" vertical="center"/>
    </xf>
    <xf numFmtId="3" fontId="9" fillId="0" borderId="200" xfId="0" applyNumberFormat="1" applyFont="1" applyBorder="1" applyAlignment="1">
      <alignment horizontal="center" vertical="center" wrapText="1"/>
    </xf>
    <xf numFmtId="3" fontId="9" fillId="0" borderId="158" xfId="0" applyNumberFormat="1" applyFont="1" applyBorder="1" applyAlignment="1">
      <alignment horizontal="center" vertical="center" wrapText="1"/>
    </xf>
    <xf numFmtId="3" fontId="9" fillId="0" borderId="201" xfId="0" applyNumberFormat="1" applyFont="1" applyBorder="1" applyAlignment="1">
      <alignment horizontal="center" vertical="center" wrapText="1"/>
    </xf>
    <xf numFmtId="3" fontId="9" fillId="0" borderId="202" xfId="0" applyNumberFormat="1" applyFont="1" applyBorder="1" applyAlignment="1">
      <alignment horizontal="center" vertical="center" wrapText="1"/>
    </xf>
    <xf numFmtId="3" fontId="9" fillId="0" borderId="27" xfId="101" applyNumberFormat="1" applyFont="1" applyBorder="1" applyAlignment="1">
      <alignment horizontal="left" wrapText="1"/>
      <protection/>
    </xf>
    <xf numFmtId="3" fontId="9" fillId="0" borderId="98" xfId="101" applyNumberFormat="1" applyFont="1" applyBorder="1" applyAlignment="1">
      <alignment horizontal="left" wrapText="1"/>
      <protection/>
    </xf>
    <xf numFmtId="3" fontId="12" fillId="0" borderId="73" xfId="0" applyNumberFormat="1" applyFont="1" applyBorder="1" applyAlignment="1">
      <alignment horizontal="center" vertical="center" wrapText="1"/>
    </xf>
    <xf numFmtId="3" fontId="12" fillId="0" borderId="26" xfId="0" applyNumberFormat="1" applyFont="1" applyBorder="1" applyAlignment="1">
      <alignment horizontal="center" vertical="center" wrapText="1"/>
    </xf>
    <xf numFmtId="3" fontId="9" fillId="0" borderId="195" xfId="0" applyNumberFormat="1" applyFont="1" applyBorder="1" applyAlignment="1">
      <alignment horizontal="center" vertical="center"/>
    </xf>
    <xf numFmtId="3" fontId="9" fillId="0" borderId="87" xfId="0" applyNumberFormat="1" applyFont="1" applyBorder="1" applyAlignment="1">
      <alignment horizontal="center" vertical="center" wrapText="1"/>
    </xf>
    <xf numFmtId="3" fontId="12" fillId="0" borderId="164" xfId="101" applyNumberFormat="1" applyFont="1" applyBorder="1" applyAlignment="1">
      <alignment horizontal="left" wrapText="1"/>
      <protection/>
    </xf>
    <xf numFmtId="3" fontId="12" fillId="0" borderId="138" xfId="101" applyNumberFormat="1" applyFont="1" applyBorder="1" applyAlignment="1">
      <alignment horizontal="left" wrapText="1"/>
      <protection/>
    </xf>
    <xf numFmtId="3" fontId="12" fillId="0" borderId="203" xfId="101" applyNumberFormat="1" applyFont="1" applyBorder="1" applyAlignment="1">
      <alignment horizontal="center" vertical="center"/>
      <protection/>
    </xf>
    <xf numFmtId="3" fontId="12" fillId="0" borderId="163" xfId="101" applyNumberFormat="1" applyFont="1" applyBorder="1" applyAlignment="1">
      <alignment horizontal="center" vertical="center"/>
      <protection/>
    </xf>
    <xf numFmtId="3" fontId="12" fillId="0" borderId="97" xfId="101" applyNumberFormat="1" applyFont="1" applyBorder="1" applyAlignment="1">
      <alignment horizontal="center" vertical="center"/>
      <protection/>
    </xf>
    <xf numFmtId="3" fontId="12" fillId="0" borderId="27" xfId="101" applyNumberFormat="1" applyFont="1" applyBorder="1" applyAlignment="1">
      <alignment horizontal="left" wrapText="1"/>
      <protection/>
    </xf>
    <xf numFmtId="3" fontId="12" fillId="0" borderId="98" xfId="101" applyNumberFormat="1" applyFont="1" applyBorder="1" applyAlignment="1">
      <alignment horizontal="left" wrapText="1"/>
      <protection/>
    </xf>
    <xf numFmtId="3" fontId="12" fillId="0" borderId="203" xfId="0" applyNumberFormat="1" applyFont="1" applyBorder="1" applyAlignment="1">
      <alignment horizontal="center" vertical="center"/>
    </xf>
    <xf numFmtId="3" fontId="12" fillId="0" borderId="163" xfId="0" applyNumberFormat="1" applyFont="1" applyBorder="1" applyAlignment="1">
      <alignment horizontal="center" vertical="center"/>
    </xf>
    <xf numFmtId="3" fontId="12" fillId="0" borderId="97" xfId="0" applyNumberFormat="1" applyFont="1" applyBorder="1" applyAlignment="1">
      <alignment horizontal="center" vertical="center"/>
    </xf>
    <xf numFmtId="3" fontId="12" fillId="0" borderId="168" xfId="101" applyNumberFormat="1" applyFont="1" applyBorder="1" applyAlignment="1">
      <alignment horizontal="left" wrapText="1"/>
      <protection/>
    </xf>
    <xf numFmtId="3" fontId="12" fillId="0" borderId="163" xfId="101" applyNumberFormat="1" applyFont="1" applyBorder="1" applyAlignment="1">
      <alignment horizontal="left" wrapText="1"/>
      <protection/>
    </xf>
    <xf numFmtId="3" fontId="11" fillId="0" borderId="0" xfId="0" applyNumberFormat="1" applyFont="1" applyAlignment="1">
      <alignment horizontal="right"/>
    </xf>
    <xf numFmtId="3" fontId="9" fillId="0" borderId="200" xfId="0" applyNumberFormat="1" applyFont="1" applyBorder="1" applyAlignment="1">
      <alignment horizontal="center" vertical="center" textRotation="90"/>
    </xf>
    <xf numFmtId="3" fontId="9" fillId="0" borderId="158" xfId="0" applyNumberFormat="1" applyFont="1" applyBorder="1" applyAlignment="1">
      <alignment horizontal="center" vertical="center" textRotation="90"/>
    </xf>
    <xf numFmtId="3" fontId="12" fillId="0" borderId="204" xfId="0" applyNumberFormat="1" applyFont="1" applyBorder="1" applyAlignment="1">
      <alignment horizontal="center" vertical="center"/>
    </xf>
    <xf numFmtId="3" fontId="12" fillId="0" borderId="205" xfId="0" applyNumberFormat="1" applyFont="1" applyBorder="1" applyAlignment="1">
      <alignment horizontal="center" vertical="center"/>
    </xf>
    <xf numFmtId="3" fontId="9" fillId="0" borderId="200" xfId="0" applyNumberFormat="1" applyFont="1" applyBorder="1" applyAlignment="1">
      <alignment horizontal="center" vertical="center" textRotation="90" wrapText="1"/>
    </xf>
    <xf numFmtId="0" fontId="0" fillId="0" borderId="158" xfId="0" applyBorder="1" applyAlignment="1">
      <alignment horizontal="center" vertical="center" textRotation="90" wrapText="1"/>
    </xf>
    <xf numFmtId="3" fontId="12" fillId="0" borderId="206" xfId="0" applyNumberFormat="1" applyFont="1" applyBorder="1" applyAlignment="1">
      <alignment horizontal="center" vertical="center" wrapText="1"/>
    </xf>
    <xf numFmtId="3" fontId="12" fillId="0" borderId="207" xfId="0" applyNumberFormat="1" applyFont="1" applyBorder="1" applyAlignment="1">
      <alignment horizontal="center" vertical="center" wrapText="1"/>
    </xf>
    <xf numFmtId="3" fontId="9" fillId="0" borderId="71" xfId="0" applyNumberFormat="1" applyFont="1" applyBorder="1" applyAlignment="1">
      <alignment horizontal="center" vertical="center"/>
    </xf>
    <xf numFmtId="3" fontId="9" fillId="0" borderId="72" xfId="0" applyNumberFormat="1" applyFont="1" applyBorder="1" applyAlignment="1">
      <alignment horizontal="center" vertical="center"/>
    </xf>
    <xf numFmtId="3" fontId="9" fillId="0" borderId="73" xfId="0" applyNumberFormat="1" applyFont="1" applyBorder="1" applyAlignment="1">
      <alignment horizontal="center" vertical="center"/>
    </xf>
    <xf numFmtId="3" fontId="9" fillId="0" borderId="195" xfId="92" applyNumberFormat="1" applyFont="1" applyBorder="1" applyAlignment="1">
      <alignment horizontal="center" vertical="center" wrapText="1"/>
      <protection/>
    </xf>
    <xf numFmtId="3" fontId="9" fillId="0" borderId="92" xfId="101" applyNumberFormat="1" applyFont="1" applyBorder="1" applyAlignment="1">
      <alignment horizontal="left" wrapText="1"/>
      <protection/>
    </xf>
    <xf numFmtId="3" fontId="15" fillId="0" borderId="164" xfId="101" applyNumberFormat="1" applyFont="1" applyBorder="1" applyAlignment="1">
      <alignment horizontal="left" vertical="center"/>
      <protection/>
    </xf>
    <xf numFmtId="3" fontId="15" fillId="0" borderId="196" xfId="101" applyNumberFormat="1" applyFont="1" applyBorder="1" applyAlignment="1">
      <alignment horizontal="left" vertical="center"/>
      <protection/>
    </xf>
    <xf numFmtId="3" fontId="15" fillId="0" borderId="138" xfId="101" applyNumberFormat="1" applyFont="1" applyBorder="1" applyAlignment="1">
      <alignment horizontal="left" vertical="center"/>
      <protection/>
    </xf>
    <xf numFmtId="3" fontId="11" fillId="0" borderId="27" xfId="101" applyNumberFormat="1" applyFont="1" applyBorder="1" applyAlignment="1">
      <alignment horizontal="left"/>
      <protection/>
    </xf>
    <xf numFmtId="3" fontId="11" fillId="0" borderId="98" xfId="101" applyNumberFormat="1" applyFont="1" applyBorder="1" applyAlignment="1">
      <alignment horizontal="left"/>
      <protection/>
    </xf>
    <xf numFmtId="0" fontId="2" fillId="0" borderId="27" xfId="94" applyFont="1" applyBorder="1" applyAlignment="1">
      <alignment horizontal="left" vertical="top" wrapText="1"/>
      <protection/>
    </xf>
    <xf numFmtId="0" fontId="2" fillId="0" borderId="92" xfId="94" applyFont="1" applyBorder="1" applyAlignment="1">
      <alignment horizontal="left" vertical="top" wrapText="1"/>
      <protection/>
    </xf>
    <xf numFmtId="0" fontId="2" fillId="0" borderId="98" xfId="94" applyFont="1" applyBorder="1" applyAlignment="1">
      <alignment horizontal="left" vertical="top" wrapText="1"/>
      <protection/>
    </xf>
    <xf numFmtId="3" fontId="9" fillId="0" borderId="27" xfId="101" applyNumberFormat="1" applyFont="1" applyBorder="1" applyAlignment="1">
      <alignment horizontal="left" vertical="top" wrapText="1"/>
      <protection/>
    </xf>
    <xf numFmtId="3" fontId="9" fillId="0" borderId="98" xfId="101" applyNumberFormat="1" applyFont="1" applyBorder="1" applyAlignment="1">
      <alignment horizontal="left" vertical="top" wrapText="1"/>
      <protection/>
    </xf>
    <xf numFmtId="3" fontId="9" fillId="0" borderId="27" xfId="101" applyNumberFormat="1" applyFont="1" applyBorder="1" applyAlignment="1">
      <alignment horizontal="left"/>
      <protection/>
    </xf>
    <xf numFmtId="3" fontId="9" fillId="0" borderId="98" xfId="101" applyNumberFormat="1" applyFont="1" applyBorder="1" applyAlignment="1">
      <alignment horizontal="left"/>
      <protection/>
    </xf>
    <xf numFmtId="3" fontId="11" fillId="0" borderId="23" xfId="0" applyNumberFormat="1" applyFont="1" applyBorder="1" applyAlignment="1">
      <alignment horizontal="left" vertical="center" wrapText="1"/>
    </xf>
    <xf numFmtId="3" fontId="11" fillId="0" borderId="98" xfId="0" applyNumberFormat="1" applyFont="1" applyBorder="1" applyAlignment="1">
      <alignment horizontal="left" vertical="center" wrapText="1"/>
    </xf>
    <xf numFmtId="3" fontId="11" fillId="0" borderId="24" xfId="0" applyNumberFormat="1" applyFont="1" applyBorder="1" applyAlignment="1">
      <alignment horizontal="left" vertical="center" wrapText="1"/>
    </xf>
    <xf numFmtId="3" fontId="11" fillId="0" borderId="23" xfId="0" applyNumberFormat="1" applyFont="1" applyBorder="1" applyAlignment="1">
      <alignment horizontal="left" vertical="top" wrapText="1"/>
    </xf>
    <xf numFmtId="3" fontId="11" fillId="0" borderId="98" xfId="0" applyNumberFormat="1" applyFont="1" applyBorder="1" applyAlignment="1">
      <alignment horizontal="left" vertical="top" wrapText="1"/>
    </xf>
    <xf numFmtId="3" fontId="11" fillId="0" borderId="24" xfId="0" applyNumberFormat="1" applyFont="1" applyBorder="1" applyAlignment="1">
      <alignment horizontal="left" vertical="top" wrapText="1"/>
    </xf>
    <xf numFmtId="3" fontId="11" fillId="0" borderId="95" xfId="0" applyNumberFormat="1" applyFont="1" applyBorder="1" applyAlignment="1">
      <alignment horizontal="left" vertical="center"/>
    </xf>
    <xf numFmtId="3" fontId="11" fillId="0" borderId="97" xfId="0" applyNumberFormat="1" applyFont="1" applyBorder="1" applyAlignment="1">
      <alignment horizontal="left" vertical="center"/>
    </xf>
    <xf numFmtId="3" fontId="11" fillId="0" borderId="88" xfId="0" applyNumberFormat="1" applyFont="1" applyBorder="1" applyAlignment="1">
      <alignment horizontal="left" vertical="center"/>
    </xf>
    <xf numFmtId="3" fontId="12" fillId="0" borderId="208" xfId="102" applyNumberFormat="1" applyFont="1" applyBorder="1" applyAlignment="1" applyProtection="1">
      <alignment horizontal="center" vertical="center" wrapText="1"/>
      <protection locked="0"/>
    </xf>
    <xf numFmtId="3" fontId="12" fillId="0" borderId="70" xfId="102" applyNumberFormat="1" applyFont="1" applyBorder="1" applyAlignment="1" applyProtection="1">
      <alignment horizontal="center" vertical="center" wrapText="1"/>
      <protection locked="0"/>
    </xf>
    <xf numFmtId="0" fontId="12" fillId="0" borderId="48" xfId="103" applyFont="1" applyBorder="1" applyAlignment="1" applyProtection="1">
      <alignment horizontal="center" vertical="center"/>
      <protection locked="0"/>
    </xf>
    <xf numFmtId="0" fontId="12" fillId="0" borderId="33" xfId="103" applyFont="1" applyBorder="1" applyAlignment="1" applyProtection="1">
      <alignment horizontal="center" vertical="center"/>
      <protection locked="0"/>
    </xf>
    <xf numFmtId="0" fontId="12" fillId="0" borderId="209" xfId="103" applyFont="1" applyBorder="1" applyAlignment="1" applyProtection="1">
      <alignment horizontal="center" vertical="center"/>
      <protection locked="0"/>
    </xf>
    <xf numFmtId="0" fontId="12" fillId="0" borderId="19" xfId="103" applyFont="1" applyBorder="1" applyAlignment="1" applyProtection="1">
      <alignment horizontal="center" vertical="center"/>
      <protection locked="0"/>
    </xf>
    <xf numFmtId="0" fontId="12" fillId="0" borderId="20" xfId="103" applyFont="1" applyBorder="1" applyAlignment="1" applyProtection="1">
      <alignment horizontal="center" vertical="center"/>
      <protection locked="0"/>
    </xf>
    <xf numFmtId="0" fontId="12" fillId="0" borderId="116" xfId="103" applyFont="1" applyBorder="1" applyAlignment="1" applyProtection="1">
      <alignment horizontal="center" vertical="center"/>
      <protection locked="0"/>
    </xf>
    <xf numFmtId="0" fontId="2" fillId="0" borderId="0" xfId="103" applyFont="1" applyAlignment="1" applyProtection="1">
      <alignment horizontal="left" vertical="center"/>
      <protection locked="0"/>
    </xf>
    <xf numFmtId="0" fontId="4" fillId="0" borderId="0" xfId="102" applyFont="1" applyAlignment="1" applyProtection="1">
      <alignment horizontal="center"/>
      <protection locked="0"/>
    </xf>
    <xf numFmtId="0" fontId="4" fillId="0" borderId="0" xfId="103" applyFont="1" applyAlignment="1" applyProtection="1">
      <alignment horizontal="center" vertical="center"/>
      <protection locked="0"/>
    </xf>
    <xf numFmtId="3" fontId="9" fillId="0" borderId="197" xfId="93" applyNumberFormat="1" applyFont="1" applyBorder="1" applyAlignment="1" applyProtection="1">
      <alignment horizontal="center" vertical="center" textRotation="90"/>
      <protection locked="0"/>
    </xf>
    <xf numFmtId="3" fontId="9" fillId="0" borderId="198" xfId="93" applyNumberFormat="1" applyFont="1" applyBorder="1" applyAlignment="1" applyProtection="1">
      <alignment horizontal="center" vertical="center" textRotation="90"/>
      <protection locked="0"/>
    </xf>
    <xf numFmtId="3" fontId="9" fillId="0" borderId="200" xfId="93" applyNumberFormat="1" applyFont="1" applyBorder="1" applyAlignment="1" applyProtection="1">
      <alignment horizontal="center" vertical="center" textRotation="90"/>
      <protection locked="0"/>
    </xf>
    <xf numFmtId="3" fontId="9" fillId="0" borderId="158" xfId="93" applyNumberFormat="1" applyFont="1" applyBorder="1" applyAlignment="1" applyProtection="1">
      <alignment horizontal="center" vertical="center" textRotation="90"/>
      <protection locked="0"/>
    </xf>
    <xf numFmtId="0" fontId="12" fillId="0" borderId="200" xfId="102" applyFont="1" applyBorder="1" applyAlignment="1" applyProtection="1">
      <alignment horizontal="center" vertical="center" wrapText="1"/>
      <protection locked="0"/>
    </xf>
    <xf numFmtId="0" fontId="12" fillId="0" borderId="158" xfId="102" applyFont="1" applyBorder="1" applyAlignment="1" applyProtection="1">
      <alignment horizontal="center" vertical="center" wrapText="1"/>
      <protection locked="0"/>
    </xf>
    <xf numFmtId="0" fontId="9" fillId="0" borderId="200" xfId="102" applyFont="1" applyBorder="1" applyAlignment="1" applyProtection="1">
      <alignment horizontal="center" vertical="center" textRotation="90" wrapText="1"/>
      <protection locked="0"/>
    </xf>
    <xf numFmtId="0" fontId="9" fillId="0" borderId="158" xfId="102" applyFont="1" applyBorder="1" applyAlignment="1" applyProtection="1">
      <alignment horizontal="center" vertical="center" textRotation="90" wrapText="1"/>
      <protection locked="0"/>
    </xf>
    <xf numFmtId="3" fontId="9" fillId="0" borderId="200" xfId="102" applyNumberFormat="1" applyFont="1" applyBorder="1" applyAlignment="1" applyProtection="1">
      <alignment horizontal="center" vertical="center" wrapText="1"/>
      <protection locked="0"/>
    </xf>
    <xf numFmtId="3" fontId="9" fillId="0" borderId="158" xfId="102" applyNumberFormat="1" applyFont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Border="1" applyAlignment="1">
      <alignment horizontal="left" vertical="top"/>
    </xf>
    <xf numFmtId="3" fontId="12" fillId="0" borderId="210" xfId="93" applyNumberFormat="1" applyFont="1" applyFill="1" applyBorder="1" applyAlignment="1">
      <alignment horizontal="center" vertical="center" wrapText="1"/>
      <protection/>
    </xf>
    <xf numFmtId="3" fontId="12" fillId="0" borderId="211" xfId="93" applyNumberFormat="1" applyFont="1" applyFill="1" applyBorder="1" applyAlignment="1">
      <alignment horizontal="center" vertical="center" wrapText="1"/>
      <protection/>
    </xf>
    <xf numFmtId="3" fontId="9" fillId="0" borderId="212" xfId="0" applyNumberFormat="1" applyFont="1" applyFill="1" applyBorder="1" applyAlignment="1">
      <alignment horizontal="center" vertical="center"/>
    </xf>
    <xf numFmtId="3" fontId="9" fillId="0" borderId="213" xfId="0" applyNumberFormat="1" applyFont="1" applyFill="1" applyBorder="1" applyAlignment="1">
      <alignment horizontal="center" vertical="center"/>
    </xf>
    <xf numFmtId="3" fontId="9" fillId="0" borderId="210" xfId="93" applyNumberFormat="1" applyFont="1" applyFill="1" applyBorder="1" applyAlignment="1">
      <alignment horizontal="center" vertical="center" wrapText="1"/>
      <protection/>
    </xf>
    <xf numFmtId="3" fontId="9" fillId="0" borderId="211" xfId="93" applyNumberFormat="1" applyFont="1" applyFill="1" applyBorder="1" applyAlignment="1">
      <alignment horizontal="center" vertical="center" wrapText="1"/>
      <protection/>
    </xf>
    <xf numFmtId="3" fontId="9" fillId="0" borderId="214" xfId="93" applyNumberFormat="1" applyFont="1" applyFill="1" applyBorder="1" applyAlignment="1">
      <alignment horizontal="center" vertical="center" textRotation="90"/>
      <protection/>
    </xf>
    <xf numFmtId="3" fontId="9" fillId="0" borderId="215" xfId="93" applyNumberFormat="1" applyFont="1" applyFill="1" applyBorder="1" applyAlignment="1">
      <alignment horizontal="center" vertical="center" textRotation="90"/>
      <protection/>
    </xf>
    <xf numFmtId="3" fontId="9" fillId="0" borderId="210" xfId="93" applyNumberFormat="1" applyFont="1" applyFill="1" applyBorder="1" applyAlignment="1">
      <alignment horizontal="center" vertical="center" textRotation="90"/>
      <protection/>
    </xf>
    <xf numFmtId="3" fontId="9" fillId="0" borderId="211" xfId="93" applyNumberFormat="1" applyFont="1" applyFill="1" applyBorder="1" applyAlignment="1">
      <alignment horizontal="center" vertical="center" textRotation="90"/>
      <protection/>
    </xf>
    <xf numFmtId="3" fontId="9" fillId="0" borderId="216" xfId="93" applyNumberFormat="1" applyFont="1" applyFill="1" applyBorder="1" applyAlignment="1">
      <alignment horizontal="center" vertical="center" wrapText="1"/>
      <protection/>
    </xf>
    <xf numFmtId="3" fontId="9" fillId="0" borderId="217" xfId="93" applyNumberFormat="1" applyFont="1" applyFill="1" applyBorder="1" applyAlignment="1">
      <alignment horizontal="center" vertical="center" wrapText="1"/>
      <protection/>
    </xf>
    <xf numFmtId="0" fontId="12" fillId="0" borderId="210" xfId="93" applyFont="1" applyFill="1" applyBorder="1" applyAlignment="1">
      <alignment horizontal="center" vertical="center" wrapText="1"/>
      <protection/>
    </xf>
    <xf numFmtId="0" fontId="12" fillId="0" borderId="211" xfId="93" applyFont="1" applyFill="1" applyBorder="1" applyAlignment="1">
      <alignment horizontal="center" vertical="center" wrapText="1"/>
      <protection/>
    </xf>
    <xf numFmtId="3" fontId="12" fillId="0" borderId="129" xfId="93" applyNumberFormat="1" applyFont="1" applyFill="1" applyBorder="1" applyAlignment="1">
      <alignment horizontal="center" vertical="center" wrapText="1"/>
      <protection/>
    </xf>
    <xf numFmtId="3" fontId="12" fillId="0" borderId="156" xfId="93" applyNumberFormat="1" applyFont="1" applyFill="1" applyBorder="1" applyAlignment="1">
      <alignment horizontal="center" vertical="center" wrapText="1"/>
      <protection/>
    </xf>
    <xf numFmtId="3" fontId="12" fillId="0" borderId="218" xfId="93" applyNumberFormat="1" applyFont="1" applyFill="1" applyBorder="1" applyAlignment="1">
      <alignment horizontal="center" vertical="center" wrapText="1"/>
      <protection/>
    </xf>
    <xf numFmtId="3" fontId="9" fillId="0" borderId="204" xfId="0" applyNumberFormat="1" applyFont="1" applyFill="1" applyBorder="1" applyAlignment="1">
      <alignment horizontal="center" vertical="center" textRotation="90" wrapText="1"/>
    </xf>
    <xf numFmtId="0" fontId="9" fillId="0" borderId="205" xfId="0" applyFont="1" applyFill="1" applyBorder="1" applyAlignment="1">
      <alignment horizontal="center" vertical="center" textRotation="90" wrapText="1"/>
    </xf>
    <xf numFmtId="3" fontId="11" fillId="0" borderId="164" xfId="0" applyNumberFormat="1" applyFont="1" applyFill="1" applyBorder="1" applyAlignment="1">
      <alignment horizontal="left" wrapText="1"/>
    </xf>
    <xf numFmtId="3" fontId="11" fillId="0" borderId="196" xfId="0" applyNumberFormat="1" applyFont="1" applyFill="1" applyBorder="1" applyAlignment="1">
      <alignment horizontal="left" wrapText="1"/>
    </xf>
    <xf numFmtId="3" fontId="11" fillId="0" borderId="219" xfId="0" applyNumberFormat="1" applyFont="1" applyFill="1" applyBorder="1" applyAlignment="1">
      <alignment horizontal="left" wrapText="1"/>
    </xf>
    <xf numFmtId="3" fontId="82" fillId="0" borderId="27" xfId="93" applyNumberFormat="1" applyFont="1" applyFill="1" applyBorder="1" applyAlignment="1">
      <alignment horizontal="left" wrapText="1"/>
      <protection/>
    </xf>
    <xf numFmtId="0" fontId="0" fillId="0" borderId="92" xfId="0" applyFill="1" applyBorder="1" applyAlignment="1">
      <alignment horizontal="left" wrapText="1"/>
    </xf>
    <xf numFmtId="0" fontId="0" fillId="0" borderId="220" xfId="0" applyFill="1" applyBorder="1" applyAlignment="1">
      <alignment horizontal="left" wrapText="1"/>
    </xf>
    <xf numFmtId="3" fontId="11" fillId="0" borderId="27" xfId="0" applyNumberFormat="1" applyFont="1" applyFill="1" applyBorder="1" applyAlignment="1">
      <alignment horizontal="left" wrapText="1"/>
    </xf>
    <xf numFmtId="3" fontId="82" fillId="0" borderId="167" xfId="93" applyNumberFormat="1" applyFont="1" applyFill="1" applyBorder="1" applyAlignment="1">
      <alignment horizontal="left" wrapText="1"/>
      <protection/>
    </xf>
    <xf numFmtId="0" fontId="0" fillId="0" borderId="161" xfId="0" applyFill="1" applyBorder="1" applyAlignment="1">
      <alignment horizontal="left" wrapText="1"/>
    </xf>
    <xf numFmtId="0" fontId="0" fillId="0" borderId="221" xfId="0" applyFill="1" applyBorder="1" applyAlignment="1">
      <alignment horizontal="left" wrapText="1"/>
    </xf>
    <xf numFmtId="3" fontId="2" fillId="0" borderId="0" xfId="93" applyNumberFormat="1" applyFont="1" applyFill="1" applyAlignment="1">
      <alignment horizontal="left"/>
      <protection/>
    </xf>
    <xf numFmtId="3" fontId="2" fillId="0" borderId="0" xfId="93" applyNumberFormat="1" applyFont="1" applyFill="1" applyAlignment="1">
      <alignment horizontal="right"/>
      <protection/>
    </xf>
    <xf numFmtId="3" fontId="4" fillId="0" borderId="0" xfId="93" applyNumberFormat="1" applyFont="1" applyFill="1" applyAlignment="1">
      <alignment horizontal="center"/>
      <protection/>
    </xf>
    <xf numFmtId="3" fontId="4" fillId="0" borderId="0" xfId="93" applyNumberFormat="1" applyFont="1" applyFill="1" applyAlignment="1">
      <alignment horizontal="center" vertical="center"/>
      <protection/>
    </xf>
    <xf numFmtId="3" fontId="11" fillId="0" borderId="0" xfId="93" applyNumberFormat="1" applyFont="1" applyFill="1" applyAlignment="1">
      <alignment horizontal="right"/>
      <protection/>
    </xf>
    <xf numFmtId="0" fontId="2" fillId="0" borderId="0" xfId="103" applyFont="1" applyFill="1" applyBorder="1" applyAlignment="1">
      <alignment horizontal="left" vertical="center"/>
      <protection/>
    </xf>
    <xf numFmtId="3" fontId="12" fillId="0" borderId="19" xfId="94" applyNumberFormat="1" applyFont="1" applyFill="1" applyBorder="1" applyAlignment="1">
      <alignment horizontal="center" vertical="center" wrapText="1"/>
      <protection/>
    </xf>
    <xf numFmtId="3" fontId="12" fillId="0" borderId="20" xfId="94" applyNumberFormat="1" applyFont="1" applyFill="1" applyBorder="1" applyAlignment="1">
      <alignment horizontal="center" vertical="center" wrapText="1"/>
      <protection/>
    </xf>
    <xf numFmtId="3" fontId="12" fillId="0" borderId="222" xfId="94" applyNumberFormat="1" applyFont="1" applyFill="1" applyBorder="1" applyAlignment="1">
      <alignment horizontal="center" vertical="center" wrapText="1"/>
      <protection/>
    </xf>
    <xf numFmtId="3" fontId="2" fillId="0" borderId="0" xfId="102" applyNumberFormat="1" applyFont="1" applyFill="1" applyBorder="1" applyAlignment="1">
      <alignment horizontal="right"/>
      <protection/>
    </xf>
    <xf numFmtId="0" fontId="4" fillId="0" borderId="0" xfId="102" applyFont="1" applyFill="1" applyBorder="1" applyAlignment="1">
      <alignment horizontal="center"/>
      <protection/>
    </xf>
    <xf numFmtId="0" fontId="4" fillId="0" borderId="0" xfId="103" applyFont="1" applyFill="1" applyBorder="1" applyAlignment="1">
      <alignment horizontal="center" vertical="center"/>
      <protection/>
    </xf>
    <xf numFmtId="3" fontId="12" fillId="0" borderId="204" xfId="102" applyNumberFormat="1" applyFont="1" applyFill="1" applyBorder="1" applyAlignment="1">
      <alignment horizontal="center" vertical="center" wrapText="1"/>
      <protection/>
    </xf>
    <xf numFmtId="3" fontId="12" fillId="0" borderId="200" xfId="102" applyNumberFormat="1" applyFont="1" applyFill="1" applyBorder="1" applyAlignment="1">
      <alignment horizontal="center" vertical="center" wrapText="1"/>
      <protection/>
    </xf>
    <xf numFmtId="3" fontId="12" fillId="0" borderId="201" xfId="102" applyNumberFormat="1" applyFont="1" applyFill="1" applyBorder="1" applyAlignment="1">
      <alignment horizontal="center" vertical="center" wrapText="1"/>
      <protection/>
    </xf>
    <xf numFmtId="3" fontId="9" fillId="0" borderId="223" xfId="102" applyNumberFormat="1" applyFont="1" applyFill="1" applyBorder="1" applyAlignment="1">
      <alignment horizontal="center" vertical="center" wrapText="1"/>
      <protection/>
    </xf>
    <xf numFmtId="3" fontId="9" fillId="0" borderId="224" xfId="102" applyNumberFormat="1" applyFont="1" applyFill="1" applyBorder="1" applyAlignment="1">
      <alignment horizontal="center" vertical="center" wrapText="1"/>
      <protection/>
    </xf>
    <xf numFmtId="3" fontId="9" fillId="0" borderId="225" xfId="102" applyNumberFormat="1" applyFont="1" applyFill="1" applyBorder="1" applyAlignment="1">
      <alignment horizontal="center" vertical="center" wrapText="1"/>
      <protection/>
    </xf>
    <xf numFmtId="3" fontId="9" fillId="0" borderId="226" xfId="102" applyNumberFormat="1" applyFont="1" applyFill="1" applyBorder="1" applyAlignment="1">
      <alignment horizontal="center" vertical="center" wrapText="1"/>
      <protection/>
    </xf>
    <xf numFmtId="3" fontId="9" fillId="0" borderId="227" xfId="102" applyNumberFormat="1" applyFont="1" applyFill="1" applyBorder="1" applyAlignment="1">
      <alignment horizontal="center" vertical="center" wrapText="1"/>
      <protection/>
    </xf>
    <xf numFmtId="3" fontId="9" fillId="0" borderId="44" xfId="102" applyNumberFormat="1" applyFont="1" applyFill="1" applyBorder="1" applyAlignment="1">
      <alignment horizontal="center" vertical="center" wrapText="1"/>
      <protection/>
    </xf>
    <xf numFmtId="3" fontId="9" fillId="0" borderId="142" xfId="93" applyNumberFormat="1" applyFont="1" applyFill="1" applyBorder="1" applyAlignment="1">
      <alignment horizontal="center" vertical="center" textRotation="90"/>
      <protection/>
    </xf>
    <xf numFmtId="3" fontId="9" fillId="0" borderId="144" xfId="93" applyNumberFormat="1" applyFont="1" applyFill="1" applyBorder="1" applyAlignment="1">
      <alignment horizontal="center" vertical="center" textRotation="90"/>
      <protection/>
    </xf>
    <xf numFmtId="3" fontId="9" fillId="0" borderId="145" xfId="93" applyNumberFormat="1" applyFont="1" applyFill="1" applyBorder="1" applyAlignment="1">
      <alignment horizontal="center" vertical="center" textRotation="90"/>
      <protection/>
    </xf>
    <xf numFmtId="3" fontId="9" fillId="0" borderId="226" xfId="93" applyNumberFormat="1" applyFont="1" applyFill="1" applyBorder="1" applyAlignment="1">
      <alignment horizontal="center" vertical="center" textRotation="90"/>
      <protection/>
    </xf>
    <xf numFmtId="3" fontId="9" fillId="0" borderId="227" xfId="93" applyNumberFormat="1" applyFont="1" applyFill="1" applyBorder="1" applyAlignment="1">
      <alignment horizontal="center" vertical="center" textRotation="90"/>
      <protection/>
    </xf>
    <xf numFmtId="3" fontId="9" fillId="0" borderId="44" xfId="93" applyNumberFormat="1" applyFont="1" applyFill="1" applyBorder="1" applyAlignment="1">
      <alignment horizontal="center" vertical="center" textRotation="90"/>
      <protection/>
    </xf>
    <xf numFmtId="0" fontId="12" fillId="0" borderId="200" xfId="102" applyFont="1" applyFill="1" applyBorder="1" applyAlignment="1">
      <alignment horizontal="center" vertical="center" wrapText="1"/>
      <protection/>
    </xf>
    <xf numFmtId="0" fontId="12" fillId="0" borderId="228" xfId="102" applyFont="1" applyFill="1" applyBorder="1" applyAlignment="1">
      <alignment horizontal="center" vertical="center" wrapText="1"/>
      <protection/>
    </xf>
    <xf numFmtId="0" fontId="12" fillId="0" borderId="158" xfId="102" applyFont="1" applyFill="1" applyBorder="1" applyAlignment="1">
      <alignment horizontal="center" vertical="center" wrapText="1"/>
      <protection/>
    </xf>
    <xf numFmtId="3" fontId="9" fillId="0" borderId="194" xfId="102" applyNumberFormat="1" applyFont="1" applyFill="1" applyBorder="1" applyAlignment="1">
      <alignment horizontal="center" vertical="center" wrapText="1"/>
      <protection/>
    </xf>
    <xf numFmtId="3" fontId="12" fillId="0" borderId="229" xfId="102" applyNumberFormat="1" applyFont="1" applyFill="1" applyBorder="1" applyAlignment="1">
      <alignment horizontal="center" vertical="center" wrapText="1"/>
      <protection/>
    </xf>
    <xf numFmtId="3" fontId="12" fillId="0" borderId="230" xfId="102" applyNumberFormat="1" applyFont="1" applyFill="1" applyBorder="1" applyAlignment="1">
      <alignment horizontal="center" vertical="center" wrapText="1"/>
      <protection/>
    </xf>
    <xf numFmtId="0" fontId="9" fillId="0" borderId="231" xfId="102" applyFont="1" applyFill="1" applyBorder="1" applyAlignment="1">
      <alignment horizontal="center" vertical="center" textRotation="90" wrapText="1"/>
      <protection/>
    </xf>
    <xf numFmtId="0" fontId="9" fillId="0" borderId="232" xfId="102" applyFont="1" applyFill="1" applyBorder="1" applyAlignment="1">
      <alignment horizontal="center" vertical="center" textRotation="90" wrapText="1"/>
      <protection/>
    </xf>
    <xf numFmtId="0" fontId="9" fillId="0" borderId="43" xfId="102" applyFont="1" applyFill="1" applyBorder="1" applyAlignment="1">
      <alignment horizontal="center" vertical="center" textRotation="90" wrapText="1"/>
      <protection/>
    </xf>
    <xf numFmtId="3" fontId="9" fillId="0" borderId="233" xfId="102" applyNumberFormat="1" applyFont="1" applyFill="1" applyBorder="1" applyAlignment="1">
      <alignment horizontal="center" vertical="center" wrapText="1"/>
      <protection/>
    </xf>
    <xf numFmtId="3" fontId="9" fillId="0" borderId="56" xfId="102" applyNumberFormat="1" applyFont="1" applyFill="1" applyBorder="1" applyAlignment="1">
      <alignment horizontal="center" vertical="center" wrapText="1"/>
      <protection/>
    </xf>
    <xf numFmtId="3" fontId="9" fillId="0" borderId="171" xfId="102" applyNumberFormat="1" applyFont="1" applyFill="1" applyBorder="1" applyAlignment="1">
      <alignment horizontal="center" vertical="center" wrapText="1"/>
      <protection/>
    </xf>
    <xf numFmtId="3" fontId="12" fillId="0" borderId="72" xfId="102" applyNumberFormat="1" applyFont="1" applyFill="1" applyBorder="1" applyAlignment="1">
      <alignment horizontal="center" vertical="center" wrapText="1"/>
      <protection/>
    </xf>
    <xf numFmtId="3" fontId="12" fillId="0" borderId="234" xfId="102" applyNumberFormat="1" applyFont="1" applyFill="1" applyBorder="1" applyAlignment="1">
      <alignment horizontal="center" vertical="center" wrapText="1"/>
      <protection/>
    </xf>
    <xf numFmtId="3" fontId="4" fillId="0" borderId="19" xfId="94" applyNumberFormat="1" applyFont="1" applyFill="1" applyBorder="1" applyAlignment="1">
      <alignment horizontal="center" vertical="center" wrapText="1"/>
      <protection/>
    </xf>
    <xf numFmtId="3" fontId="4" fillId="0" borderId="20" xfId="94" applyNumberFormat="1" applyFont="1" applyFill="1" applyBorder="1" applyAlignment="1">
      <alignment horizontal="center" vertical="center" wrapText="1"/>
      <protection/>
    </xf>
    <xf numFmtId="3" fontId="4" fillId="0" borderId="222" xfId="94" applyNumberFormat="1" applyFont="1" applyFill="1" applyBorder="1" applyAlignment="1">
      <alignment horizontal="center" vertical="center" wrapText="1"/>
      <protection/>
    </xf>
    <xf numFmtId="3" fontId="2" fillId="0" borderId="226" xfId="93" applyNumberFormat="1" applyFont="1" applyFill="1" applyBorder="1" applyAlignment="1">
      <alignment horizontal="center" vertical="center" textRotation="90"/>
      <protection/>
    </xf>
    <xf numFmtId="3" fontId="2" fillId="0" borderId="227" xfId="93" applyNumberFormat="1" applyFont="1" applyFill="1" applyBorder="1" applyAlignment="1">
      <alignment horizontal="center" vertical="center" textRotation="90"/>
      <protection/>
    </xf>
    <xf numFmtId="3" fontId="2" fillId="0" borderId="44" xfId="93" applyNumberFormat="1" applyFont="1" applyFill="1" applyBorder="1" applyAlignment="1">
      <alignment horizontal="center" vertical="center" textRotation="90"/>
      <protection/>
    </xf>
    <xf numFmtId="0" fontId="2" fillId="0" borderId="0" xfId="102" applyFont="1" applyFill="1" applyBorder="1" applyAlignment="1">
      <alignment horizontal="center"/>
      <protection/>
    </xf>
    <xf numFmtId="3" fontId="2" fillId="0" borderId="142" xfId="93" applyNumberFormat="1" applyFont="1" applyFill="1" applyBorder="1" applyAlignment="1">
      <alignment horizontal="center" vertical="center" textRotation="90"/>
      <protection/>
    </xf>
    <xf numFmtId="3" fontId="2" fillId="0" borderId="144" xfId="93" applyNumberFormat="1" applyFont="1" applyFill="1" applyBorder="1" applyAlignment="1">
      <alignment horizontal="center" vertical="center" textRotation="90"/>
      <protection/>
    </xf>
    <xf numFmtId="3" fontId="2" fillId="0" borderId="145" xfId="93" applyNumberFormat="1" applyFont="1" applyFill="1" applyBorder="1" applyAlignment="1">
      <alignment horizontal="center" vertical="center" textRotation="90"/>
      <protection/>
    </xf>
    <xf numFmtId="3" fontId="2" fillId="0" borderId="226" xfId="102" applyNumberFormat="1" applyFont="1" applyFill="1" applyBorder="1" applyAlignment="1">
      <alignment horizontal="center" vertical="center" wrapText="1"/>
      <protection/>
    </xf>
    <xf numFmtId="3" fontId="2" fillId="0" borderId="227" xfId="102" applyNumberFormat="1" applyFont="1" applyFill="1" applyBorder="1" applyAlignment="1">
      <alignment horizontal="center" vertical="center" wrapText="1"/>
      <protection/>
    </xf>
    <xf numFmtId="3" fontId="2" fillId="0" borderId="44" xfId="102" applyNumberFormat="1" applyFont="1" applyFill="1" applyBorder="1" applyAlignment="1">
      <alignment horizontal="center" vertical="center" wrapText="1"/>
      <protection/>
    </xf>
    <xf numFmtId="0" fontId="2" fillId="0" borderId="0" xfId="103" applyFont="1" applyFill="1" applyBorder="1" applyAlignment="1">
      <alignment horizontal="left"/>
      <protection/>
    </xf>
    <xf numFmtId="0" fontId="4" fillId="0" borderId="0" xfId="103" applyFont="1" applyFill="1" applyBorder="1" applyAlignment="1">
      <alignment horizontal="center"/>
      <protection/>
    </xf>
    <xf numFmtId="0" fontId="2" fillId="0" borderId="200" xfId="102" applyFont="1" applyFill="1" applyBorder="1" applyAlignment="1">
      <alignment horizontal="center" vertical="center"/>
      <protection/>
    </xf>
    <xf numFmtId="0" fontId="2" fillId="0" borderId="228" xfId="102" applyFont="1" applyFill="1" applyBorder="1" applyAlignment="1">
      <alignment horizontal="center" vertical="center"/>
      <protection/>
    </xf>
    <xf numFmtId="0" fontId="2" fillId="0" borderId="158" xfId="102" applyFont="1" applyFill="1" applyBorder="1" applyAlignment="1">
      <alignment horizontal="center" vertical="center"/>
      <protection/>
    </xf>
    <xf numFmtId="3" fontId="2" fillId="0" borderId="233" xfId="102" applyNumberFormat="1" applyFont="1" applyFill="1" applyBorder="1" applyAlignment="1">
      <alignment horizontal="center" vertical="center" wrapText="1"/>
      <protection/>
    </xf>
    <xf numFmtId="3" fontId="2" fillId="0" borderId="56" xfId="102" applyNumberFormat="1" applyFont="1" applyFill="1" applyBorder="1" applyAlignment="1">
      <alignment horizontal="center" vertical="center" wrapText="1"/>
      <protection/>
    </xf>
    <xf numFmtId="3" fontId="2" fillId="0" borderId="171" xfId="102" applyNumberFormat="1" applyFont="1" applyFill="1" applyBorder="1" applyAlignment="1">
      <alignment horizontal="center" vertical="center" wrapText="1"/>
      <protection/>
    </xf>
    <xf numFmtId="3" fontId="2" fillId="0" borderId="188" xfId="102" applyNumberFormat="1" applyFont="1" applyFill="1" applyBorder="1" applyAlignment="1">
      <alignment horizontal="center" vertical="center" wrapText="1"/>
      <protection/>
    </xf>
    <xf numFmtId="3" fontId="2" fillId="0" borderId="189" xfId="102" applyNumberFormat="1" applyFont="1" applyFill="1" applyBorder="1" applyAlignment="1">
      <alignment horizontal="center" vertical="center" wrapText="1"/>
      <protection/>
    </xf>
    <xf numFmtId="3" fontId="2" fillId="0" borderId="223" xfId="102" applyNumberFormat="1" applyFont="1" applyFill="1" applyBorder="1" applyAlignment="1">
      <alignment horizontal="center" vertical="center" wrapText="1"/>
      <protection/>
    </xf>
    <xf numFmtId="3" fontId="2" fillId="0" borderId="224" xfId="102" applyNumberFormat="1" applyFont="1" applyFill="1" applyBorder="1" applyAlignment="1">
      <alignment horizontal="center" vertical="center" wrapText="1"/>
      <protection/>
    </xf>
    <xf numFmtId="3" fontId="2" fillId="0" borderId="225" xfId="102" applyNumberFormat="1" applyFont="1" applyFill="1" applyBorder="1" applyAlignment="1">
      <alignment horizontal="center" vertical="center" wrapText="1"/>
      <protection/>
    </xf>
    <xf numFmtId="3" fontId="2" fillId="0" borderId="235" xfId="102" applyNumberFormat="1" applyFont="1" applyFill="1" applyBorder="1" applyAlignment="1">
      <alignment horizontal="center" vertical="center" wrapText="1"/>
      <protection/>
    </xf>
    <xf numFmtId="3" fontId="2" fillId="0" borderId="236" xfId="102" applyNumberFormat="1" applyFont="1" applyFill="1" applyBorder="1" applyAlignment="1">
      <alignment horizontal="center" vertical="center" wrapText="1"/>
      <protection/>
    </xf>
    <xf numFmtId="3" fontId="2" fillId="0" borderId="237" xfId="102" applyNumberFormat="1" applyFont="1" applyFill="1" applyBorder="1" applyAlignment="1">
      <alignment horizontal="center" vertical="center" wrapText="1"/>
      <protection/>
    </xf>
    <xf numFmtId="3" fontId="2" fillId="0" borderId="238" xfId="102" applyNumberFormat="1" applyFont="1" applyFill="1" applyBorder="1" applyAlignment="1">
      <alignment horizontal="center" vertical="center" wrapText="1"/>
      <protection/>
    </xf>
    <xf numFmtId="3" fontId="4" fillId="0" borderId="76" xfId="102" applyNumberFormat="1" applyFont="1" applyFill="1" applyBorder="1" applyAlignment="1">
      <alignment horizontal="center" vertical="center" wrapText="1"/>
      <protection/>
    </xf>
    <xf numFmtId="3" fontId="4" fillId="0" borderId="230" xfId="102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9" fillId="0" borderId="106" xfId="53" applyNumberFormat="1" applyFont="1" applyFill="1" applyBorder="1" applyAlignment="1">
      <alignment horizontal="center" vertical="center"/>
    </xf>
    <xf numFmtId="3" fontId="9" fillId="0" borderId="28" xfId="53" applyNumberFormat="1" applyFont="1" applyFill="1" applyBorder="1" applyAlignment="1">
      <alignment horizontal="center" vertical="center"/>
    </xf>
    <xf numFmtId="14" fontId="9" fillId="33" borderId="106" xfId="100" applyNumberFormat="1" applyFont="1" applyFill="1" applyBorder="1" applyAlignment="1">
      <alignment horizontal="center" vertical="center"/>
      <protection/>
    </xf>
    <xf numFmtId="14" fontId="9" fillId="33" borderId="28" xfId="100" applyNumberFormat="1" applyFont="1" applyFill="1" applyBorder="1" applyAlignment="1">
      <alignment horizontal="center" vertical="center"/>
      <protection/>
    </xf>
    <xf numFmtId="0" fontId="9" fillId="0" borderId="25" xfId="100" applyFont="1" applyBorder="1" applyAlignment="1">
      <alignment horizontal="center" vertical="center"/>
      <protection/>
    </xf>
    <xf numFmtId="0" fontId="9" fillId="0" borderId="132" xfId="100" applyFont="1" applyBorder="1" applyAlignment="1">
      <alignment horizontal="center" vertical="top"/>
      <protection/>
    </xf>
    <xf numFmtId="0" fontId="9" fillId="0" borderId="30" xfId="100" applyFont="1" applyBorder="1" applyAlignment="1">
      <alignment horizontal="center" vertical="top"/>
      <protection/>
    </xf>
    <xf numFmtId="0" fontId="9" fillId="0" borderId="106" xfId="100" applyFont="1" applyBorder="1" applyAlignment="1">
      <alignment horizontal="center" vertical="center" wrapText="1"/>
      <protection/>
    </xf>
    <xf numFmtId="0" fontId="9" fillId="0" borderId="28" xfId="100" applyFont="1" applyBorder="1" applyAlignment="1">
      <alignment horizontal="center" vertical="center" wrapText="1"/>
      <protection/>
    </xf>
    <xf numFmtId="14" fontId="9" fillId="0" borderId="106" xfId="100" applyNumberFormat="1" applyFont="1" applyBorder="1" applyAlignment="1">
      <alignment horizontal="center" vertical="center"/>
      <protection/>
    </xf>
    <xf numFmtId="14" fontId="9" fillId="0" borderId="28" xfId="100" applyNumberFormat="1" applyFont="1" applyBorder="1" applyAlignment="1">
      <alignment horizontal="center" vertical="center"/>
      <protection/>
    </xf>
    <xf numFmtId="3" fontId="9" fillId="0" borderId="239" xfId="53" applyNumberFormat="1" applyFont="1" applyFill="1" applyBorder="1" applyAlignment="1">
      <alignment horizontal="center" vertical="center"/>
    </xf>
    <xf numFmtId="14" fontId="9" fillId="0" borderId="239" xfId="100" applyNumberFormat="1" applyFont="1" applyBorder="1" applyAlignment="1">
      <alignment horizontal="center" vertical="center"/>
      <protection/>
    </xf>
    <xf numFmtId="0" fontId="9" fillId="0" borderId="240" xfId="100" applyFont="1" applyBorder="1" applyAlignment="1">
      <alignment horizontal="center" vertical="top"/>
      <protection/>
    </xf>
    <xf numFmtId="0" fontId="9" fillId="0" borderId="239" xfId="100" applyFont="1" applyBorder="1" applyAlignment="1">
      <alignment horizontal="center" vertical="center" wrapText="1"/>
      <protection/>
    </xf>
    <xf numFmtId="0" fontId="9" fillId="0" borderId="15" xfId="98" applyFont="1" applyBorder="1" applyAlignment="1">
      <alignment horizontal="center"/>
      <protection/>
    </xf>
    <xf numFmtId="0" fontId="9" fillId="0" borderId="241" xfId="97" applyFont="1" applyBorder="1" applyAlignment="1">
      <alignment horizontal="center" vertical="center" wrapText="1"/>
      <protection/>
    </xf>
    <xf numFmtId="0" fontId="9" fillId="0" borderId="242" xfId="97" applyFont="1" applyBorder="1" applyAlignment="1">
      <alignment horizontal="center" vertical="center" wrapText="1"/>
      <protection/>
    </xf>
    <xf numFmtId="3" fontId="2" fillId="0" borderId="0" xfId="92" applyNumberFormat="1" applyFont="1" applyAlignment="1">
      <alignment horizontal="left"/>
      <protection/>
    </xf>
    <xf numFmtId="0" fontId="45" fillId="0" borderId="0" xfId="97" applyFont="1" applyFill="1" applyAlignment="1">
      <alignment horizontal="center"/>
      <protection/>
    </xf>
    <xf numFmtId="0" fontId="5" fillId="0" borderId="0" xfId="100" applyFont="1" applyAlignment="1">
      <alignment horizontal="right"/>
      <protection/>
    </xf>
    <xf numFmtId="0" fontId="4" fillId="0" borderId="0" xfId="97" applyFont="1" applyAlignment="1">
      <alignment horizontal="center" vertical="center"/>
      <protection/>
    </xf>
    <xf numFmtId="0" fontId="4" fillId="0" borderId="0" xfId="96" applyFont="1" applyFill="1" applyBorder="1" applyAlignment="1">
      <alignment horizontal="center"/>
      <protection/>
    </xf>
    <xf numFmtId="0" fontId="4" fillId="0" borderId="0" xfId="96" applyFont="1" applyFill="1" applyBorder="1" applyAlignment="1">
      <alignment horizontal="center" vertical="center"/>
      <protection/>
    </xf>
    <xf numFmtId="0" fontId="2" fillId="0" borderId="243" xfId="96" applyFont="1" applyFill="1" applyBorder="1" applyAlignment="1">
      <alignment horizontal="center" vertical="center" wrapText="1"/>
      <protection/>
    </xf>
    <xf numFmtId="0" fontId="2" fillId="0" borderId="181" xfId="96" applyFont="1" applyFill="1" applyBorder="1" applyAlignment="1">
      <alignment horizontal="center" vertical="center" wrapText="1"/>
      <protection/>
    </xf>
    <xf numFmtId="0" fontId="2" fillId="0" borderId="244" xfId="96" applyFont="1" applyFill="1" applyBorder="1" applyAlignment="1">
      <alignment horizontal="left" vertical="center" wrapText="1"/>
      <protection/>
    </xf>
    <xf numFmtId="0" fontId="2" fillId="0" borderId="235" xfId="96" applyFont="1" applyFill="1" applyBorder="1" applyAlignment="1">
      <alignment horizontal="left" vertical="center" wrapText="1"/>
      <protection/>
    </xf>
    <xf numFmtId="3" fontId="2" fillId="0" borderId="178" xfId="0" applyNumberFormat="1" applyFont="1" applyBorder="1" applyAlignment="1">
      <alignment horizontal="right" vertical="center" wrapText="1"/>
    </xf>
    <xf numFmtId="3" fontId="2" fillId="0" borderId="69" xfId="0" applyNumberFormat="1" applyFont="1" applyBorder="1" applyAlignment="1">
      <alignment horizontal="right" vertical="center" wrapText="1"/>
    </xf>
    <xf numFmtId="2" fontId="4" fillId="0" borderId="19" xfId="96" applyNumberFormat="1" applyFont="1" applyFill="1" applyBorder="1" applyAlignment="1">
      <alignment horizontal="center" vertical="center" wrapText="1"/>
      <protection/>
    </xf>
    <xf numFmtId="2" fontId="4" fillId="0" borderId="20" xfId="96" applyNumberFormat="1" applyFont="1" applyFill="1" applyBorder="1" applyAlignment="1">
      <alignment horizontal="center" vertical="center" wrapText="1"/>
      <protection/>
    </xf>
    <xf numFmtId="2" fontId="4" fillId="0" borderId="173" xfId="96" applyNumberFormat="1" applyFont="1" applyFill="1" applyBorder="1" applyAlignment="1">
      <alignment horizontal="center" vertical="center" wrapText="1"/>
      <protection/>
    </xf>
    <xf numFmtId="0" fontId="2" fillId="0" borderId="71" xfId="94" applyFont="1" applyFill="1" applyBorder="1" applyAlignment="1">
      <alignment horizontal="center" vertical="center" wrapText="1"/>
      <protection/>
    </xf>
    <xf numFmtId="0" fontId="2" fillId="0" borderId="181" xfId="94" applyFont="1" applyFill="1" applyBorder="1" applyAlignment="1">
      <alignment horizontal="center" vertical="center" wrapText="1"/>
      <protection/>
    </xf>
    <xf numFmtId="0" fontId="2" fillId="0" borderId="72" xfId="94" applyFont="1" applyFill="1" applyBorder="1" applyAlignment="1">
      <alignment horizontal="left" vertical="center" wrapText="1"/>
      <protection/>
    </xf>
    <xf numFmtId="0" fontId="2" fillId="0" borderId="204" xfId="94" applyFont="1" applyFill="1" applyBorder="1" applyAlignment="1">
      <alignment horizontal="left" vertical="center" wrapText="1"/>
      <protection/>
    </xf>
    <xf numFmtId="3" fontId="2" fillId="0" borderId="208" xfId="0" applyNumberFormat="1" applyFont="1" applyBorder="1" applyAlignment="1">
      <alignment horizontal="right" vertical="center" wrapText="1"/>
    </xf>
    <xf numFmtId="0" fontId="2" fillId="0" borderId="0" xfId="96" applyFont="1" applyFill="1" applyBorder="1" applyAlignment="1">
      <alignment horizontal="center" vertical="center" wrapText="1"/>
      <protection/>
    </xf>
    <xf numFmtId="0" fontId="88" fillId="0" borderId="244" xfId="96" applyFont="1" applyFill="1" applyBorder="1" applyAlignment="1">
      <alignment horizontal="left" vertical="center" wrapText="1"/>
      <protection/>
    </xf>
    <xf numFmtId="0" fontId="88" fillId="0" borderId="235" xfId="96" applyFont="1" applyFill="1" applyBorder="1" applyAlignment="1">
      <alignment horizontal="left" vertical="center" wrapText="1"/>
      <protection/>
    </xf>
    <xf numFmtId="0" fontId="88" fillId="0" borderId="243" xfId="96" applyFont="1" applyFill="1" applyBorder="1" applyAlignment="1">
      <alignment horizontal="center" vertical="center" wrapText="1"/>
      <protection/>
    </xf>
    <xf numFmtId="0" fontId="88" fillId="0" borderId="181" xfId="96" applyFont="1" applyFill="1" applyBorder="1" applyAlignment="1">
      <alignment horizontal="center" vertical="center" wrapText="1"/>
      <protection/>
    </xf>
    <xf numFmtId="3" fontId="2" fillId="0" borderId="178" xfId="68" applyNumberFormat="1" applyFont="1" applyBorder="1" applyAlignment="1">
      <alignment horizontal="right" vertical="center" wrapText="1"/>
      <protection/>
    </xf>
    <xf numFmtId="3" fontId="2" fillId="0" borderId="69" xfId="68" applyNumberFormat="1" applyFont="1" applyBorder="1" applyAlignment="1">
      <alignment horizontal="right" vertical="center" wrapText="1"/>
      <protection/>
    </xf>
    <xf numFmtId="0" fontId="2" fillId="0" borderId="25" xfId="96" applyFont="1" applyFill="1" applyBorder="1" applyAlignment="1">
      <alignment horizontal="center" vertical="center"/>
      <protection/>
    </xf>
    <xf numFmtId="0" fontId="4" fillId="0" borderId="49" xfId="96" applyFont="1" applyFill="1" applyBorder="1" applyAlignment="1">
      <alignment horizontal="center" vertical="center" wrapText="1"/>
      <protection/>
    </xf>
    <xf numFmtId="0" fontId="4" fillId="0" borderId="34" xfId="96" applyFont="1" applyFill="1" applyBorder="1" applyAlignment="1">
      <alignment horizontal="center" vertical="center" wrapText="1"/>
      <protection/>
    </xf>
    <xf numFmtId="0" fontId="4" fillId="0" borderId="245" xfId="96" applyFont="1" applyFill="1" applyBorder="1" applyAlignment="1">
      <alignment horizontal="center" vertical="center" wrapText="1"/>
      <protection/>
    </xf>
    <xf numFmtId="0" fontId="2" fillId="0" borderId="243" xfId="102" applyFont="1" applyFill="1" applyBorder="1" applyAlignment="1">
      <alignment horizontal="center" vertical="center" wrapText="1"/>
      <protection/>
    </xf>
    <xf numFmtId="0" fontId="2" fillId="0" borderId="181" xfId="102" applyFont="1" applyFill="1" applyBorder="1" applyAlignment="1">
      <alignment horizontal="center" vertical="center" wrapText="1"/>
      <protection/>
    </xf>
    <xf numFmtId="0" fontId="2" fillId="0" borderId="244" xfId="102" applyFont="1" applyFill="1" applyBorder="1" applyAlignment="1">
      <alignment horizontal="left" vertical="center" wrapText="1"/>
      <protection/>
    </xf>
    <xf numFmtId="0" fontId="2" fillId="0" borderId="235" xfId="102" applyFont="1" applyFill="1" applyBorder="1" applyAlignment="1">
      <alignment horizontal="left" vertical="center" wrapText="1"/>
      <protection/>
    </xf>
    <xf numFmtId="3" fontId="2" fillId="0" borderId="0" xfId="95" applyNumberFormat="1" applyFont="1" applyAlignment="1">
      <alignment horizontal="left" wrapText="1"/>
      <protection/>
    </xf>
    <xf numFmtId="3" fontId="4" fillId="0" borderId="19" xfId="95" applyNumberFormat="1" applyFont="1" applyBorder="1" applyAlignment="1">
      <alignment horizontal="center" vertical="center"/>
      <protection/>
    </xf>
    <xf numFmtId="3" fontId="4" fillId="0" borderId="20" xfId="95" applyNumberFormat="1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top"/>
    </xf>
    <xf numFmtId="3" fontId="2" fillId="0" borderId="223" xfId="95" applyNumberFormat="1" applyFont="1" applyBorder="1" applyAlignment="1">
      <alignment horizontal="center" vertical="center" wrapText="1"/>
      <protection/>
    </xf>
    <xf numFmtId="3" fontId="2" fillId="0" borderId="224" xfId="95" applyNumberFormat="1" applyFont="1" applyBorder="1" applyAlignment="1">
      <alignment horizontal="center" vertical="center" wrapText="1"/>
      <protection/>
    </xf>
    <xf numFmtId="3" fontId="2" fillId="0" borderId="141" xfId="95" applyNumberFormat="1" applyFont="1" applyBorder="1" applyAlignment="1">
      <alignment horizontal="center" vertical="center" wrapText="1"/>
      <protection/>
    </xf>
    <xf numFmtId="3" fontId="2" fillId="0" borderId="246" xfId="95" applyNumberFormat="1" applyFont="1" applyFill="1" applyBorder="1" applyAlignment="1">
      <alignment horizontal="center" vertical="center" wrapText="1"/>
      <protection/>
    </xf>
    <xf numFmtId="3" fontId="2" fillId="0" borderId="245" xfId="95" applyNumberFormat="1" applyFont="1" applyFill="1" applyBorder="1" applyAlignment="1">
      <alignment horizontal="center" vertical="center" wrapText="1"/>
      <protection/>
    </xf>
    <xf numFmtId="3" fontId="2" fillId="0" borderId="236" xfId="95" applyNumberFormat="1" applyFont="1" applyFill="1" applyBorder="1" applyAlignment="1">
      <alignment horizontal="center" vertical="center" wrapText="1"/>
      <protection/>
    </xf>
    <xf numFmtId="3" fontId="2" fillId="0" borderId="158" xfId="95" applyNumberFormat="1" applyFont="1" applyFill="1" applyBorder="1" applyAlignment="1">
      <alignment horizontal="center" vertical="center" wrapText="1"/>
      <protection/>
    </xf>
    <xf numFmtId="3" fontId="2" fillId="0" borderId="247" xfId="95" applyNumberFormat="1" applyFont="1" applyFill="1" applyBorder="1" applyAlignment="1">
      <alignment horizontal="center" vertical="center" wrapText="1"/>
      <protection/>
    </xf>
    <xf numFmtId="3" fontId="2" fillId="0" borderId="248" xfId="95" applyNumberFormat="1" applyFont="1" applyFill="1" applyBorder="1" applyAlignment="1">
      <alignment horizontal="center" vertical="center" wrapText="1"/>
      <protection/>
    </xf>
    <xf numFmtId="3" fontId="2" fillId="0" borderId="197" xfId="95" applyNumberFormat="1" applyFont="1" applyBorder="1" applyAlignment="1">
      <alignment horizontal="center" vertical="center" textRotation="90" wrapText="1"/>
      <protection/>
    </xf>
    <xf numFmtId="3" fontId="2" fillId="0" borderId="249" xfId="95" applyNumberFormat="1" applyFont="1" applyBorder="1" applyAlignment="1">
      <alignment horizontal="center" vertical="center" textRotation="90" wrapText="1"/>
      <protection/>
    </xf>
    <xf numFmtId="3" fontId="2" fillId="0" borderId="198" xfId="95" applyNumberFormat="1" applyFont="1" applyBorder="1" applyAlignment="1">
      <alignment horizontal="center" vertical="center" textRotation="90" wrapText="1"/>
      <protection/>
    </xf>
    <xf numFmtId="3" fontId="2" fillId="0" borderId="200" xfId="95" applyNumberFormat="1" applyFont="1" applyBorder="1" applyAlignment="1">
      <alignment horizontal="center" vertical="center" textRotation="90" wrapText="1"/>
      <protection/>
    </xf>
    <xf numFmtId="3" fontId="2" fillId="0" borderId="228" xfId="95" applyNumberFormat="1" applyFont="1" applyBorder="1" applyAlignment="1">
      <alignment horizontal="center" vertical="center" textRotation="90" wrapText="1"/>
      <protection/>
    </xf>
    <xf numFmtId="3" fontId="2" fillId="0" borderId="158" xfId="95" applyNumberFormat="1" applyFont="1" applyBorder="1" applyAlignment="1">
      <alignment horizontal="center" vertical="center" textRotation="90" wrapText="1"/>
      <protection/>
    </xf>
    <xf numFmtId="3" fontId="2" fillId="0" borderId="204" xfId="95" applyNumberFormat="1" applyFont="1" applyBorder="1" applyAlignment="1">
      <alignment horizontal="center" vertical="center" wrapText="1"/>
      <protection/>
    </xf>
    <xf numFmtId="3" fontId="2" fillId="0" borderId="62" xfId="95" applyNumberFormat="1" applyFont="1" applyBorder="1" applyAlignment="1">
      <alignment horizontal="center" vertical="center" wrapText="1"/>
      <protection/>
    </xf>
    <xf numFmtId="3" fontId="2" fillId="0" borderId="205" xfId="95" applyNumberFormat="1" applyFont="1" applyBorder="1" applyAlignment="1">
      <alignment horizontal="center" vertical="center" wrapText="1"/>
      <protection/>
    </xf>
    <xf numFmtId="14" fontId="2" fillId="0" borderId="199" xfId="95" applyNumberFormat="1" applyFont="1" applyBorder="1" applyAlignment="1">
      <alignment horizontal="center" vertical="center" wrapText="1"/>
      <protection/>
    </xf>
    <xf numFmtId="14" fontId="2" fillId="0" borderId="55" xfId="95" applyNumberFormat="1" applyFont="1" applyBorder="1" applyAlignment="1">
      <alignment horizontal="center" vertical="center" wrapText="1"/>
      <protection/>
    </xf>
    <xf numFmtId="14" fontId="2" fillId="0" borderId="67" xfId="95" applyNumberFormat="1" applyFont="1" applyBorder="1" applyAlignment="1">
      <alignment horizontal="center" vertical="center" wrapText="1"/>
      <protection/>
    </xf>
    <xf numFmtId="3" fontId="2" fillId="0" borderId="188" xfId="95" applyNumberFormat="1" applyFont="1" applyFill="1" applyBorder="1" applyAlignment="1">
      <alignment horizontal="center" vertical="center" wrapText="1"/>
      <protection/>
    </xf>
    <xf numFmtId="3" fontId="2" fillId="0" borderId="226" xfId="95" applyNumberFormat="1" applyFont="1" applyFill="1" applyBorder="1" applyAlignment="1">
      <alignment horizontal="center" vertical="center" wrapText="1"/>
      <protection/>
    </xf>
    <xf numFmtId="3" fontId="2" fillId="0" borderId="233" xfId="95" applyNumberFormat="1" applyFont="1" applyFill="1" applyBorder="1" applyAlignment="1">
      <alignment horizontal="center" vertical="center" wrapText="1"/>
      <protection/>
    </xf>
    <xf numFmtId="3" fontId="2" fillId="0" borderId="189" xfId="95" applyNumberFormat="1" applyFont="1" applyFill="1" applyBorder="1" applyAlignment="1">
      <alignment horizontal="center" vertical="center" wrapText="1"/>
      <protection/>
    </xf>
    <xf numFmtId="3" fontId="2" fillId="0" borderId="231" xfId="95" applyNumberFormat="1" applyFont="1" applyBorder="1" applyAlignment="1">
      <alignment horizontal="center" vertical="center" wrapText="1"/>
      <protection/>
    </xf>
    <xf numFmtId="3" fontId="2" fillId="0" borderId="226" xfId="95" applyNumberFormat="1" applyFont="1" applyBorder="1" applyAlignment="1">
      <alignment horizontal="center" vertical="center" wrapText="1"/>
      <protection/>
    </xf>
    <xf numFmtId="3" fontId="2" fillId="0" borderId="233" xfId="95" applyNumberFormat="1" applyFont="1" applyBorder="1" applyAlignment="1">
      <alignment horizontal="center" vertical="center" wrapText="1"/>
      <protection/>
    </xf>
    <xf numFmtId="3" fontId="2" fillId="0" borderId="232" xfId="95" applyNumberFormat="1" applyFont="1" applyBorder="1" applyAlignment="1">
      <alignment horizontal="center" vertical="center" wrapText="1"/>
      <protection/>
    </xf>
    <xf numFmtId="3" fontId="2" fillId="0" borderId="227" xfId="95" applyNumberFormat="1" applyFont="1" applyBorder="1" applyAlignment="1">
      <alignment horizontal="center" vertical="center" wrapText="1"/>
      <protection/>
    </xf>
    <xf numFmtId="3" fontId="2" fillId="0" borderId="56" xfId="95" applyNumberFormat="1" applyFont="1" applyBorder="1" applyAlignment="1">
      <alignment horizontal="center" vertical="center" wrapText="1"/>
      <protection/>
    </xf>
    <xf numFmtId="3" fontId="4" fillId="0" borderId="0" xfId="95" applyNumberFormat="1" applyFont="1" applyAlignment="1">
      <alignment horizontal="center"/>
      <protection/>
    </xf>
    <xf numFmtId="3" fontId="11" fillId="0" borderId="0" xfId="95" applyNumberFormat="1" applyFont="1" applyBorder="1" applyAlignment="1">
      <alignment horizontal="right"/>
      <protection/>
    </xf>
    <xf numFmtId="3" fontId="2" fillId="0" borderId="140" xfId="95" applyNumberFormat="1" applyFont="1" applyBorder="1" applyAlignment="1">
      <alignment horizontal="center" vertical="center" wrapText="1"/>
      <protection/>
    </xf>
    <xf numFmtId="0" fontId="2" fillId="0" borderId="56" xfId="95" applyNumberFormat="1" applyFont="1" applyFill="1" applyBorder="1" applyAlignment="1">
      <alignment horizontal="center" vertical="center" wrapText="1"/>
      <protection/>
    </xf>
    <xf numFmtId="0" fontId="2" fillId="0" borderId="16" xfId="95" applyNumberFormat="1" applyFont="1" applyFill="1" applyBorder="1" applyAlignment="1">
      <alignment horizontal="center" vertical="center" wrapText="1"/>
      <protection/>
    </xf>
    <xf numFmtId="0" fontId="2" fillId="0" borderId="246" xfId="95" applyNumberFormat="1" applyFont="1" applyFill="1" applyBorder="1" applyAlignment="1">
      <alignment horizontal="center" vertical="center" wrapText="1"/>
      <protection/>
    </xf>
    <xf numFmtId="3" fontId="2" fillId="0" borderId="0" xfId="95" applyNumberFormat="1" applyFont="1" applyBorder="1" applyAlignment="1">
      <alignment horizontal="left" wrapText="1"/>
      <protection/>
    </xf>
  </cellXfs>
  <cellStyles count="10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Ezres 4 3" xfId="52"/>
    <cellStyle name="Ezres 4 4" xfId="53"/>
    <cellStyle name="Ezres 5" xfId="54"/>
    <cellStyle name="Figyelmeztetés" xfId="55"/>
    <cellStyle name="Hivatkozott cella" xfId="56"/>
    <cellStyle name="Jegyzet" xfId="57"/>
    <cellStyle name="Jó" xfId="58"/>
    <cellStyle name="Kimenet" xfId="59"/>
    <cellStyle name="Magyarázó szöveg" xfId="60"/>
    <cellStyle name="Normál 10" xfId="61"/>
    <cellStyle name="Normál 10 2" xfId="62"/>
    <cellStyle name="Normál 10 3" xfId="63"/>
    <cellStyle name="Normál 11" xfId="64"/>
    <cellStyle name="Normál 11 2" xfId="65"/>
    <cellStyle name="Normál 12" xfId="66"/>
    <cellStyle name="Normál 13" xfId="67"/>
    <cellStyle name="Normál 14" xfId="68"/>
    <cellStyle name="Normál 2" xfId="69"/>
    <cellStyle name="Normál 3" xfId="70"/>
    <cellStyle name="Normál 4" xfId="71"/>
    <cellStyle name="Normál 5" xfId="72"/>
    <cellStyle name="Normál 6" xfId="73"/>
    <cellStyle name="Normál 6 2" xfId="74"/>
    <cellStyle name="Normál 6 3" xfId="75"/>
    <cellStyle name="Normál 6 3 2" xfId="76"/>
    <cellStyle name="Normál 6 3 2 2" xfId="77"/>
    <cellStyle name="Normál 6 3 2 3" xfId="78"/>
    <cellStyle name="Normál 6 3 2 3 2" xfId="79"/>
    <cellStyle name="Normál 6 3 2 3 3" xfId="80"/>
    <cellStyle name="Normál 6 3 2 4" xfId="81"/>
    <cellStyle name="Normál 6 3 2 5" xfId="82"/>
    <cellStyle name="Normál 7" xfId="83"/>
    <cellStyle name="Normál 8" xfId="84"/>
    <cellStyle name="Normál 8 2" xfId="85"/>
    <cellStyle name="Normál 8 2 2" xfId="86"/>
    <cellStyle name="Normál 8 2 3" xfId="87"/>
    <cellStyle name="Normál 8 3" xfId="88"/>
    <cellStyle name="Normál 9" xfId="89"/>
    <cellStyle name="Normál 9 2" xfId="90"/>
    <cellStyle name="Normál 9 3" xfId="91"/>
    <cellStyle name="Normál_2007.évi konc. összefoglaló bevétel" xfId="92"/>
    <cellStyle name="Normál_2007.évi konc. összefoglaló bevétel 2" xfId="93"/>
    <cellStyle name="Normál_Beruházási tábla 2007" xfId="94"/>
    <cellStyle name="Normál_EU-s tábla kv-hez_EU projektek tábla" xfId="95"/>
    <cellStyle name="Normál_fejlesztesi hitel" xfId="96"/>
    <cellStyle name="Normál_Hitel tábla 2012 terv" xfId="97"/>
    <cellStyle name="Normál_Hitel tábla 2012 terv (2)" xfId="98"/>
    <cellStyle name="Normál_hitelállomány07_12" xfId="99"/>
    <cellStyle name="Normál_hiteltörl költségvetés 2014" xfId="100"/>
    <cellStyle name="Normál_Intézményi bevétel-kiadás" xfId="101"/>
    <cellStyle name="Normál_Városfejlesztési Iroda - 2008. kv. tervezés" xfId="102"/>
    <cellStyle name="Normál_Városfejlesztési Iroda - 2008. kv. tervezés_2014.évi eredeti előirányzat 2" xfId="103"/>
    <cellStyle name="Összesen" xfId="104"/>
    <cellStyle name="Currency" xfId="105"/>
    <cellStyle name="Currency [0]" xfId="106"/>
    <cellStyle name="Rossz" xfId="107"/>
    <cellStyle name="Semleges" xfId="108"/>
    <cellStyle name="Számítás" xfId="109"/>
    <cellStyle name="Percent" xfId="110"/>
    <cellStyle name="Százalék 2" xfId="111"/>
    <cellStyle name="Százalék 3" xfId="112"/>
    <cellStyle name="Százalék 3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tabSelected="1" view="pageBreakPreview" zoomScaleSheetLayoutView="100" zoomScalePageLayoutView="0" workbookViewId="0" topLeftCell="A1">
      <selection activeCell="B1" sqref="B1:F1"/>
    </sheetView>
  </sheetViews>
  <sheetFormatPr defaultColWidth="9.00390625" defaultRowHeight="12.75"/>
  <cols>
    <col min="1" max="1" width="3.75390625" style="105" customWidth="1"/>
    <col min="2" max="5" width="5.75390625" style="193" customWidth="1"/>
    <col min="6" max="6" width="59.75390625" style="118" customWidth="1"/>
    <col min="7" max="9" width="13.75390625" style="49" customWidth="1"/>
    <col min="10" max="10" width="15.75390625" style="203" customWidth="1"/>
    <col min="11" max="16384" width="9.125" style="118" customWidth="1"/>
  </cols>
  <sheetData>
    <row r="1" spans="2:10" ht="16.5">
      <c r="B1" s="1398" t="s">
        <v>816</v>
      </c>
      <c r="C1" s="1398"/>
      <c r="D1" s="1398"/>
      <c r="E1" s="1398"/>
      <c r="F1" s="1398"/>
      <c r="G1" s="99"/>
      <c r="H1" s="99"/>
      <c r="I1" s="99"/>
      <c r="J1" s="202"/>
    </row>
    <row r="2" spans="1:10" s="23" customFormat="1" ht="24.75" customHeight="1">
      <c r="A2" s="105"/>
      <c r="B2" s="1399" t="s">
        <v>156</v>
      </c>
      <c r="C2" s="1399"/>
      <c r="D2" s="1399"/>
      <c r="E2" s="1399"/>
      <c r="F2" s="1399"/>
      <c r="G2" s="1399"/>
      <c r="H2" s="1399"/>
      <c r="I2" s="1399"/>
      <c r="J2" s="1399"/>
    </row>
    <row r="3" spans="1:10" s="23" customFormat="1" ht="24.75" customHeight="1">
      <c r="A3" s="105"/>
      <c r="B3" s="1400" t="s">
        <v>552</v>
      </c>
      <c r="C3" s="1400"/>
      <c r="D3" s="1400"/>
      <c r="E3" s="1400"/>
      <c r="F3" s="1400"/>
      <c r="G3" s="1400"/>
      <c r="H3" s="1400"/>
      <c r="I3" s="1400"/>
      <c r="J3" s="1400"/>
    </row>
    <row r="4" spans="1:10" s="454" customFormat="1" ht="15">
      <c r="A4" s="105"/>
      <c r="B4" s="453"/>
      <c r="C4" s="453"/>
      <c r="D4" s="453"/>
      <c r="E4" s="453"/>
      <c r="F4" s="453"/>
      <c r="G4" s="284"/>
      <c r="H4" s="284"/>
      <c r="I4" s="194"/>
      <c r="J4" s="195" t="s">
        <v>0</v>
      </c>
    </row>
    <row r="5" spans="1:10" s="457" customFormat="1" ht="15" thickBot="1">
      <c r="A5" s="105"/>
      <c r="B5" s="455" t="s">
        <v>1</v>
      </c>
      <c r="C5" s="455" t="s">
        <v>3</v>
      </c>
      <c r="D5" s="455" t="s">
        <v>2</v>
      </c>
      <c r="E5" s="455" t="s">
        <v>4</v>
      </c>
      <c r="F5" s="455" t="s">
        <v>5</v>
      </c>
      <c r="G5" s="456" t="s">
        <v>15</v>
      </c>
      <c r="H5" s="456" t="s">
        <v>16</v>
      </c>
      <c r="I5" s="456" t="s">
        <v>17</v>
      </c>
      <c r="J5" s="456" t="s">
        <v>34</v>
      </c>
    </row>
    <row r="6" spans="1:21" s="50" customFormat="1" ht="79.5" customHeight="1" thickBot="1">
      <c r="A6" s="462"/>
      <c r="B6" s="242" t="s">
        <v>18</v>
      </c>
      <c r="C6" s="243" t="s">
        <v>19</v>
      </c>
      <c r="D6" s="241" t="s">
        <v>418</v>
      </c>
      <c r="E6" s="241" t="s">
        <v>419</v>
      </c>
      <c r="F6" s="244" t="s">
        <v>6</v>
      </c>
      <c r="G6" s="245" t="s">
        <v>567</v>
      </c>
      <c r="H6" s="210" t="s">
        <v>554</v>
      </c>
      <c r="I6" s="246" t="s">
        <v>555</v>
      </c>
      <c r="J6" s="204" t="s">
        <v>569</v>
      </c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</row>
    <row r="7" spans="1:21" s="164" customFormat="1" ht="36" customHeight="1">
      <c r="A7" s="462">
        <v>1</v>
      </c>
      <c r="B7" s="227"/>
      <c r="C7" s="160"/>
      <c r="D7" s="161">
        <v>1</v>
      </c>
      <c r="E7" s="161"/>
      <c r="F7" s="162" t="s">
        <v>128</v>
      </c>
      <c r="G7" s="247">
        <f>SUM(G8,G20,G30,G36,G38,G19,G35)</f>
        <v>17277678</v>
      </c>
      <c r="H7" s="247">
        <f>SUM(H8,H20,H30,H36,H38,H19,H35)</f>
        <v>14802459</v>
      </c>
      <c r="I7" s="247">
        <f>SUM(I8,I20,I30,I36,I38,I19,I35)</f>
        <v>22577674</v>
      </c>
      <c r="J7" s="248">
        <f>SUM(J8,J20,J30,J36,J38,J19,J35)</f>
        <v>20911748</v>
      </c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</row>
    <row r="8" spans="1:21" s="164" customFormat="1" ht="36" customHeight="1">
      <c r="A8" s="462">
        <v>2</v>
      </c>
      <c r="B8" s="228">
        <v>18</v>
      </c>
      <c r="C8" s="165"/>
      <c r="D8" s="166"/>
      <c r="E8" s="166">
        <v>1</v>
      </c>
      <c r="F8" s="165" t="s">
        <v>157</v>
      </c>
      <c r="G8" s="43">
        <f>SUM(G9,G17:G17)</f>
        <v>6718637</v>
      </c>
      <c r="H8" s="43">
        <f>SUM(H9,H17:H17)</f>
        <v>6578954</v>
      </c>
      <c r="I8" s="43">
        <f>SUM(I9,I17:I17)</f>
        <v>6688575</v>
      </c>
      <c r="J8" s="205">
        <f>SUM(J9,J17:J17)</f>
        <v>6093269</v>
      </c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</row>
    <row r="9" spans="1:10" s="168" customFormat="1" ht="17.25">
      <c r="A9" s="462">
        <v>3</v>
      </c>
      <c r="B9" s="97"/>
      <c r="C9" s="148"/>
      <c r="D9" s="117"/>
      <c r="E9" s="117"/>
      <c r="F9" s="167" t="s">
        <v>158</v>
      </c>
      <c r="G9" s="10">
        <f>SUM(G10:G16)</f>
        <v>4955542</v>
      </c>
      <c r="H9" s="10">
        <f>SUM(H10:H16)</f>
        <v>4544959</v>
      </c>
      <c r="I9" s="10">
        <f>SUM(I10:I16)</f>
        <v>4818107</v>
      </c>
      <c r="J9" s="206">
        <f>SUM(J10:J16)</f>
        <v>5314780</v>
      </c>
    </row>
    <row r="10" spans="1:10" ht="16.5" customHeight="1">
      <c r="A10" s="462">
        <v>4</v>
      </c>
      <c r="B10" s="100"/>
      <c r="C10" s="169"/>
      <c r="D10" s="169"/>
      <c r="E10" s="169"/>
      <c r="F10" s="45" t="s">
        <v>779</v>
      </c>
      <c r="G10" s="2">
        <v>13966</v>
      </c>
      <c r="H10" s="2">
        <v>1209808</v>
      </c>
      <c r="I10" s="2">
        <v>1214159</v>
      </c>
      <c r="J10" s="207">
        <v>1223867</v>
      </c>
    </row>
    <row r="11" spans="1:10" ht="32.25" customHeight="1">
      <c r="A11" s="462">
        <v>5</v>
      </c>
      <c r="B11" s="100"/>
      <c r="C11" s="169"/>
      <c r="D11" s="169"/>
      <c r="E11" s="169"/>
      <c r="F11" s="45" t="s">
        <v>780</v>
      </c>
      <c r="G11" s="291">
        <v>1216515</v>
      </c>
      <c r="H11" s="291">
        <v>1198897</v>
      </c>
      <c r="I11" s="291">
        <v>1244335</v>
      </c>
      <c r="J11" s="1344">
        <v>1415109</v>
      </c>
    </row>
    <row r="12" spans="1:10" ht="33.75" customHeight="1">
      <c r="A12" s="462">
        <v>6</v>
      </c>
      <c r="B12" s="100"/>
      <c r="C12" s="169"/>
      <c r="D12" s="169"/>
      <c r="E12" s="169"/>
      <c r="F12" s="45" t="s">
        <v>781</v>
      </c>
      <c r="G12" s="291">
        <v>1206954</v>
      </c>
      <c r="H12" s="291">
        <v>1080565</v>
      </c>
      <c r="I12" s="291">
        <v>1225459</v>
      </c>
      <c r="J12" s="1344">
        <v>1390469</v>
      </c>
    </row>
    <row r="13" spans="1:10" ht="32.25" customHeight="1">
      <c r="A13" s="462">
        <v>7</v>
      </c>
      <c r="B13" s="100"/>
      <c r="C13" s="169"/>
      <c r="D13" s="169"/>
      <c r="E13" s="169"/>
      <c r="F13" s="45" t="s">
        <v>784</v>
      </c>
      <c r="G13" s="2">
        <v>398958</v>
      </c>
      <c r="H13" s="2">
        <v>567989</v>
      </c>
      <c r="I13" s="2">
        <v>636893</v>
      </c>
      <c r="J13" s="207">
        <v>756978</v>
      </c>
    </row>
    <row r="14" spans="1:10" ht="16.5" customHeight="1">
      <c r="A14" s="462">
        <v>8</v>
      </c>
      <c r="B14" s="100"/>
      <c r="C14" s="169"/>
      <c r="D14" s="169"/>
      <c r="E14" s="169"/>
      <c r="F14" s="45" t="s">
        <v>782</v>
      </c>
      <c r="G14" s="2">
        <v>535791</v>
      </c>
      <c r="H14" s="2">
        <v>487700</v>
      </c>
      <c r="I14" s="2">
        <v>490325</v>
      </c>
      <c r="J14" s="207">
        <v>487795</v>
      </c>
    </row>
    <row r="15" spans="1:10" ht="36" customHeight="1">
      <c r="A15" s="462">
        <v>9</v>
      </c>
      <c r="B15" s="100"/>
      <c r="C15" s="169"/>
      <c r="D15" s="169"/>
      <c r="E15" s="169"/>
      <c r="F15" s="45" t="s">
        <v>159</v>
      </c>
      <c r="G15" s="291">
        <v>1566678</v>
      </c>
      <c r="H15" s="2"/>
      <c r="I15" s="2"/>
      <c r="J15" s="207"/>
    </row>
    <row r="16" spans="1:10" ht="16.5">
      <c r="A16" s="462">
        <v>10</v>
      </c>
      <c r="B16" s="97"/>
      <c r="C16" s="169"/>
      <c r="D16" s="169"/>
      <c r="E16" s="169"/>
      <c r="F16" s="45" t="s">
        <v>783</v>
      </c>
      <c r="G16" s="2">
        <v>16680</v>
      </c>
      <c r="H16" s="2"/>
      <c r="I16" s="2">
        <v>6936</v>
      </c>
      <c r="J16" s="207">
        <v>40562</v>
      </c>
    </row>
    <row r="17" spans="1:10" s="168" customFormat="1" ht="17.25">
      <c r="A17" s="462">
        <v>11</v>
      </c>
      <c r="B17" s="97"/>
      <c r="C17" s="170"/>
      <c r="D17" s="169"/>
      <c r="E17" s="169"/>
      <c r="F17" s="44" t="s">
        <v>160</v>
      </c>
      <c r="G17" s="10">
        <v>1763095</v>
      </c>
      <c r="H17" s="10">
        <v>2033995</v>
      </c>
      <c r="I17" s="10">
        <v>1870468</v>
      </c>
      <c r="J17" s="206">
        <v>778489</v>
      </c>
    </row>
    <row r="18" spans="1:10" ht="16.5" customHeight="1">
      <c r="A18" s="462">
        <v>12</v>
      </c>
      <c r="B18" s="97"/>
      <c r="C18" s="169"/>
      <c r="D18" s="169"/>
      <c r="E18" s="169"/>
      <c r="F18" s="45" t="s">
        <v>161</v>
      </c>
      <c r="G18" s="2">
        <v>222056</v>
      </c>
      <c r="H18" s="2">
        <v>201000</v>
      </c>
      <c r="I18" s="2">
        <v>239975</v>
      </c>
      <c r="J18" s="207">
        <v>260000</v>
      </c>
    </row>
    <row r="19" spans="1:11" ht="36" customHeight="1">
      <c r="A19" s="462">
        <v>13</v>
      </c>
      <c r="B19" s="229" t="s">
        <v>372</v>
      </c>
      <c r="C19" s="169"/>
      <c r="D19" s="169"/>
      <c r="E19" s="220">
        <v>1</v>
      </c>
      <c r="F19" s="165" t="s">
        <v>162</v>
      </c>
      <c r="G19" s="10">
        <v>214615</v>
      </c>
      <c r="H19" s="10">
        <v>167470</v>
      </c>
      <c r="I19" s="10">
        <v>454526</v>
      </c>
      <c r="J19" s="206">
        <f>'3.Inbe '!K80</f>
        <v>367474</v>
      </c>
      <c r="K19" s="249"/>
    </row>
    <row r="20" spans="1:10" s="120" customFormat="1" ht="36" customHeight="1">
      <c r="A20" s="462">
        <v>14</v>
      </c>
      <c r="B20" s="97">
        <v>18</v>
      </c>
      <c r="C20" s="148"/>
      <c r="D20" s="117"/>
      <c r="E20" s="117">
        <v>2</v>
      </c>
      <c r="F20" s="149" t="s">
        <v>163</v>
      </c>
      <c r="G20" s="46">
        <f>SUM(G21,G29:G29)</f>
        <v>8663683</v>
      </c>
      <c r="H20" s="46">
        <f>SUM(H21,H29:H29)</f>
        <v>6242200</v>
      </c>
      <c r="I20" s="46">
        <f>SUM(I21,I29:I29)</f>
        <v>8207677</v>
      </c>
      <c r="J20" s="206">
        <f>SUM(J21,J29:J29)</f>
        <v>7599100</v>
      </c>
    </row>
    <row r="21" spans="1:10" s="168" customFormat="1" ht="17.25">
      <c r="A21" s="462">
        <v>15</v>
      </c>
      <c r="B21" s="97"/>
      <c r="C21" s="148"/>
      <c r="D21" s="117"/>
      <c r="E21" s="117"/>
      <c r="F21" s="44" t="s">
        <v>164</v>
      </c>
      <c r="G21" s="10">
        <f>SUM(G22:G28)</f>
        <v>8656603</v>
      </c>
      <c r="H21" s="10">
        <f>SUM(H22:H28)</f>
        <v>6237000</v>
      </c>
      <c r="I21" s="10">
        <f>SUM(I22:I28)</f>
        <v>8189975</v>
      </c>
      <c r="J21" s="206">
        <f>SUM(J22:J28)</f>
        <v>7594000</v>
      </c>
    </row>
    <row r="22" spans="1:10" ht="16.5" customHeight="1">
      <c r="A22" s="462">
        <v>16</v>
      </c>
      <c r="B22" s="97"/>
      <c r="C22" s="117"/>
      <c r="D22" s="117"/>
      <c r="E22" s="117"/>
      <c r="F22" s="45" t="s">
        <v>118</v>
      </c>
      <c r="G22" s="2">
        <v>1301931</v>
      </c>
      <c r="H22" s="2">
        <v>1300000</v>
      </c>
      <c r="I22" s="2">
        <v>1394243</v>
      </c>
      <c r="J22" s="207">
        <f>1300000+5000</f>
        <v>1305000</v>
      </c>
    </row>
    <row r="23" spans="1:10" ht="16.5">
      <c r="A23" s="462">
        <v>17</v>
      </c>
      <c r="B23" s="97"/>
      <c r="C23" s="117"/>
      <c r="D23" s="117"/>
      <c r="E23" s="117"/>
      <c r="F23" s="45" t="s">
        <v>121</v>
      </c>
      <c r="G23" s="2">
        <v>11646</v>
      </c>
      <c r="H23" s="2">
        <v>42000</v>
      </c>
      <c r="I23" s="2">
        <v>24688</v>
      </c>
      <c r="J23" s="207">
        <v>45000</v>
      </c>
    </row>
    <row r="24" spans="1:10" ht="16.5">
      <c r="A24" s="462">
        <v>18</v>
      </c>
      <c r="B24" s="97"/>
      <c r="C24" s="117"/>
      <c r="D24" s="117"/>
      <c r="E24" s="117"/>
      <c r="F24" s="45" t="s">
        <v>120</v>
      </c>
      <c r="G24" s="2">
        <v>141440</v>
      </c>
      <c r="H24" s="2">
        <v>143000</v>
      </c>
      <c r="I24" s="2">
        <v>145896</v>
      </c>
      <c r="J24" s="207">
        <v>143000</v>
      </c>
    </row>
    <row r="25" spans="1:10" ht="16.5">
      <c r="A25" s="462">
        <v>19</v>
      </c>
      <c r="B25" s="97"/>
      <c r="C25" s="117"/>
      <c r="D25" s="117"/>
      <c r="E25" s="117"/>
      <c r="F25" s="45" t="s">
        <v>119</v>
      </c>
      <c r="G25" s="2">
        <v>96484</v>
      </c>
      <c r="H25" s="2">
        <v>92000</v>
      </c>
      <c r="I25" s="2">
        <v>111000</v>
      </c>
      <c r="J25" s="207">
        <f>95000-5000</f>
        <v>90000</v>
      </c>
    </row>
    <row r="26" spans="1:10" ht="16.5">
      <c r="A26" s="462">
        <v>20</v>
      </c>
      <c r="B26" s="97"/>
      <c r="C26" s="117"/>
      <c r="D26" s="117"/>
      <c r="E26" s="117"/>
      <c r="F26" s="45" t="s">
        <v>117</v>
      </c>
      <c r="G26" s="2">
        <v>7090255</v>
      </c>
      <c r="H26" s="2">
        <v>4650000</v>
      </c>
      <c r="I26" s="2">
        <v>6496614</v>
      </c>
      <c r="J26" s="207">
        <v>6000000</v>
      </c>
    </row>
    <row r="27" spans="1:10" ht="16.5">
      <c r="A27" s="462">
        <v>21</v>
      </c>
      <c r="B27" s="97"/>
      <c r="C27" s="117"/>
      <c r="D27" s="117"/>
      <c r="E27" s="117"/>
      <c r="F27" s="45" t="s">
        <v>122</v>
      </c>
      <c r="G27" s="2"/>
      <c r="H27" s="2"/>
      <c r="I27" s="2"/>
      <c r="J27" s="207"/>
    </row>
    <row r="28" spans="1:10" ht="16.5">
      <c r="A28" s="462">
        <v>22</v>
      </c>
      <c r="B28" s="97"/>
      <c r="C28" s="117"/>
      <c r="D28" s="117"/>
      <c r="E28" s="117"/>
      <c r="F28" s="45" t="s">
        <v>165</v>
      </c>
      <c r="G28" s="2">
        <v>14847</v>
      </c>
      <c r="H28" s="2">
        <v>10000</v>
      </c>
      <c r="I28" s="2">
        <v>17534</v>
      </c>
      <c r="J28" s="207">
        <v>11000</v>
      </c>
    </row>
    <row r="29" spans="1:10" s="168" customFormat="1" ht="34.5">
      <c r="A29" s="462">
        <v>23</v>
      </c>
      <c r="B29" s="97"/>
      <c r="C29" s="148"/>
      <c r="D29" s="117"/>
      <c r="E29" s="117"/>
      <c r="F29" s="44" t="s">
        <v>166</v>
      </c>
      <c r="G29" s="10">
        <v>7080</v>
      </c>
      <c r="H29" s="10">
        <v>5200</v>
      </c>
      <c r="I29" s="10">
        <v>17702</v>
      </c>
      <c r="J29" s="206">
        <v>5100</v>
      </c>
    </row>
    <row r="30" spans="1:10" s="120" customFormat="1" ht="36" customHeight="1">
      <c r="A30" s="462">
        <v>24</v>
      </c>
      <c r="B30" s="97">
        <v>18</v>
      </c>
      <c r="C30" s="148"/>
      <c r="D30" s="117"/>
      <c r="E30" s="117">
        <v>3</v>
      </c>
      <c r="F30" s="149" t="s">
        <v>131</v>
      </c>
      <c r="G30" s="46">
        <f>SUM(G31:G34)</f>
        <v>846221</v>
      </c>
      <c r="H30" s="46">
        <f>SUM(H31:H34)</f>
        <v>951251</v>
      </c>
      <c r="I30" s="46">
        <f>SUM(I31:I34)</f>
        <v>5032516</v>
      </c>
      <c r="J30" s="206">
        <f>SUM(J31:J34)</f>
        <v>5193791</v>
      </c>
    </row>
    <row r="31" spans="1:10" ht="16.5" customHeight="1">
      <c r="A31" s="462">
        <v>25</v>
      </c>
      <c r="B31" s="97"/>
      <c r="C31" s="117"/>
      <c r="D31" s="117"/>
      <c r="E31" s="117"/>
      <c r="F31" s="45" t="s">
        <v>270</v>
      </c>
      <c r="G31" s="2">
        <v>290126</v>
      </c>
      <c r="H31" s="2">
        <v>243317</v>
      </c>
      <c r="I31" s="2">
        <v>244369</v>
      </c>
      <c r="J31" s="207">
        <v>339603</v>
      </c>
    </row>
    <row r="32" spans="1:10" ht="16.5" customHeight="1">
      <c r="A32" s="462">
        <v>26</v>
      </c>
      <c r="B32" s="97"/>
      <c r="C32" s="117"/>
      <c r="D32" s="117"/>
      <c r="E32" s="117"/>
      <c r="F32" s="45" t="s">
        <v>271</v>
      </c>
      <c r="G32" s="2">
        <v>208134</v>
      </c>
      <c r="H32" s="2">
        <v>234064</v>
      </c>
      <c r="I32" s="2">
        <v>234188</v>
      </c>
      <c r="J32" s="207">
        <v>269921</v>
      </c>
    </row>
    <row r="33" spans="1:11" ht="16.5" customHeight="1">
      <c r="A33" s="462">
        <v>27</v>
      </c>
      <c r="B33" s="97"/>
      <c r="C33" s="117"/>
      <c r="D33" s="117"/>
      <c r="E33" s="117"/>
      <c r="F33" s="45" t="s">
        <v>272</v>
      </c>
      <c r="G33" s="2">
        <v>280298</v>
      </c>
      <c r="H33" s="2">
        <v>469933</v>
      </c>
      <c r="I33" s="2">
        <v>3900450</v>
      </c>
      <c r="J33" s="207">
        <v>3930758</v>
      </c>
      <c r="K33" s="117"/>
    </row>
    <row r="34" spans="1:11" ht="16.5" customHeight="1">
      <c r="A34" s="462">
        <v>28</v>
      </c>
      <c r="B34" s="97"/>
      <c r="C34" s="117"/>
      <c r="D34" s="117"/>
      <c r="E34" s="117"/>
      <c r="F34" s="45" t="s">
        <v>273</v>
      </c>
      <c r="G34" s="2">
        <v>67663</v>
      </c>
      <c r="H34" s="2">
        <v>3937</v>
      </c>
      <c r="I34" s="2">
        <v>653509</v>
      </c>
      <c r="J34" s="207">
        <v>653509</v>
      </c>
      <c r="K34" s="117"/>
    </row>
    <row r="35" spans="1:11" s="120" customFormat="1" ht="36" customHeight="1">
      <c r="A35" s="462">
        <v>29</v>
      </c>
      <c r="B35" s="230" t="s">
        <v>372</v>
      </c>
      <c r="C35" s="148"/>
      <c r="D35" s="117"/>
      <c r="E35" s="117">
        <v>3</v>
      </c>
      <c r="F35" s="149" t="s">
        <v>167</v>
      </c>
      <c r="G35" s="46">
        <v>754985</v>
      </c>
      <c r="H35" s="46">
        <v>858015</v>
      </c>
      <c r="I35" s="46">
        <v>887230</v>
      </c>
      <c r="J35" s="206">
        <f>'3.Inbe '!J80</f>
        <v>786013</v>
      </c>
      <c r="K35" s="250"/>
    </row>
    <row r="36" spans="1:10" s="120" customFormat="1" ht="36" customHeight="1">
      <c r="A36" s="462">
        <v>30</v>
      </c>
      <c r="B36" s="97">
        <v>18</v>
      </c>
      <c r="C36" s="148"/>
      <c r="D36" s="117"/>
      <c r="E36" s="117">
        <v>4</v>
      </c>
      <c r="F36" s="149" t="s">
        <v>168</v>
      </c>
      <c r="G36" s="46">
        <v>62697</v>
      </c>
      <c r="H36" s="46"/>
      <c r="I36" s="46">
        <v>1253347</v>
      </c>
      <c r="J36" s="206">
        <v>852792</v>
      </c>
    </row>
    <row r="37" spans="1:10" s="120" customFormat="1" ht="16.5" customHeight="1">
      <c r="A37" s="462">
        <v>31</v>
      </c>
      <c r="B37" s="97"/>
      <c r="C37" s="148"/>
      <c r="D37" s="117"/>
      <c r="E37" s="117"/>
      <c r="F37" s="45" t="s">
        <v>568</v>
      </c>
      <c r="G37" s="828">
        <v>6131</v>
      </c>
      <c r="H37" s="46"/>
      <c r="I37" s="828">
        <v>500</v>
      </c>
      <c r="J37" s="206"/>
    </row>
    <row r="38" spans="1:10" s="168" customFormat="1" ht="36" customHeight="1">
      <c r="A38" s="462">
        <v>32</v>
      </c>
      <c r="B38" s="231" t="s">
        <v>372</v>
      </c>
      <c r="C38" s="171"/>
      <c r="D38" s="171"/>
      <c r="E38" s="172">
        <v>4</v>
      </c>
      <c r="F38" s="173" t="s">
        <v>169</v>
      </c>
      <c r="G38" s="251">
        <v>16840</v>
      </c>
      <c r="H38" s="251">
        <v>4569</v>
      </c>
      <c r="I38" s="251">
        <v>53803</v>
      </c>
      <c r="J38" s="252">
        <f>'3.Inbe '!L80</f>
        <v>19309</v>
      </c>
    </row>
    <row r="39" spans="1:21" s="164" customFormat="1" ht="36" customHeight="1">
      <c r="A39" s="462">
        <v>33</v>
      </c>
      <c r="B39" s="232"/>
      <c r="C39" s="174"/>
      <c r="D39" s="175">
        <v>2</v>
      </c>
      <c r="E39" s="175"/>
      <c r="F39" s="176" t="s">
        <v>129</v>
      </c>
      <c r="G39" s="253">
        <f>SUM(G40,G43:G44,G46:G48)</f>
        <v>9155087</v>
      </c>
      <c r="H39" s="253">
        <f>SUM(H40,H43:H44,H46:H48)</f>
        <v>13046355</v>
      </c>
      <c r="I39" s="341">
        <f>SUM(I40,I43:I44,I46:I48)</f>
        <v>30232060</v>
      </c>
      <c r="J39" s="366">
        <f>SUM(J40,J43:J44,J46:J48)</f>
        <v>19596768</v>
      </c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</row>
    <row r="40" spans="1:10" s="120" customFormat="1" ht="36" customHeight="1">
      <c r="A40" s="462">
        <v>34</v>
      </c>
      <c r="B40" s="97"/>
      <c r="C40" s="148"/>
      <c r="D40" s="117"/>
      <c r="E40" s="117">
        <v>5</v>
      </c>
      <c r="F40" s="149" t="s">
        <v>170</v>
      </c>
      <c r="G40" s="46">
        <f>SUM(G41,G42)</f>
        <v>9111564</v>
      </c>
      <c r="H40" s="46">
        <f>SUM(H41,H42)</f>
        <v>12122305</v>
      </c>
      <c r="I40" s="46">
        <f>SUM(I41,I42)</f>
        <v>13141611</v>
      </c>
      <c r="J40" s="206">
        <f>SUM(J41,J42)</f>
        <v>4535414</v>
      </c>
    </row>
    <row r="41" spans="1:10" ht="16.5">
      <c r="A41" s="462">
        <v>35</v>
      </c>
      <c r="B41" s="97">
        <v>18</v>
      </c>
      <c r="C41" s="117"/>
      <c r="D41" s="117"/>
      <c r="E41" s="117"/>
      <c r="F41" s="677" t="s">
        <v>171</v>
      </c>
      <c r="G41" s="2"/>
      <c r="H41" s="2"/>
      <c r="I41" s="2"/>
      <c r="J41" s="207"/>
    </row>
    <row r="42" spans="1:11" ht="16.5">
      <c r="A42" s="462">
        <v>36</v>
      </c>
      <c r="B42" s="97">
        <v>18</v>
      </c>
      <c r="C42" s="169"/>
      <c r="D42" s="169"/>
      <c r="E42" s="169"/>
      <c r="F42" s="677" t="s">
        <v>172</v>
      </c>
      <c r="G42" s="2">
        <v>9111564</v>
      </c>
      <c r="H42" s="2">
        <v>12122305</v>
      </c>
      <c r="I42" s="2">
        <v>13141611</v>
      </c>
      <c r="J42" s="207">
        <f>6035414-1500000</f>
        <v>4535414</v>
      </c>
      <c r="K42" s="249"/>
    </row>
    <row r="43" spans="1:10" s="168" customFormat="1" ht="36" customHeight="1">
      <c r="A43" s="462">
        <v>37</v>
      </c>
      <c r="B43" s="231" t="s">
        <v>372</v>
      </c>
      <c r="C43" s="170"/>
      <c r="D43" s="170"/>
      <c r="E43" s="169">
        <v>5</v>
      </c>
      <c r="F43" s="44" t="s">
        <v>173</v>
      </c>
      <c r="G43" s="10">
        <v>335</v>
      </c>
      <c r="H43" s="10">
        <v>4050</v>
      </c>
      <c r="I43" s="10">
        <v>38414</v>
      </c>
      <c r="J43" s="206">
        <f>'3.Inbe '!N80</f>
        <v>9581</v>
      </c>
    </row>
    <row r="44" spans="1:10" s="120" customFormat="1" ht="36" customHeight="1">
      <c r="A44" s="462">
        <v>38</v>
      </c>
      <c r="B44" s="97">
        <v>18</v>
      </c>
      <c r="C44" s="148"/>
      <c r="D44" s="117"/>
      <c r="E44" s="117">
        <v>6</v>
      </c>
      <c r="F44" s="149" t="s">
        <v>174</v>
      </c>
      <c r="G44" s="46">
        <f>SUM(G45:G45)</f>
        <v>37339</v>
      </c>
      <c r="H44" s="46">
        <f>SUM(H45:H45)</f>
        <v>920000</v>
      </c>
      <c r="I44" s="46">
        <f>SUM(I45:I45)</f>
        <v>848081</v>
      </c>
      <c r="J44" s="206">
        <f>SUM(J45:J45)</f>
        <v>427000</v>
      </c>
    </row>
    <row r="45" spans="1:10" ht="16.5">
      <c r="A45" s="462">
        <v>39</v>
      </c>
      <c r="B45" s="97"/>
      <c r="C45" s="117"/>
      <c r="D45" s="117"/>
      <c r="E45" s="117"/>
      <c r="F45" s="45" t="s">
        <v>175</v>
      </c>
      <c r="G45" s="2">
        <v>37339</v>
      </c>
      <c r="H45" s="2">
        <v>920000</v>
      </c>
      <c r="I45" s="2">
        <v>848081</v>
      </c>
      <c r="J45" s="207">
        <v>427000</v>
      </c>
    </row>
    <row r="46" spans="1:10" ht="36" customHeight="1">
      <c r="A46" s="462">
        <v>40</v>
      </c>
      <c r="B46" s="97"/>
      <c r="C46" s="117"/>
      <c r="D46" s="117"/>
      <c r="E46" s="117">
        <v>6</v>
      </c>
      <c r="F46" s="44" t="s">
        <v>176</v>
      </c>
      <c r="G46" s="10">
        <v>5849</v>
      </c>
      <c r="H46" s="10"/>
      <c r="I46" s="10">
        <v>110</v>
      </c>
      <c r="J46" s="206">
        <f>'3.Inbe '!M80</f>
        <v>0</v>
      </c>
    </row>
    <row r="47" spans="1:10" s="120" customFormat="1" ht="36" customHeight="1">
      <c r="A47" s="462">
        <v>41</v>
      </c>
      <c r="B47" s="97">
        <v>18</v>
      </c>
      <c r="C47" s="148"/>
      <c r="D47" s="117"/>
      <c r="E47" s="117">
        <v>7</v>
      </c>
      <c r="F47" s="149" t="s">
        <v>177</v>
      </c>
      <c r="G47" s="46"/>
      <c r="H47" s="46"/>
      <c r="I47" s="46">
        <v>16181309</v>
      </c>
      <c r="J47" s="206">
        <v>14624773</v>
      </c>
    </row>
    <row r="48" spans="1:10" s="168" customFormat="1" ht="36" customHeight="1">
      <c r="A48" s="462">
        <v>42</v>
      </c>
      <c r="B48" s="231" t="s">
        <v>372</v>
      </c>
      <c r="C48" s="170"/>
      <c r="D48" s="170"/>
      <c r="E48" s="169">
        <v>7</v>
      </c>
      <c r="F48" s="177" t="s">
        <v>178</v>
      </c>
      <c r="G48" s="10"/>
      <c r="H48" s="10"/>
      <c r="I48" s="10">
        <v>22535</v>
      </c>
      <c r="J48" s="206"/>
    </row>
    <row r="49" spans="1:10" s="30" customFormat="1" ht="36" customHeight="1">
      <c r="A49" s="462">
        <v>43</v>
      </c>
      <c r="B49" s="27">
        <v>18</v>
      </c>
      <c r="C49" s="178"/>
      <c r="D49" s="179"/>
      <c r="E49" s="179"/>
      <c r="F49" s="342" t="s">
        <v>179</v>
      </c>
      <c r="G49" s="47">
        <f>SUM(G50:G50)</f>
        <v>256</v>
      </c>
      <c r="H49" s="47">
        <f>SUM(H50:H50)</f>
        <v>0</v>
      </c>
      <c r="I49" s="47">
        <f>SUM(I50:I50)</f>
        <v>0</v>
      </c>
      <c r="J49" s="208">
        <f>SUM(J50:J50)</f>
        <v>0</v>
      </c>
    </row>
    <row r="50" spans="1:10" ht="33">
      <c r="A50" s="462">
        <v>44</v>
      </c>
      <c r="B50" s="97"/>
      <c r="C50" s="180"/>
      <c r="D50" s="180"/>
      <c r="E50" s="180"/>
      <c r="F50" s="343" t="s">
        <v>241</v>
      </c>
      <c r="G50" s="48">
        <v>256</v>
      </c>
      <c r="H50" s="48"/>
      <c r="I50" s="48"/>
      <c r="J50" s="209"/>
    </row>
    <row r="51" spans="1:10" s="30" customFormat="1" ht="39.75" customHeight="1" thickBot="1">
      <c r="A51" s="462">
        <v>45</v>
      </c>
      <c r="B51" s="233"/>
      <c r="C51" s="181"/>
      <c r="D51" s="182"/>
      <c r="E51" s="182"/>
      <c r="F51" s="183" t="s">
        <v>180</v>
      </c>
      <c r="G51" s="254">
        <f>SUM(G7,G39,G49)</f>
        <v>26433021</v>
      </c>
      <c r="H51" s="254">
        <f>SUM(H7,H39,H49)</f>
        <v>27848814</v>
      </c>
      <c r="I51" s="254">
        <f>SUM(I7,I39,I49)</f>
        <v>52809734</v>
      </c>
      <c r="J51" s="255">
        <f>SUM(J7,J39,J49)</f>
        <v>40508516</v>
      </c>
    </row>
    <row r="52" spans="1:10" s="30" customFormat="1" ht="39.75" customHeight="1" thickBot="1" thickTop="1">
      <c r="A52" s="462">
        <v>46</v>
      </c>
      <c r="B52" s="234"/>
      <c r="C52" s="184"/>
      <c r="D52" s="185"/>
      <c r="E52" s="185"/>
      <c r="F52" s="186" t="s">
        <v>181</v>
      </c>
      <c r="G52" s="554">
        <f>+G51-'2.Onki'!G34</f>
        <v>4465865</v>
      </c>
      <c r="H52" s="554">
        <f>+H51-'2.Onki'!H34</f>
        <v>-18254179</v>
      </c>
      <c r="I52" s="554">
        <f>+I51-'2.Onki'!I34</f>
        <v>-19923142</v>
      </c>
      <c r="J52" s="555">
        <f>+J51-'2.Onki'!J34</f>
        <v>-18082680</v>
      </c>
    </row>
    <row r="53" spans="1:10" s="30" customFormat="1" ht="36" customHeight="1">
      <c r="A53" s="462">
        <v>47</v>
      </c>
      <c r="B53" s="27"/>
      <c r="C53" s="158"/>
      <c r="D53" s="159"/>
      <c r="E53" s="159"/>
      <c r="F53" s="154" t="s">
        <v>182</v>
      </c>
      <c r="G53" s="256">
        <f>SUM(G55,G64)+G54</f>
        <v>14967054</v>
      </c>
      <c r="H53" s="256">
        <f>SUM(H55,H64)+H54</f>
        <v>18573201</v>
      </c>
      <c r="I53" s="256">
        <f>SUM(I55,I64)+I54</f>
        <v>20465194</v>
      </c>
      <c r="J53" s="257">
        <f>SUM(J55,J64)+J54</f>
        <v>18484610</v>
      </c>
    </row>
    <row r="54" spans="1:10" s="30" customFormat="1" ht="36" customHeight="1">
      <c r="A54" s="462">
        <v>48</v>
      </c>
      <c r="B54" s="27"/>
      <c r="C54" s="158"/>
      <c r="D54" s="159">
        <v>1</v>
      </c>
      <c r="E54" s="159">
        <v>9</v>
      </c>
      <c r="F54" s="154" t="s">
        <v>245</v>
      </c>
      <c r="G54" s="256">
        <v>328363</v>
      </c>
      <c r="H54" s="256"/>
      <c r="I54" s="256">
        <v>223030</v>
      </c>
      <c r="J54" s="257"/>
    </row>
    <row r="55" spans="1:10" s="30" customFormat="1" ht="33" customHeight="1">
      <c r="A55" s="462">
        <v>49</v>
      </c>
      <c r="B55" s="235"/>
      <c r="C55" s="178"/>
      <c r="D55" s="179"/>
      <c r="E55" s="179"/>
      <c r="F55" s="187" t="s">
        <v>274</v>
      </c>
      <c r="G55" s="47">
        <f>SUM(G56,G60)</f>
        <v>13993317</v>
      </c>
      <c r="H55" s="47">
        <f>SUM(H56,H60)</f>
        <v>17396684</v>
      </c>
      <c r="I55" s="47">
        <f>SUM(I56,I60)</f>
        <v>19065647</v>
      </c>
      <c r="J55" s="208">
        <f>SUM(J56,J60)</f>
        <v>17922719</v>
      </c>
    </row>
    <row r="56" spans="1:10" s="120" customFormat="1" ht="24" customHeight="1">
      <c r="A56" s="462">
        <v>50</v>
      </c>
      <c r="B56" s="97"/>
      <c r="C56" s="148"/>
      <c r="D56" s="117">
        <v>1</v>
      </c>
      <c r="E56" s="117">
        <v>8</v>
      </c>
      <c r="F56" s="149" t="s">
        <v>243</v>
      </c>
      <c r="G56" s="46">
        <f>SUM(G57:G59)</f>
        <v>2162285</v>
      </c>
      <c r="H56" s="46">
        <f>SUM(H57:H59)</f>
        <v>1391913</v>
      </c>
      <c r="I56" s="46">
        <f>SUM(I57:I59)</f>
        <v>2897017</v>
      </c>
      <c r="J56" s="206">
        <f>SUM(J57:J59)</f>
        <v>3169018</v>
      </c>
    </row>
    <row r="57" spans="1:10" ht="16.5">
      <c r="A57" s="462">
        <v>51</v>
      </c>
      <c r="B57" s="229" t="s">
        <v>321</v>
      </c>
      <c r="C57" s="117"/>
      <c r="D57" s="117"/>
      <c r="E57" s="117"/>
      <c r="F57" s="45" t="s">
        <v>183</v>
      </c>
      <c r="G57" s="2">
        <v>661871</v>
      </c>
      <c r="H57" s="2">
        <v>226214</v>
      </c>
      <c r="I57" s="2">
        <v>628126</v>
      </c>
      <c r="J57" s="207">
        <f>293816+22583</f>
        <v>316399</v>
      </c>
    </row>
    <row r="58" spans="1:10" ht="16.5">
      <c r="A58" s="462">
        <v>52</v>
      </c>
      <c r="B58" s="97">
        <v>17</v>
      </c>
      <c r="C58" s="117"/>
      <c r="D58" s="117"/>
      <c r="E58" s="117"/>
      <c r="F58" s="45" t="s">
        <v>184</v>
      </c>
      <c r="G58" s="2">
        <v>360345</v>
      </c>
      <c r="H58" s="2">
        <v>80955</v>
      </c>
      <c r="I58" s="2">
        <v>442201</v>
      </c>
      <c r="J58" s="207">
        <v>249269</v>
      </c>
    </row>
    <row r="59" spans="1:10" ht="16.5">
      <c r="A59" s="462">
        <v>53</v>
      </c>
      <c r="B59" s="97">
        <v>18</v>
      </c>
      <c r="C59" s="117"/>
      <c r="D59" s="117"/>
      <c r="E59" s="117"/>
      <c r="F59" s="45" t="s">
        <v>113</v>
      </c>
      <c r="G59" s="2">
        <v>1140069</v>
      </c>
      <c r="H59" s="2">
        <v>1084744</v>
      </c>
      <c r="I59" s="2">
        <v>1826690</v>
      </c>
      <c r="J59" s="207">
        <v>2603350</v>
      </c>
    </row>
    <row r="60" spans="1:10" s="120" customFormat="1" ht="24" customHeight="1">
      <c r="A60" s="462">
        <v>54</v>
      </c>
      <c r="B60" s="97"/>
      <c r="C60" s="148"/>
      <c r="D60" s="117">
        <v>2</v>
      </c>
      <c r="E60" s="117">
        <v>11</v>
      </c>
      <c r="F60" s="149" t="s">
        <v>242</v>
      </c>
      <c r="G60" s="46">
        <f>SUM(G61:G63)</f>
        <v>11831032</v>
      </c>
      <c r="H60" s="46">
        <f>SUM(H61:H63)</f>
        <v>16004771</v>
      </c>
      <c r="I60" s="46">
        <f>SUM(I61:I63)</f>
        <v>16168630</v>
      </c>
      <c r="J60" s="206">
        <f>SUM(J61:J63)</f>
        <v>14753701</v>
      </c>
    </row>
    <row r="61" spans="1:10" s="168" customFormat="1" ht="17.25">
      <c r="A61" s="462">
        <v>55</v>
      </c>
      <c r="B61" s="230" t="s">
        <v>321</v>
      </c>
      <c r="C61" s="117"/>
      <c r="D61" s="117"/>
      <c r="E61" s="117"/>
      <c r="F61" s="188" t="s">
        <v>183</v>
      </c>
      <c r="G61" s="2">
        <v>27970</v>
      </c>
      <c r="H61" s="2">
        <v>106203</v>
      </c>
      <c r="I61" s="2">
        <v>129649</v>
      </c>
      <c r="J61" s="207">
        <f>78742-22583</f>
        <v>56159</v>
      </c>
    </row>
    <row r="62" spans="1:10" s="168" customFormat="1" ht="17.25">
      <c r="A62" s="462">
        <v>56</v>
      </c>
      <c r="B62" s="230" t="s">
        <v>288</v>
      </c>
      <c r="C62" s="117"/>
      <c r="D62" s="117"/>
      <c r="E62" s="117"/>
      <c r="F62" s="45" t="s">
        <v>184</v>
      </c>
      <c r="G62" s="2">
        <v>24177</v>
      </c>
      <c r="H62" s="2">
        <v>95</v>
      </c>
      <c r="I62" s="2">
        <v>15781</v>
      </c>
      <c r="J62" s="207"/>
    </row>
    <row r="63" spans="1:10" s="168" customFormat="1" ht="17.25">
      <c r="A63" s="462">
        <v>57</v>
      </c>
      <c r="B63" s="97">
        <v>18</v>
      </c>
      <c r="C63" s="117"/>
      <c r="D63" s="117"/>
      <c r="E63" s="117"/>
      <c r="F63" s="188" t="s">
        <v>314</v>
      </c>
      <c r="G63" s="2">
        <v>11778885</v>
      </c>
      <c r="H63" s="2">
        <v>15898473</v>
      </c>
      <c r="I63" s="2">
        <v>16023200</v>
      </c>
      <c r="J63" s="207">
        <v>14697542</v>
      </c>
    </row>
    <row r="64" spans="1:10" s="30" customFormat="1" ht="30" customHeight="1">
      <c r="A64" s="462">
        <v>58</v>
      </c>
      <c r="B64" s="235"/>
      <c r="C64" s="178"/>
      <c r="D64" s="179"/>
      <c r="E64" s="179"/>
      <c r="F64" s="187" t="s">
        <v>275</v>
      </c>
      <c r="G64" s="47">
        <f>SUM(G65:G67)</f>
        <v>645374</v>
      </c>
      <c r="H64" s="47">
        <f>SUM(H65:H67)</f>
        <v>1176517</v>
      </c>
      <c r="I64" s="47">
        <f>SUM(I65:I67)</f>
        <v>1176517</v>
      </c>
      <c r="J64" s="208">
        <f>SUM(J65:J67)</f>
        <v>561891</v>
      </c>
    </row>
    <row r="65" spans="1:10" s="120" customFormat="1" ht="24" customHeight="1">
      <c r="A65" s="462">
        <v>59</v>
      </c>
      <c r="B65" s="97">
        <v>18</v>
      </c>
      <c r="C65" s="148"/>
      <c r="D65" s="117">
        <v>2</v>
      </c>
      <c r="E65" s="117">
        <v>10</v>
      </c>
      <c r="F65" s="149" t="s">
        <v>185</v>
      </c>
      <c r="G65" s="46"/>
      <c r="H65" s="46"/>
      <c r="I65" s="46"/>
      <c r="J65" s="206"/>
    </row>
    <row r="66" spans="1:10" ht="16.5">
      <c r="A66" s="462">
        <v>60</v>
      </c>
      <c r="B66" s="97"/>
      <c r="C66" s="117"/>
      <c r="D66" s="117"/>
      <c r="E66" s="117"/>
      <c r="F66" s="45" t="s">
        <v>185</v>
      </c>
      <c r="G66" s="2">
        <v>286988</v>
      </c>
      <c r="H66" s="2">
        <v>561891</v>
      </c>
      <c r="I66" s="2">
        <v>561891</v>
      </c>
      <c r="J66" s="207"/>
    </row>
    <row r="67" spans="1:10" ht="16.5">
      <c r="A67" s="462">
        <v>61</v>
      </c>
      <c r="B67" s="97"/>
      <c r="C67" s="117"/>
      <c r="D67" s="117"/>
      <c r="E67" s="117"/>
      <c r="F67" s="189" t="s">
        <v>186</v>
      </c>
      <c r="G67" s="48">
        <v>358386</v>
      </c>
      <c r="H67" s="48">
        <v>614626</v>
      </c>
      <c r="I67" s="48">
        <v>614626</v>
      </c>
      <c r="J67" s="207">
        <v>561891</v>
      </c>
    </row>
    <row r="68" spans="1:10" s="30" customFormat="1" ht="36" customHeight="1" thickBot="1">
      <c r="A68" s="462">
        <v>62</v>
      </c>
      <c r="B68" s="236"/>
      <c r="C68" s="190"/>
      <c r="D68" s="191"/>
      <c r="E68" s="191"/>
      <c r="F68" s="192" t="s">
        <v>187</v>
      </c>
      <c r="G68" s="258">
        <f>SUM(G51,G53)</f>
        <v>41400075</v>
      </c>
      <c r="H68" s="258">
        <f>SUM(H51,H53)</f>
        <v>46422015</v>
      </c>
      <c r="I68" s="258">
        <f>SUM(I51,I53)</f>
        <v>73274928</v>
      </c>
      <c r="J68" s="259">
        <f>SUM(J51,J53)</f>
        <v>58993126</v>
      </c>
    </row>
  </sheetData>
  <sheetProtection/>
  <mergeCells count="3">
    <mergeCell ref="B1:F1"/>
    <mergeCell ref="B2:J2"/>
    <mergeCell ref="B3:J3"/>
  </mergeCells>
  <printOptions horizontalCentered="1"/>
  <pageMargins left="0.1968503937007874" right="0.1968503937007874" top="0.5905511811023623" bottom="0.5905511811023623" header="0.5118110236220472" footer="0.5118110236220472"/>
  <pageSetup fitToHeight="2" fitToWidth="1" horizontalDpi="600" verticalDpi="600" orientation="portrait" paperSize="9" scale="70" r:id="rId1"/>
  <headerFooter alignWithMargins="0">
    <oddFooter>&amp;C- &amp;P -</oddFooter>
  </headerFooter>
  <rowBreaks count="1" manualBreakCount="1">
    <brk id="46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0"/>
  <sheetViews>
    <sheetView view="pageBreakPreview" zoomScale="88" zoomScaleSheetLayoutView="88" zoomScalePageLayoutView="0" workbookViewId="0" topLeftCell="A1">
      <selection activeCell="A1" sqref="A1:D1"/>
    </sheetView>
  </sheetViews>
  <sheetFormatPr defaultColWidth="9.00390625" defaultRowHeight="12.75"/>
  <cols>
    <col min="1" max="1" width="3.75390625" style="425" customWidth="1"/>
    <col min="2" max="3" width="5.75390625" style="466" customWidth="1"/>
    <col min="4" max="4" width="62.75390625" style="267" customWidth="1"/>
    <col min="5" max="5" width="12.75390625" style="465" customWidth="1"/>
    <col min="6" max="7" width="10.75390625" style="465" customWidth="1"/>
    <col min="8" max="8" width="6.75390625" style="428" customWidth="1"/>
    <col min="9" max="14" width="14.875" style="465" customWidth="1"/>
    <col min="15" max="15" width="15.75390625" style="448" customWidth="1"/>
    <col min="16" max="16" width="13.875" style="465" customWidth="1"/>
    <col min="17" max="16384" width="9.125" style="267" customWidth="1"/>
  </cols>
  <sheetData>
    <row r="1" spans="1:250" ht="18" customHeight="1">
      <c r="A1" s="1580" t="s">
        <v>824</v>
      </c>
      <c r="B1" s="1580"/>
      <c r="C1" s="1580"/>
      <c r="D1" s="1580"/>
      <c r="E1" s="376"/>
      <c r="F1" s="376"/>
      <c r="G1" s="376"/>
      <c r="H1" s="426"/>
      <c r="I1" s="1535"/>
      <c r="J1" s="1535"/>
      <c r="K1" s="1535"/>
      <c r="L1" s="1535"/>
      <c r="M1" s="1535"/>
      <c r="N1" s="1535"/>
      <c r="O1" s="1535"/>
      <c r="P1" s="1535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7"/>
      <c r="AO1" s="427"/>
      <c r="AP1" s="427"/>
      <c r="AQ1" s="427"/>
      <c r="AR1" s="427"/>
      <c r="AS1" s="427"/>
      <c r="AT1" s="427"/>
      <c r="AU1" s="427"/>
      <c r="AV1" s="427"/>
      <c r="AW1" s="427"/>
      <c r="AX1" s="427"/>
      <c r="AY1" s="427"/>
      <c r="AZ1" s="427"/>
      <c r="BA1" s="427"/>
      <c r="BB1" s="427"/>
      <c r="BC1" s="427"/>
      <c r="BD1" s="427"/>
      <c r="BE1" s="427"/>
      <c r="BF1" s="427"/>
      <c r="BG1" s="427"/>
      <c r="BH1" s="427"/>
      <c r="BI1" s="427"/>
      <c r="BJ1" s="427"/>
      <c r="BK1" s="427"/>
      <c r="BL1" s="427"/>
      <c r="BM1" s="427"/>
      <c r="BN1" s="427"/>
      <c r="BO1" s="427"/>
      <c r="BP1" s="427"/>
      <c r="BQ1" s="427"/>
      <c r="BR1" s="427"/>
      <c r="BS1" s="427"/>
      <c r="BT1" s="427"/>
      <c r="BU1" s="427"/>
      <c r="BV1" s="427"/>
      <c r="BW1" s="427"/>
      <c r="BX1" s="427"/>
      <c r="BY1" s="427"/>
      <c r="BZ1" s="427"/>
      <c r="CA1" s="427"/>
      <c r="CB1" s="427"/>
      <c r="CC1" s="427"/>
      <c r="CD1" s="427"/>
      <c r="CE1" s="427"/>
      <c r="CF1" s="427"/>
      <c r="CG1" s="427"/>
      <c r="CH1" s="427"/>
      <c r="CI1" s="427"/>
      <c r="CJ1" s="427"/>
      <c r="CK1" s="427"/>
      <c r="CL1" s="427"/>
      <c r="CM1" s="427"/>
      <c r="CN1" s="427"/>
      <c r="CO1" s="427"/>
      <c r="CP1" s="427"/>
      <c r="CQ1" s="427"/>
      <c r="CR1" s="427"/>
      <c r="CS1" s="427"/>
      <c r="CT1" s="427"/>
      <c r="CU1" s="427"/>
      <c r="CV1" s="427"/>
      <c r="CW1" s="427"/>
      <c r="CX1" s="427"/>
      <c r="CY1" s="427"/>
      <c r="CZ1" s="427"/>
      <c r="DA1" s="427"/>
      <c r="DB1" s="427"/>
      <c r="DC1" s="427"/>
      <c r="DD1" s="427"/>
      <c r="DE1" s="427"/>
      <c r="DF1" s="427"/>
      <c r="DG1" s="427"/>
      <c r="DH1" s="427"/>
      <c r="DI1" s="427"/>
      <c r="DJ1" s="427"/>
      <c r="DK1" s="427"/>
      <c r="DL1" s="427"/>
      <c r="DM1" s="427"/>
      <c r="DN1" s="427"/>
      <c r="DO1" s="427"/>
      <c r="DP1" s="427"/>
      <c r="DQ1" s="427"/>
      <c r="DR1" s="427"/>
      <c r="DS1" s="427"/>
      <c r="DT1" s="427"/>
      <c r="DU1" s="427"/>
      <c r="DV1" s="427"/>
      <c r="DW1" s="427"/>
      <c r="DX1" s="427"/>
      <c r="DY1" s="427"/>
      <c r="DZ1" s="427"/>
      <c r="EA1" s="427"/>
      <c r="EB1" s="427"/>
      <c r="EC1" s="427"/>
      <c r="ED1" s="427"/>
      <c r="EE1" s="427"/>
      <c r="EF1" s="427"/>
      <c r="EG1" s="427"/>
      <c r="EH1" s="427"/>
      <c r="EI1" s="427"/>
      <c r="EJ1" s="427"/>
      <c r="EK1" s="427"/>
      <c r="EL1" s="427"/>
      <c r="EM1" s="427"/>
      <c r="EN1" s="427"/>
      <c r="EO1" s="427"/>
      <c r="EP1" s="427"/>
      <c r="EQ1" s="427"/>
      <c r="ER1" s="427"/>
      <c r="ES1" s="427"/>
      <c r="ET1" s="427"/>
      <c r="EU1" s="427"/>
      <c r="EV1" s="427"/>
      <c r="EW1" s="427"/>
      <c r="EX1" s="427"/>
      <c r="EY1" s="427"/>
      <c r="EZ1" s="427"/>
      <c r="FA1" s="427"/>
      <c r="FB1" s="427"/>
      <c r="FC1" s="427"/>
      <c r="FD1" s="427"/>
      <c r="FE1" s="427"/>
      <c r="FF1" s="427"/>
      <c r="FG1" s="427"/>
      <c r="FH1" s="427"/>
      <c r="FI1" s="427"/>
      <c r="FJ1" s="427"/>
      <c r="FK1" s="427"/>
      <c r="FL1" s="427"/>
      <c r="FM1" s="427"/>
      <c r="FN1" s="427"/>
      <c r="FO1" s="427"/>
      <c r="FP1" s="427"/>
      <c r="FQ1" s="427"/>
      <c r="FR1" s="427"/>
      <c r="FS1" s="427"/>
      <c r="FT1" s="427"/>
      <c r="FU1" s="427"/>
      <c r="FV1" s="427"/>
      <c r="FW1" s="427"/>
      <c r="FX1" s="427"/>
      <c r="FY1" s="427"/>
      <c r="FZ1" s="427"/>
      <c r="GA1" s="427"/>
      <c r="GB1" s="427"/>
      <c r="GC1" s="427"/>
      <c r="GD1" s="427"/>
      <c r="GE1" s="427"/>
      <c r="GF1" s="427"/>
      <c r="GG1" s="427"/>
      <c r="GH1" s="427"/>
      <c r="GI1" s="427"/>
      <c r="GJ1" s="427"/>
      <c r="GK1" s="427"/>
      <c r="GL1" s="427"/>
      <c r="GM1" s="427"/>
      <c r="GN1" s="427"/>
      <c r="GO1" s="427"/>
      <c r="GP1" s="427"/>
      <c r="GQ1" s="427"/>
      <c r="GR1" s="427"/>
      <c r="GS1" s="427"/>
      <c r="GT1" s="427"/>
      <c r="GU1" s="427"/>
      <c r="GV1" s="427"/>
      <c r="GW1" s="427"/>
      <c r="GX1" s="427"/>
      <c r="GY1" s="427"/>
      <c r="GZ1" s="427"/>
      <c r="HA1" s="427"/>
      <c r="HB1" s="427"/>
      <c r="HC1" s="427"/>
      <c r="HD1" s="427"/>
      <c r="HE1" s="427"/>
      <c r="HF1" s="427"/>
      <c r="HG1" s="427"/>
      <c r="HH1" s="427"/>
      <c r="HI1" s="427"/>
      <c r="HJ1" s="427"/>
      <c r="HK1" s="427"/>
      <c r="HL1" s="427"/>
      <c r="HM1" s="427"/>
      <c r="HN1" s="427"/>
      <c r="HO1" s="427"/>
      <c r="HP1" s="427"/>
      <c r="HQ1" s="427"/>
      <c r="HR1" s="427"/>
      <c r="HS1" s="427"/>
      <c r="HT1" s="427"/>
      <c r="HU1" s="427"/>
      <c r="HV1" s="427"/>
      <c r="HW1" s="427"/>
      <c r="HX1" s="427"/>
      <c r="HY1" s="427"/>
      <c r="HZ1" s="427"/>
      <c r="IA1" s="427"/>
      <c r="IB1" s="427"/>
      <c r="IC1" s="427"/>
      <c r="ID1" s="427"/>
      <c r="IE1" s="427"/>
      <c r="IF1" s="427"/>
      <c r="IG1" s="427"/>
      <c r="IH1" s="427"/>
      <c r="II1" s="427"/>
      <c r="IJ1" s="427"/>
      <c r="IK1" s="427"/>
      <c r="IL1" s="427"/>
      <c r="IM1" s="427"/>
      <c r="IN1" s="427"/>
      <c r="IO1" s="427"/>
      <c r="IP1" s="427"/>
    </row>
    <row r="2" spans="1:16" ht="24.75" customHeight="1">
      <c r="A2" s="1536" t="s">
        <v>14</v>
      </c>
      <c r="B2" s="1536"/>
      <c r="C2" s="1536"/>
      <c r="D2" s="1536"/>
      <c r="E2" s="1536"/>
      <c r="F2" s="1536"/>
      <c r="G2" s="1536"/>
      <c r="H2" s="1536"/>
      <c r="I2" s="1536"/>
      <c r="J2" s="1536"/>
      <c r="K2" s="1536"/>
      <c r="L2" s="1536"/>
      <c r="M2" s="1536"/>
      <c r="N2" s="1536"/>
      <c r="O2" s="1536"/>
      <c r="P2" s="1536"/>
    </row>
    <row r="3" spans="1:16" ht="24.75" customHeight="1">
      <c r="A3" s="1581" t="s">
        <v>620</v>
      </c>
      <c r="B3" s="1581"/>
      <c r="C3" s="1581"/>
      <c r="D3" s="1581"/>
      <c r="E3" s="1581"/>
      <c r="F3" s="1581"/>
      <c r="G3" s="1581"/>
      <c r="H3" s="1581"/>
      <c r="I3" s="1581"/>
      <c r="J3" s="1581"/>
      <c r="K3" s="1581"/>
      <c r="L3" s="1581"/>
      <c r="M3" s="1581"/>
      <c r="N3" s="1581"/>
      <c r="O3" s="1581"/>
      <c r="P3" s="1581"/>
    </row>
    <row r="4" spans="1:16" s="499" customFormat="1" ht="18" customHeight="1">
      <c r="A4" s="425"/>
      <c r="B4" s="425"/>
      <c r="C4" s="425"/>
      <c r="E4" s="391"/>
      <c r="F4" s="391"/>
      <c r="G4" s="391"/>
      <c r="H4" s="500"/>
      <c r="I4" s="391"/>
      <c r="J4" s="391"/>
      <c r="K4" s="391"/>
      <c r="L4" s="391"/>
      <c r="M4" s="391"/>
      <c r="N4" s="391"/>
      <c r="O4" s="501"/>
      <c r="P4" s="397" t="s">
        <v>0</v>
      </c>
    </row>
    <row r="5" spans="1:250" s="505" customFormat="1" ht="18" customHeight="1" thickBot="1">
      <c r="A5" s="502"/>
      <c r="B5" s="503" t="s">
        <v>1</v>
      </c>
      <c r="C5" s="504" t="s">
        <v>3</v>
      </c>
      <c r="D5" s="504" t="s">
        <v>2</v>
      </c>
      <c r="E5" s="504" t="s">
        <v>4</v>
      </c>
      <c r="F5" s="504" t="s">
        <v>5</v>
      </c>
      <c r="G5" s="504" t="s">
        <v>15</v>
      </c>
      <c r="H5" s="504" t="s">
        <v>16</v>
      </c>
      <c r="I5" s="504" t="s">
        <v>17</v>
      </c>
      <c r="J5" s="504" t="s">
        <v>34</v>
      </c>
      <c r="K5" s="504" t="s">
        <v>30</v>
      </c>
      <c r="L5" s="504" t="s">
        <v>23</v>
      </c>
      <c r="M5" s="504" t="s">
        <v>35</v>
      </c>
      <c r="N5" s="504" t="s">
        <v>36</v>
      </c>
      <c r="O5" s="504" t="s">
        <v>145</v>
      </c>
      <c r="P5" s="504" t="s">
        <v>146</v>
      </c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2"/>
      <c r="AM5" s="502"/>
      <c r="AN5" s="502"/>
      <c r="AO5" s="502"/>
      <c r="AP5" s="502"/>
      <c r="AQ5" s="502"/>
      <c r="AR5" s="502"/>
      <c r="AS5" s="502"/>
      <c r="AT5" s="502"/>
      <c r="AU5" s="502"/>
      <c r="AV5" s="502"/>
      <c r="AW5" s="502"/>
      <c r="AX5" s="502"/>
      <c r="AY5" s="502"/>
      <c r="AZ5" s="502"/>
      <c r="BA5" s="502"/>
      <c r="BB5" s="502"/>
      <c r="BC5" s="502"/>
      <c r="BD5" s="502"/>
      <c r="BE5" s="502"/>
      <c r="BF5" s="502"/>
      <c r="BG5" s="502"/>
      <c r="BH5" s="502"/>
      <c r="BI5" s="502"/>
      <c r="BJ5" s="502"/>
      <c r="BK5" s="502"/>
      <c r="BL5" s="502"/>
      <c r="BM5" s="502"/>
      <c r="BN5" s="502"/>
      <c r="BO5" s="502"/>
      <c r="BP5" s="502"/>
      <c r="BQ5" s="502"/>
      <c r="BR5" s="502"/>
      <c r="BS5" s="502"/>
      <c r="BT5" s="502"/>
      <c r="BU5" s="502"/>
      <c r="BV5" s="502"/>
      <c r="BW5" s="502"/>
      <c r="BX5" s="502"/>
      <c r="BY5" s="502"/>
      <c r="BZ5" s="502"/>
      <c r="CA5" s="502"/>
      <c r="CB5" s="502"/>
      <c r="CC5" s="502"/>
      <c r="CD5" s="502"/>
      <c r="CE5" s="502"/>
      <c r="CF5" s="502"/>
      <c r="CG5" s="502"/>
      <c r="CH5" s="502"/>
      <c r="CI5" s="502"/>
      <c r="CJ5" s="502"/>
      <c r="CK5" s="502"/>
      <c r="CL5" s="502"/>
      <c r="CM5" s="502"/>
      <c r="CN5" s="502"/>
      <c r="CO5" s="502"/>
      <c r="CP5" s="502"/>
      <c r="CQ5" s="502"/>
      <c r="CR5" s="502"/>
      <c r="CS5" s="502"/>
      <c r="CT5" s="502"/>
      <c r="CU5" s="502"/>
      <c r="CV5" s="502"/>
      <c r="CW5" s="502"/>
      <c r="CX5" s="502"/>
      <c r="CY5" s="502"/>
      <c r="CZ5" s="502"/>
      <c r="DA5" s="502"/>
      <c r="DB5" s="502"/>
      <c r="DC5" s="502"/>
      <c r="DD5" s="502"/>
      <c r="DE5" s="502"/>
      <c r="DF5" s="502"/>
      <c r="DG5" s="502"/>
      <c r="DH5" s="502"/>
      <c r="DI5" s="502"/>
      <c r="DJ5" s="502"/>
      <c r="DK5" s="502"/>
      <c r="DL5" s="502"/>
      <c r="DM5" s="502"/>
      <c r="DN5" s="502"/>
      <c r="DO5" s="502"/>
      <c r="DP5" s="502"/>
      <c r="DQ5" s="502"/>
      <c r="DR5" s="502"/>
      <c r="DS5" s="502"/>
      <c r="DT5" s="502"/>
      <c r="DU5" s="502"/>
      <c r="DV5" s="502"/>
      <c r="DW5" s="502"/>
      <c r="DX5" s="502"/>
      <c r="DY5" s="502"/>
      <c r="DZ5" s="502"/>
      <c r="EA5" s="502"/>
      <c r="EB5" s="502"/>
      <c r="EC5" s="502"/>
      <c r="ED5" s="502"/>
      <c r="EE5" s="502"/>
      <c r="EF5" s="502"/>
      <c r="EG5" s="502"/>
      <c r="EH5" s="502"/>
      <c r="EI5" s="502"/>
      <c r="EJ5" s="502"/>
      <c r="EK5" s="502"/>
      <c r="EL5" s="502"/>
      <c r="EM5" s="502"/>
      <c r="EN5" s="502"/>
      <c r="EO5" s="502"/>
      <c r="EP5" s="502"/>
      <c r="EQ5" s="502"/>
      <c r="ER5" s="502"/>
      <c r="ES5" s="502"/>
      <c r="ET5" s="502"/>
      <c r="EU5" s="502"/>
      <c r="EV5" s="502"/>
      <c r="EW5" s="502"/>
      <c r="EX5" s="502"/>
      <c r="EY5" s="502"/>
      <c r="EZ5" s="502"/>
      <c r="FA5" s="502"/>
      <c r="FB5" s="502"/>
      <c r="FC5" s="502"/>
      <c r="FD5" s="502"/>
      <c r="FE5" s="502"/>
      <c r="FF5" s="502"/>
      <c r="FG5" s="502"/>
      <c r="FH5" s="502"/>
      <c r="FI5" s="502"/>
      <c r="FJ5" s="502"/>
      <c r="FK5" s="502"/>
      <c r="FL5" s="502"/>
      <c r="FM5" s="502"/>
      <c r="FN5" s="502"/>
      <c r="FO5" s="502"/>
      <c r="FP5" s="502"/>
      <c r="FQ5" s="502"/>
      <c r="FR5" s="502"/>
      <c r="FS5" s="502"/>
      <c r="FT5" s="502"/>
      <c r="FU5" s="502"/>
      <c r="FV5" s="502"/>
      <c r="FW5" s="502"/>
      <c r="FX5" s="502"/>
      <c r="FY5" s="502"/>
      <c r="FZ5" s="502"/>
      <c r="GA5" s="502"/>
      <c r="GB5" s="502"/>
      <c r="GC5" s="502"/>
      <c r="GD5" s="502"/>
      <c r="GE5" s="502"/>
      <c r="GF5" s="502"/>
      <c r="GG5" s="502"/>
      <c r="GH5" s="502"/>
      <c r="GI5" s="502"/>
      <c r="GJ5" s="502"/>
      <c r="GK5" s="502"/>
      <c r="GL5" s="502"/>
      <c r="GM5" s="502"/>
      <c r="GN5" s="502"/>
      <c r="GO5" s="502"/>
      <c r="GP5" s="502"/>
      <c r="GQ5" s="502"/>
      <c r="GR5" s="502"/>
      <c r="GS5" s="502"/>
      <c r="GT5" s="502"/>
      <c r="GU5" s="502"/>
      <c r="GV5" s="502"/>
      <c r="GW5" s="502"/>
      <c r="GX5" s="502"/>
      <c r="GY5" s="502"/>
      <c r="GZ5" s="502"/>
      <c r="HA5" s="502"/>
      <c r="HB5" s="502"/>
      <c r="HC5" s="502"/>
      <c r="HD5" s="502"/>
      <c r="HE5" s="502"/>
      <c r="HF5" s="502"/>
      <c r="HG5" s="502"/>
      <c r="HH5" s="502"/>
      <c r="HI5" s="502"/>
      <c r="HJ5" s="502"/>
      <c r="HK5" s="502"/>
      <c r="HL5" s="502"/>
      <c r="HM5" s="502"/>
      <c r="HN5" s="502"/>
      <c r="HO5" s="502"/>
      <c r="HP5" s="502"/>
      <c r="HQ5" s="502"/>
      <c r="HR5" s="502"/>
      <c r="HS5" s="502"/>
      <c r="HT5" s="502"/>
      <c r="HU5" s="502"/>
      <c r="HV5" s="502"/>
      <c r="HW5" s="502"/>
      <c r="HX5" s="502"/>
      <c r="HY5" s="502"/>
      <c r="HZ5" s="502"/>
      <c r="IA5" s="502"/>
      <c r="IB5" s="502"/>
      <c r="IC5" s="502"/>
      <c r="ID5" s="502"/>
      <c r="IE5" s="502"/>
      <c r="IF5" s="502"/>
      <c r="IG5" s="502"/>
      <c r="IH5" s="502"/>
      <c r="II5" s="502"/>
      <c r="IJ5" s="502"/>
      <c r="IK5" s="502"/>
      <c r="IL5" s="502"/>
      <c r="IM5" s="502"/>
      <c r="IN5" s="502"/>
      <c r="IO5" s="502"/>
      <c r="IP5" s="502"/>
    </row>
    <row r="6" spans="2:18" ht="22.5" customHeight="1">
      <c r="B6" s="1574" t="s">
        <v>18</v>
      </c>
      <c r="C6" s="1570" t="s">
        <v>19</v>
      </c>
      <c r="D6" s="1582" t="s">
        <v>6</v>
      </c>
      <c r="E6" s="1577" t="s">
        <v>409</v>
      </c>
      <c r="F6" s="1577" t="s">
        <v>621</v>
      </c>
      <c r="G6" s="1585" t="s">
        <v>619</v>
      </c>
      <c r="H6" s="1559" t="s">
        <v>20</v>
      </c>
      <c r="I6" s="1588" t="s">
        <v>569</v>
      </c>
      <c r="J6" s="1577"/>
      <c r="K6" s="1577"/>
      <c r="L6" s="1577"/>
      <c r="M6" s="1577"/>
      <c r="N6" s="1577"/>
      <c r="O6" s="1589"/>
      <c r="P6" s="1590" t="s">
        <v>579</v>
      </c>
      <c r="Q6" s="1573"/>
      <c r="R6" s="1573"/>
    </row>
    <row r="7" spans="2:16" ht="33" customHeight="1">
      <c r="B7" s="1575"/>
      <c r="C7" s="1571"/>
      <c r="D7" s="1583"/>
      <c r="E7" s="1578"/>
      <c r="F7" s="1578"/>
      <c r="G7" s="1586"/>
      <c r="H7" s="1560"/>
      <c r="I7" s="1593" t="s">
        <v>411</v>
      </c>
      <c r="J7" s="1594"/>
      <c r="K7" s="1595"/>
      <c r="L7" s="1595"/>
      <c r="M7" s="1596" t="s">
        <v>148</v>
      </c>
      <c r="N7" s="1596"/>
      <c r="O7" s="1597" t="s">
        <v>115</v>
      </c>
      <c r="P7" s="1591"/>
    </row>
    <row r="8" spans="2:16" ht="53.25" customHeight="1" thickBot="1">
      <c r="B8" s="1576"/>
      <c r="C8" s="1572"/>
      <c r="D8" s="1584"/>
      <c r="E8" s="1579"/>
      <c r="F8" s="1579"/>
      <c r="G8" s="1587"/>
      <c r="H8" s="1561"/>
      <c r="I8" s="521" t="s">
        <v>38</v>
      </c>
      <c r="J8" s="429" t="s">
        <v>406</v>
      </c>
      <c r="K8" s="430" t="s">
        <v>40</v>
      </c>
      <c r="L8" s="430" t="s">
        <v>408</v>
      </c>
      <c r="M8" s="429" t="s">
        <v>213</v>
      </c>
      <c r="N8" s="429" t="s">
        <v>149</v>
      </c>
      <c r="O8" s="1598"/>
      <c r="P8" s="1592"/>
    </row>
    <row r="9" spans="1:256" s="433" customFormat="1" ht="22.5" customHeight="1">
      <c r="A9" s="447">
        <v>1</v>
      </c>
      <c r="B9" s="431">
        <v>18</v>
      </c>
      <c r="C9" s="443" t="s">
        <v>14</v>
      </c>
      <c r="D9" s="509"/>
      <c r="E9" s="274"/>
      <c r="F9" s="272"/>
      <c r="G9" s="273"/>
      <c r="H9" s="525"/>
      <c r="I9" s="522"/>
      <c r="J9" s="450"/>
      <c r="K9" s="450"/>
      <c r="L9" s="450"/>
      <c r="M9" s="450"/>
      <c r="N9" s="450"/>
      <c r="O9" s="432"/>
      <c r="P9" s="435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7"/>
      <c r="DN9" s="267"/>
      <c r="DO9" s="267"/>
      <c r="DP9" s="267"/>
      <c r="DQ9" s="267"/>
      <c r="DR9" s="267"/>
      <c r="DS9" s="267"/>
      <c r="DT9" s="267"/>
      <c r="DU9" s="267"/>
      <c r="DV9" s="267"/>
      <c r="DW9" s="267"/>
      <c r="DX9" s="267"/>
      <c r="DY9" s="267"/>
      <c r="DZ9" s="267"/>
      <c r="EA9" s="267"/>
      <c r="EB9" s="267"/>
      <c r="EC9" s="267"/>
      <c r="ED9" s="267"/>
      <c r="EE9" s="267"/>
      <c r="EF9" s="267"/>
      <c r="EG9" s="267"/>
      <c r="EH9" s="267"/>
      <c r="EI9" s="267"/>
      <c r="EJ9" s="267"/>
      <c r="EK9" s="267"/>
      <c r="EL9" s="267"/>
      <c r="EM9" s="267"/>
      <c r="EN9" s="267"/>
      <c r="EO9" s="267"/>
      <c r="EP9" s="267"/>
      <c r="EQ9" s="267"/>
      <c r="ER9" s="267"/>
      <c r="ES9" s="267"/>
      <c r="ET9" s="267"/>
      <c r="EU9" s="267"/>
      <c r="EV9" s="267"/>
      <c r="EW9" s="267"/>
      <c r="EX9" s="267"/>
      <c r="EY9" s="267"/>
      <c r="EZ9" s="267"/>
      <c r="FA9" s="267"/>
      <c r="FB9" s="267"/>
      <c r="FC9" s="267"/>
      <c r="FD9" s="267"/>
      <c r="FE9" s="267"/>
      <c r="FF9" s="267"/>
      <c r="FG9" s="267"/>
      <c r="FH9" s="267"/>
      <c r="FI9" s="267"/>
      <c r="FJ9" s="267"/>
      <c r="FK9" s="267"/>
      <c r="FL9" s="267"/>
      <c r="FM9" s="267"/>
      <c r="FN9" s="267"/>
      <c r="FO9" s="267"/>
      <c r="FP9" s="267"/>
      <c r="FQ9" s="267"/>
      <c r="FR9" s="267"/>
      <c r="FS9" s="267"/>
      <c r="FT9" s="267"/>
      <c r="FU9" s="267"/>
      <c r="FV9" s="267"/>
      <c r="FW9" s="267"/>
      <c r="FX9" s="267"/>
      <c r="FY9" s="267"/>
      <c r="FZ9" s="267"/>
      <c r="GA9" s="267"/>
      <c r="GB9" s="267"/>
      <c r="GC9" s="267"/>
      <c r="GD9" s="267"/>
      <c r="GE9" s="267"/>
      <c r="GF9" s="267"/>
      <c r="GG9" s="267"/>
      <c r="GH9" s="267"/>
      <c r="GI9" s="267"/>
      <c r="GJ9" s="267"/>
      <c r="GK9" s="267"/>
      <c r="GL9" s="267"/>
      <c r="GM9" s="267"/>
      <c r="GN9" s="267"/>
      <c r="GO9" s="267"/>
      <c r="GP9" s="267"/>
      <c r="GQ9" s="267"/>
      <c r="GR9" s="267"/>
      <c r="GS9" s="267"/>
      <c r="GT9" s="267"/>
      <c r="GU9" s="267"/>
      <c r="GV9" s="267"/>
      <c r="GW9" s="267"/>
      <c r="GX9" s="267"/>
      <c r="GY9" s="267"/>
      <c r="GZ9" s="267"/>
      <c r="HA9" s="267"/>
      <c r="HB9" s="267"/>
      <c r="HC9" s="267"/>
      <c r="HD9" s="267"/>
      <c r="HE9" s="267"/>
      <c r="HF9" s="267"/>
      <c r="HG9" s="267"/>
      <c r="HH9" s="267"/>
      <c r="HI9" s="267"/>
      <c r="HJ9" s="267"/>
      <c r="HK9" s="267"/>
      <c r="HL9" s="267"/>
      <c r="HM9" s="267"/>
      <c r="HN9" s="267"/>
      <c r="HO9" s="267"/>
      <c r="HP9" s="267"/>
      <c r="HQ9" s="267"/>
      <c r="HR9" s="267"/>
      <c r="HS9" s="267"/>
      <c r="HT9" s="267"/>
      <c r="HU9" s="267"/>
      <c r="HV9" s="267"/>
      <c r="HW9" s="267"/>
      <c r="HX9" s="267"/>
      <c r="HY9" s="267"/>
      <c r="HZ9" s="267"/>
      <c r="IA9" s="267"/>
      <c r="IB9" s="267"/>
      <c r="IC9" s="267"/>
      <c r="ID9" s="267"/>
      <c r="IE9" s="267"/>
      <c r="IF9" s="267"/>
      <c r="IG9" s="267"/>
      <c r="IH9" s="267"/>
      <c r="II9" s="267"/>
      <c r="IJ9" s="267"/>
      <c r="IK9" s="267"/>
      <c r="IL9" s="267"/>
      <c r="IM9" s="267"/>
      <c r="IN9" s="267"/>
      <c r="IO9" s="267"/>
      <c r="IP9" s="267"/>
      <c r="IQ9" s="267"/>
      <c r="IR9" s="267"/>
      <c r="IS9" s="267"/>
      <c r="IT9" s="267"/>
      <c r="IU9" s="267"/>
      <c r="IV9" s="267"/>
    </row>
    <row r="10" spans="1:256" s="433" customFormat="1" ht="22.5" customHeight="1">
      <c r="A10" s="447">
        <v>2</v>
      </c>
      <c r="B10" s="441"/>
      <c r="C10" s="285">
        <v>1</v>
      </c>
      <c r="D10" s="436" t="s">
        <v>436</v>
      </c>
      <c r="E10" s="276"/>
      <c r="F10" s="437"/>
      <c r="G10" s="277"/>
      <c r="H10" s="526" t="s">
        <v>24</v>
      </c>
      <c r="I10" s="542"/>
      <c r="J10" s="538"/>
      <c r="K10" s="538"/>
      <c r="L10" s="538"/>
      <c r="M10" s="538"/>
      <c r="N10" s="538"/>
      <c r="O10" s="442"/>
      <c r="P10" s="438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  <c r="CJ10" s="267"/>
      <c r="CK10" s="267"/>
      <c r="CL10" s="267"/>
      <c r="CM10" s="267"/>
      <c r="CN10" s="267"/>
      <c r="CO10" s="267"/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267"/>
      <c r="DA10" s="267"/>
      <c r="DB10" s="267"/>
      <c r="DC10" s="267"/>
      <c r="DD10" s="267"/>
      <c r="DE10" s="267"/>
      <c r="DF10" s="267"/>
      <c r="DG10" s="267"/>
      <c r="DH10" s="267"/>
      <c r="DI10" s="267"/>
      <c r="DJ10" s="267"/>
      <c r="DK10" s="267"/>
      <c r="DL10" s="267"/>
      <c r="DM10" s="267"/>
      <c r="DN10" s="267"/>
      <c r="DO10" s="267"/>
      <c r="DP10" s="267"/>
      <c r="DQ10" s="267"/>
      <c r="DR10" s="267"/>
      <c r="DS10" s="267"/>
      <c r="DT10" s="267"/>
      <c r="DU10" s="267"/>
      <c r="DV10" s="267"/>
      <c r="DW10" s="267"/>
      <c r="DX10" s="267"/>
      <c r="DY10" s="267"/>
      <c r="DZ10" s="267"/>
      <c r="EA10" s="267"/>
      <c r="EB10" s="267"/>
      <c r="EC10" s="267"/>
      <c r="ED10" s="267"/>
      <c r="EE10" s="267"/>
      <c r="EF10" s="267"/>
      <c r="EG10" s="267"/>
      <c r="EH10" s="267"/>
      <c r="EI10" s="267"/>
      <c r="EJ10" s="267"/>
      <c r="EK10" s="267"/>
      <c r="EL10" s="267"/>
      <c r="EM10" s="267"/>
      <c r="EN10" s="267"/>
      <c r="EO10" s="267"/>
      <c r="EP10" s="267"/>
      <c r="EQ10" s="267"/>
      <c r="ER10" s="267"/>
      <c r="ES10" s="267"/>
      <c r="ET10" s="267"/>
      <c r="EU10" s="267"/>
      <c r="EV10" s="267"/>
      <c r="EW10" s="267"/>
      <c r="EX10" s="267"/>
      <c r="EY10" s="267"/>
      <c r="EZ10" s="267"/>
      <c r="FA10" s="267"/>
      <c r="FB10" s="267"/>
      <c r="FC10" s="267"/>
      <c r="FD10" s="267"/>
      <c r="FE10" s="267"/>
      <c r="FF10" s="267"/>
      <c r="FG10" s="267"/>
      <c r="FH10" s="267"/>
      <c r="FI10" s="267"/>
      <c r="FJ10" s="267"/>
      <c r="FK10" s="267"/>
      <c r="FL10" s="267"/>
      <c r="FM10" s="267"/>
      <c r="FN10" s="267"/>
      <c r="FO10" s="267"/>
      <c r="FP10" s="267"/>
      <c r="FQ10" s="267"/>
      <c r="FR10" s="267"/>
      <c r="FS10" s="267"/>
      <c r="FT10" s="267"/>
      <c r="FU10" s="267"/>
      <c r="FV10" s="267"/>
      <c r="FW10" s="267"/>
      <c r="FX10" s="267"/>
      <c r="FY10" s="267"/>
      <c r="FZ10" s="267"/>
      <c r="GA10" s="267"/>
      <c r="GB10" s="267"/>
      <c r="GC10" s="267"/>
      <c r="GD10" s="267"/>
      <c r="GE10" s="267"/>
      <c r="GF10" s="267"/>
      <c r="GG10" s="267"/>
      <c r="GH10" s="267"/>
      <c r="GI10" s="267"/>
      <c r="GJ10" s="267"/>
      <c r="GK10" s="267"/>
      <c r="GL10" s="267"/>
      <c r="GM10" s="267"/>
      <c r="GN10" s="267"/>
      <c r="GO10" s="267"/>
      <c r="GP10" s="267"/>
      <c r="GQ10" s="267"/>
      <c r="GR10" s="267"/>
      <c r="GS10" s="267"/>
      <c r="GT10" s="267"/>
      <c r="GU10" s="267"/>
      <c r="GV10" s="267"/>
      <c r="GW10" s="267"/>
      <c r="GX10" s="267"/>
      <c r="GY10" s="267"/>
      <c r="GZ10" s="267"/>
      <c r="HA10" s="267"/>
      <c r="HB10" s="267"/>
      <c r="HC10" s="267"/>
      <c r="HD10" s="267"/>
      <c r="HE10" s="267"/>
      <c r="HF10" s="267"/>
      <c r="HG10" s="267"/>
      <c r="HH10" s="267"/>
      <c r="HI10" s="267"/>
      <c r="HJ10" s="267"/>
      <c r="HK10" s="267"/>
      <c r="HL10" s="267"/>
      <c r="HM10" s="267"/>
      <c r="HN10" s="267"/>
      <c r="HO10" s="267"/>
      <c r="HP10" s="267"/>
      <c r="HQ10" s="267"/>
      <c r="HR10" s="267"/>
      <c r="HS10" s="267"/>
      <c r="HT10" s="267"/>
      <c r="HU10" s="267"/>
      <c r="HV10" s="267"/>
      <c r="HW10" s="267"/>
      <c r="HX10" s="267"/>
      <c r="HY10" s="267"/>
      <c r="HZ10" s="267"/>
      <c r="IA10" s="267"/>
      <c r="IB10" s="267"/>
      <c r="IC10" s="267"/>
      <c r="ID10" s="267"/>
      <c r="IE10" s="267"/>
      <c r="IF10" s="267"/>
      <c r="IG10" s="267"/>
      <c r="IH10" s="267"/>
      <c r="II10" s="267"/>
      <c r="IJ10" s="267"/>
      <c r="IK10" s="267"/>
      <c r="IL10" s="267"/>
      <c r="IM10" s="267"/>
      <c r="IN10" s="267"/>
      <c r="IO10" s="267"/>
      <c r="IP10" s="267"/>
      <c r="IQ10" s="267"/>
      <c r="IR10" s="267"/>
      <c r="IS10" s="267"/>
      <c r="IT10" s="267"/>
      <c r="IU10" s="267"/>
      <c r="IV10" s="267"/>
    </row>
    <row r="11" spans="1:17" s="519" customFormat="1" ht="18" customHeight="1">
      <c r="A11" s="447">
        <v>3</v>
      </c>
      <c r="B11" s="511"/>
      <c r="C11" s="512"/>
      <c r="D11" s="513" t="s">
        <v>283</v>
      </c>
      <c r="E11" s="276">
        <f>F11+G11+O11+P11</f>
        <v>8822998</v>
      </c>
      <c r="F11" s="437">
        <f>106200+145324</f>
        <v>251524</v>
      </c>
      <c r="G11" s="277">
        <v>4461852</v>
      </c>
      <c r="H11" s="527"/>
      <c r="I11" s="542"/>
      <c r="J11" s="538"/>
      <c r="K11" s="517">
        <v>118727</v>
      </c>
      <c r="L11" s="517"/>
      <c r="M11" s="517">
        <v>3990895</v>
      </c>
      <c r="N11" s="517"/>
      <c r="O11" s="510">
        <f>SUM(I11:N11)</f>
        <v>4109622</v>
      </c>
      <c r="P11" s="438"/>
      <c r="Q11" s="547"/>
    </row>
    <row r="12" spans="1:256" s="433" customFormat="1" ht="22.5" customHeight="1">
      <c r="A12" s="447">
        <v>4</v>
      </c>
      <c r="B12" s="441"/>
      <c r="C12" s="285">
        <v>2</v>
      </c>
      <c r="D12" s="436" t="s">
        <v>437</v>
      </c>
      <c r="E12" s="276"/>
      <c r="F12" s="437"/>
      <c r="G12" s="277"/>
      <c r="H12" s="526" t="s">
        <v>24</v>
      </c>
      <c r="I12" s="542"/>
      <c r="J12" s="538"/>
      <c r="K12" s="517"/>
      <c r="L12" s="517"/>
      <c r="M12" s="517"/>
      <c r="N12" s="517"/>
      <c r="O12" s="442"/>
      <c r="P12" s="438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7"/>
      <c r="BN12" s="267"/>
      <c r="BO12" s="267"/>
      <c r="BP12" s="267"/>
      <c r="BQ12" s="267"/>
      <c r="BR12" s="267"/>
      <c r="BS12" s="267"/>
      <c r="BT12" s="267"/>
      <c r="BU12" s="267"/>
      <c r="BV12" s="267"/>
      <c r="BW12" s="267"/>
      <c r="BX12" s="267"/>
      <c r="BY12" s="267"/>
      <c r="BZ12" s="267"/>
      <c r="CA12" s="267"/>
      <c r="CB12" s="267"/>
      <c r="CC12" s="267"/>
      <c r="CD12" s="267"/>
      <c r="CE12" s="267"/>
      <c r="CF12" s="267"/>
      <c r="CG12" s="267"/>
      <c r="CH12" s="267"/>
      <c r="CI12" s="267"/>
      <c r="CJ12" s="267"/>
      <c r="CK12" s="267"/>
      <c r="CL12" s="267"/>
      <c r="CM12" s="267"/>
      <c r="CN12" s="267"/>
      <c r="CO12" s="267"/>
      <c r="CP12" s="267"/>
      <c r="CQ12" s="267"/>
      <c r="CR12" s="267"/>
      <c r="CS12" s="267"/>
      <c r="CT12" s="267"/>
      <c r="CU12" s="267"/>
      <c r="CV12" s="267"/>
      <c r="CW12" s="267"/>
      <c r="CX12" s="267"/>
      <c r="CY12" s="267"/>
      <c r="CZ12" s="267"/>
      <c r="DA12" s="267"/>
      <c r="DB12" s="267"/>
      <c r="DC12" s="267"/>
      <c r="DD12" s="267"/>
      <c r="DE12" s="267"/>
      <c r="DF12" s="267"/>
      <c r="DG12" s="267"/>
      <c r="DH12" s="267"/>
      <c r="DI12" s="267"/>
      <c r="DJ12" s="267"/>
      <c r="DK12" s="267"/>
      <c r="DL12" s="267"/>
      <c r="DM12" s="267"/>
      <c r="DN12" s="267"/>
      <c r="DO12" s="267"/>
      <c r="DP12" s="267"/>
      <c r="DQ12" s="267"/>
      <c r="DR12" s="267"/>
      <c r="DS12" s="267"/>
      <c r="DT12" s="267"/>
      <c r="DU12" s="267"/>
      <c r="DV12" s="267"/>
      <c r="DW12" s="267"/>
      <c r="DX12" s="267"/>
      <c r="DY12" s="267"/>
      <c r="DZ12" s="267"/>
      <c r="EA12" s="267"/>
      <c r="EB12" s="267"/>
      <c r="EC12" s="267"/>
      <c r="ED12" s="267"/>
      <c r="EE12" s="267"/>
      <c r="EF12" s="267"/>
      <c r="EG12" s="267"/>
      <c r="EH12" s="267"/>
      <c r="EI12" s="267"/>
      <c r="EJ12" s="267"/>
      <c r="EK12" s="267"/>
      <c r="EL12" s="267"/>
      <c r="EM12" s="267"/>
      <c r="EN12" s="267"/>
      <c r="EO12" s="267"/>
      <c r="EP12" s="267"/>
      <c r="EQ12" s="267"/>
      <c r="ER12" s="267"/>
      <c r="ES12" s="267"/>
      <c r="ET12" s="267"/>
      <c r="EU12" s="267"/>
      <c r="EV12" s="267"/>
      <c r="EW12" s="267"/>
      <c r="EX12" s="267"/>
      <c r="EY12" s="267"/>
      <c r="EZ12" s="267"/>
      <c r="FA12" s="267"/>
      <c r="FB12" s="267"/>
      <c r="FC12" s="267"/>
      <c r="FD12" s="267"/>
      <c r="FE12" s="267"/>
      <c r="FF12" s="267"/>
      <c r="FG12" s="267"/>
      <c r="FH12" s="267"/>
      <c r="FI12" s="267"/>
      <c r="FJ12" s="267"/>
      <c r="FK12" s="267"/>
      <c r="FL12" s="267"/>
      <c r="FM12" s="267"/>
      <c r="FN12" s="267"/>
      <c r="FO12" s="267"/>
      <c r="FP12" s="267"/>
      <c r="FQ12" s="267"/>
      <c r="FR12" s="267"/>
      <c r="FS12" s="267"/>
      <c r="FT12" s="267"/>
      <c r="FU12" s="267"/>
      <c r="FV12" s="267"/>
      <c r="FW12" s="267"/>
      <c r="FX12" s="267"/>
      <c r="FY12" s="267"/>
      <c r="FZ12" s="267"/>
      <c r="GA12" s="267"/>
      <c r="GB12" s="267"/>
      <c r="GC12" s="267"/>
      <c r="GD12" s="267"/>
      <c r="GE12" s="267"/>
      <c r="GF12" s="267"/>
      <c r="GG12" s="267"/>
      <c r="GH12" s="267"/>
      <c r="GI12" s="267"/>
      <c r="GJ12" s="267"/>
      <c r="GK12" s="267"/>
      <c r="GL12" s="267"/>
      <c r="GM12" s="267"/>
      <c r="GN12" s="267"/>
      <c r="GO12" s="267"/>
      <c r="GP12" s="267"/>
      <c r="GQ12" s="267"/>
      <c r="GR12" s="267"/>
      <c r="GS12" s="267"/>
      <c r="GT12" s="267"/>
      <c r="GU12" s="267"/>
      <c r="GV12" s="267"/>
      <c r="GW12" s="267"/>
      <c r="GX12" s="267"/>
      <c r="GY12" s="267"/>
      <c r="GZ12" s="267"/>
      <c r="HA12" s="267"/>
      <c r="HB12" s="267"/>
      <c r="HC12" s="267"/>
      <c r="HD12" s="267"/>
      <c r="HE12" s="267"/>
      <c r="HF12" s="267"/>
      <c r="HG12" s="267"/>
      <c r="HH12" s="267"/>
      <c r="HI12" s="267"/>
      <c r="HJ12" s="267"/>
      <c r="HK12" s="267"/>
      <c r="HL12" s="267"/>
      <c r="HM12" s="267"/>
      <c r="HN12" s="267"/>
      <c r="HO12" s="267"/>
      <c r="HP12" s="267"/>
      <c r="HQ12" s="267"/>
      <c r="HR12" s="267"/>
      <c r="HS12" s="267"/>
      <c r="HT12" s="267"/>
      <c r="HU12" s="267"/>
      <c r="HV12" s="267"/>
      <c r="HW12" s="267"/>
      <c r="HX12" s="267"/>
      <c r="HY12" s="267"/>
      <c r="HZ12" s="267"/>
      <c r="IA12" s="267"/>
      <c r="IB12" s="267"/>
      <c r="IC12" s="267"/>
      <c r="ID12" s="267"/>
      <c r="IE12" s="267"/>
      <c r="IF12" s="267"/>
      <c r="IG12" s="267"/>
      <c r="IH12" s="267"/>
      <c r="II12" s="267"/>
      <c r="IJ12" s="267"/>
      <c r="IK12" s="267"/>
      <c r="IL12" s="267"/>
      <c r="IM12" s="267"/>
      <c r="IN12" s="267"/>
      <c r="IO12" s="267"/>
      <c r="IP12" s="267"/>
      <c r="IQ12" s="267"/>
      <c r="IR12" s="267"/>
      <c r="IS12" s="267"/>
      <c r="IT12" s="267"/>
      <c r="IU12" s="267"/>
      <c r="IV12" s="267"/>
    </row>
    <row r="13" spans="1:17" s="519" customFormat="1" ht="18" customHeight="1">
      <c r="A13" s="447">
        <v>5</v>
      </c>
      <c r="B13" s="511"/>
      <c r="C13" s="512"/>
      <c r="D13" s="513" t="s">
        <v>283</v>
      </c>
      <c r="E13" s="276">
        <f>F13+G13+O13+P13</f>
        <v>14460580</v>
      </c>
      <c r="F13" s="437">
        <f>324476+484396+427002</f>
        <v>1235874</v>
      </c>
      <c r="G13" s="277">
        <v>450929</v>
      </c>
      <c r="H13" s="527"/>
      <c r="I13" s="542"/>
      <c r="J13" s="538"/>
      <c r="K13" s="517">
        <v>813</v>
      </c>
      <c r="L13" s="517"/>
      <c r="M13" s="517">
        <v>3492384</v>
      </c>
      <c r="N13" s="517"/>
      <c r="O13" s="510">
        <f>SUM(I13:N13)</f>
        <v>3493197</v>
      </c>
      <c r="P13" s="438">
        <f>9780580-500000</f>
        <v>9280580</v>
      </c>
      <c r="Q13" s="547"/>
    </row>
    <row r="14" spans="1:256" s="433" customFormat="1" ht="49.5" customHeight="1">
      <c r="A14" s="447">
        <v>6</v>
      </c>
      <c r="B14" s="441"/>
      <c r="C14" s="268">
        <v>3</v>
      </c>
      <c r="D14" s="545" t="s">
        <v>438</v>
      </c>
      <c r="E14" s="276"/>
      <c r="F14" s="437"/>
      <c r="G14" s="277"/>
      <c r="H14" s="526" t="s">
        <v>24</v>
      </c>
      <c r="I14" s="542"/>
      <c r="J14" s="538"/>
      <c r="K14" s="517"/>
      <c r="L14" s="517"/>
      <c r="M14" s="517"/>
      <c r="N14" s="517"/>
      <c r="O14" s="442"/>
      <c r="P14" s="438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7"/>
      <c r="CC14" s="267"/>
      <c r="CD14" s="267"/>
      <c r="CE14" s="267"/>
      <c r="CF14" s="267"/>
      <c r="CG14" s="267"/>
      <c r="CH14" s="267"/>
      <c r="CI14" s="267"/>
      <c r="CJ14" s="267"/>
      <c r="CK14" s="267"/>
      <c r="CL14" s="267"/>
      <c r="CM14" s="267"/>
      <c r="CN14" s="267"/>
      <c r="CO14" s="267"/>
      <c r="CP14" s="267"/>
      <c r="CQ14" s="267"/>
      <c r="CR14" s="267"/>
      <c r="CS14" s="267"/>
      <c r="CT14" s="267"/>
      <c r="CU14" s="267"/>
      <c r="CV14" s="267"/>
      <c r="CW14" s="267"/>
      <c r="CX14" s="267"/>
      <c r="CY14" s="267"/>
      <c r="CZ14" s="267"/>
      <c r="DA14" s="267"/>
      <c r="DB14" s="267"/>
      <c r="DC14" s="267"/>
      <c r="DD14" s="267"/>
      <c r="DE14" s="267"/>
      <c r="DF14" s="267"/>
      <c r="DG14" s="267"/>
      <c r="DH14" s="267"/>
      <c r="DI14" s="267"/>
      <c r="DJ14" s="267"/>
      <c r="DK14" s="267"/>
      <c r="DL14" s="267"/>
      <c r="DM14" s="267"/>
      <c r="DN14" s="267"/>
      <c r="DO14" s="267"/>
      <c r="DP14" s="267"/>
      <c r="DQ14" s="267"/>
      <c r="DR14" s="267"/>
      <c r="DS14" s="267"/>
      <c r="DT14" s="267"/>
      <c r="DU14" s="267"/>
      <c r="DV14" s="267"/>
      <c r="DW14" s="267"/>
      <c r="DX14" s="267"/>
      <c r="DY14" s="267"/>
      <c r="DZ14" s="267"/>
      <c r="EA14" s="267"/>
      <c r="EB14" s="267"/>
      <c r="EC14" s="267"/>
      <c r="ED14" s="267"/>
      <c r="EE14" s="267"/>
      <c r="EF14" s="267"/>
      <c r="EG14" s="267"/>
      <c r="EH14" s="267"/>
      <c r="EI14" s="267"/>
      <c r="EJ14" s="267"/>
      <c r="EK14" s="267"/>
      <c r="EL14" s="267"/>
      <c r="EM14" s="267"/>
      <c r="EN14" s="267"/>
      <c r="EO14" s="267"/>
      <c r="EP14" s="267"/>
      <c r="EQ14" s="267"/>
      <c r="ER14" s="267"/>
      <c r="ES14" s="267"/>
      <c r="ET14" s="267"/>
      <c r="EU14" s="267"/>
      <c r="EV14" s="267"/>
      <c r="EW14" s="267"/>
      <c r="EX14" s="267"/>
      <c r="EY14" s="267"/>
      <c r="EZ14" s="267"/>
      <c r="FA14" s="267"/>
      <c r="FB14" s="267"/>
      <c r="FC14" s="267"/>
      <c r="FD14" s="267"/>
      <c r="FE14" s="267"/>
      <c r="FF14" s="267"/>
      <c r="FG14" s="267"/>
      <c r="FH14" s="267"/>
      <c r="FI14" s="267"/>
      <c r="FJ14" s="267"/>
      <c r="FK14" s="267"/>
      <c r="FL14" s="267"/>
      <c r="FM14" s="267"/>
      <c r="FN14" s="267"/>
      <c r="FO14" s="267"/>
      <c r="FP14" s="267"/>
      <c r="FQ14" s="267"/>
      <c r="FR14" s="267"/>
      <c r="FS14" s="267"/>
      <c r="FT14" s="267"/>
      <c r="FU14" s="267"/>
      <c r="FV14" s="267"/>
      <c r="FW14" s="267"/>
      <c r="FX14" s="267"/>
      <c r="FY14" s="267"/>
      <c r="FZ14" s="267"/>
      <c r="GA14" s="267"/>
      <c r="GB14" s="267"/>
      <c r="GC14" s="267"/>
      <c r="GD14" s="267"/>
      <c r="GE14" s="267"/>
      <c r="GF14" s="267"/>
      <c r="GG14" s="267"/>
      <c r="GH14" s="267"/>
      <c r="GI14" s="267"/>
      <c r="GJ14" s="267"/>
      <c r="GK14" s="267"/>
      <c r="GL14" s="267"/>
      <c r="GM14" s="267"/>
      <c r="GN14" s="267"/>
      <c r="GO14" s="267"/>
      <c r="GP14" s="267"/>
      <c r="GQ14" s="267"/>
      <c r="GR14" s="267"/>
      <c r="GS14" s="267"/>
      <c r="GT14" s="267"/>
      <c r="GU14" s="267"/>
      <c r="GV14" s="267"/>
      <c r="GW14" s="267"/>
      <c r="GX14" s="267"/>
      <c r="GY14" s="267"/>
      <c r="GZ14" s="267"/>
      <c r="HA14" s="267"/>
      <c r="HB14" s="267"/>
      <c r="HC14" s="267"/>
      <c r="HD14" s="267"/>
      <c r="HE14" s="267"/>
      <c r="HF14" s="267"/>
      <c r="HG14" s="267"/>
      <c r="HH14" s="267"/>
      <c r="HI14" s="267"/>
      <c r="HJ14" s="267"/>
      <c r="HK14" s="267"/>
      <c r="HL14" s="267"/>
      <c r="HM14" s="267"/>
      <c r="HN14" s="267"/>
      <c r="HO14" s="267"/>
      <c r="HP14" s="267"/>
      <c r="HQ14" s="267"/>
      <c r="HR14" s="267"/>
      <c r="HS14" s="267"/>
      <c r="HT14" s="267"/>
      <c r="HU14" s="267"/>
      <c r="HV14" s="267"/>
      <c r="HW14" s="267"/>
      <c r="HX14" s="267"/>
      <c r="HY14" s="267"/>
      <c r="HZ14" s="267"/>
      <c r="IA14" s="267"/>
      <c r="IB14" s="267"/>
      <c r="IC14" s="267"/>
      <c r="ID14" s="267"/>
      <c r="IE14" s="267"/>
      <c r="IF14" s="267"/>
      <c r="IG14" s="267"/>
      <c r="IH14" s="267"/>
      <c r="II14" s="267"/>
      <c r="IJ14" s="267"/>
      <c r="IK14" s="267"/>
      <c r="IL14" s="267"/>
      <c r="IM14" s="267"/>
      <c r="IN14" s="267"/>
      <c r="IO14" s="267"/>
      <c r="IP14" s="267"/>
      <c r="IQ14" s="267"/>
      <c r="IR14" s="267"/>
      <c r="IS14" s="267"/>
      <c r="IT14" s="267"/>
      <c r="IU14" s="267"/>
      <c r="IV14" s="267"/>
    </row>
    <row r="15" spans="1:17" s="519" customFormat="1" ht="18" customHeight="1">
      <c r="A15" s="447">
        <v>7</v>
      </c>
      <c r="B15" s="511"/>
      <c r="C15" s="512"/>
      <c r="D15" s="520" t="s">
        <v>283</v>
      </c>
      <c r="E15" s="276">
        <f>F15+G15+O15+P15</f>
        <v>1658925</v>
      </c>
      <c r="F15" s="437">
        <f>7043+16169+7859</f>
        <v>31071</v>
      </c>
      <c r="G15" s="277">
        <v>1627393</v>
      </c>
      <c r="H15" s="527"/>
      <c r="I15" s="542"/>
      <c r="J15" s="538"/>
      <c r="K15" s="517">
        <v>461</v>
      </c>
      <c r="L15" s="517"/>
      <c r="M15" s="517"/>
      <c r="N15" s="517"/>
      <c r="O15" s="510">
        <f>SUM(I15:N15)</f>
        <v>461</v>
      </c>
      <c r="P15" s="438"/>
      <c r="Q15" s="547"/>
    </row>
    <row r="16" spans="1:256" s="433" customFormat="1" ht="22.5" customHeight="1">
      <c r="A16" s="447">
        <v>8</v>
      </c>
      <c r="B16" s="441"/>
      <c r="C16" s="285">
        <v>4</v>
      </c>
      <c r="D16" s="436" t="s">
        <v>439</v>
      </c>
      <c r="E16" s="276"/>
      <c r="F16" s="276"/>
      <c r="G16" s="277"/>
      <c r="H16" s="526" t="s">
        <v>24</v>
      </c>
      <c r="I16" s="543"/>
      <c r="J16" s="537"/>
      <c r="K16" s="514"/>
      <c r="L16" s="514"/>
      <c r="M16" s="514"/>
      <c r="N16" s="514"/>
      <c r="O16" s="446"/>
      <c r="P16" s="438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7"/>
      <c r="BN16" s="267"/>
      <c r="BO16" s="267"/>
      <c r="BP16" s="267"/>
      <c r="BQ16" s="267"/>
      <c r="BR16" s="267"/>
      <c r="BS16" s="267"/>
      <c r="BT16" s="267"/>
      <c r="BU16" s="267"/>
      <c r="BV16" s="267"/>
      <c r="BW16" s="267"/>
      <c r="BX16" s="267"/>
      <c r="BY16" s="267"/>
      <c r="BZ16" s="267"/>
      <c r="CA16" s="267"/>
      <c r="CB16" s="267"/>
      <c r="CC16" s="267"/>
      <c r="CD16" s="267"/>
      <c r="CE16" s="267"/>
      <c r="CF16" s="267"/>
      <c r="CG16" s="267"/>
      <c r="CH16" s="267"/>
      <c r="CI16" s="267"/>
      <c r="CJ16" s="267"/>
      <c r="CK16" s="267"/>
      <c r="CL16" s="267"/>
      <c r="CM16" s="267"/>
      <c r="CN16" s="267"/>
      <c r="CO16" s="267"/>
      <c r="CP16" s="267"/>
      <c r="CQ16" s="267"/>
      <c r="CR16" s="267"/>
      <c r="CS16" s="267"/>
      <c r="CT16" s="267"/>
      <c r="CU16" s="267"/>
      <c r="CV16" s="267"/>
      <c r="CW16" s="267"/>
      <c r="CX16" s="267"/>
      <c r="CY16" s="267"/>
      <c r="CZ16" s="267"/>
      <c r="DA16" s="267"/>
      <c r="DB16" s="267"/>
      <c r="DC16" s="267"/>
      <c r="DD16" s="267"/>
      <c r="DE16" s="267"/>
      <c r="DF16" s="267"/>
      <c r="DG16" s="267"/>
      <c r="DH16" s="267"/>
      <c r="DI16" s="267"/>
      <c r="DJ16" s="267"/>
      <c r="DK16" s="267"/>
      <c r="DL16" s="267"/>
      <c r="DM16" s="267"/>
      <c r="DN16" s="267"/>
      <c r="DO16" s="267"/>
      <c r="DP16" s="267"/>
      <c r="DQ16" s="267"/>
      <c r="DR16" s="267"/>
      <c r="DS16" s="267"/>
      <c r="DT16" s="267"/>
      <c r="DU16" s="267"/>
      <c r="DV16" s="267"/>
      <c r="DW16" s="267"/>
      <c r="DX16" s="267"/>
      <c r="DY16" s="267"/>
      <c r="DZ16" s="267"/>
      <c r="EA16" s="267"/>
      <c r="EB16" s="267"/>
      <c r="EC16" s="267"/>
      <c r="ED16" s="267"/>
      <c r="EE16" s="267"/>
      <c r="EF16" s="267"/>
      <c r="EG16" s="267"/>
      <c r="EH16" s="267"/>
      <c r="EI16" s="267"/>
      <c r="EJ16" s="267"/>
      <c r="EK16" s="267"/>
      <c r="EL16" s="267"/>
      <c r="EM16" s="267"/>
      <c r="EN16" s="267"/>
      <c r="EO16" s="267"/>
      <c r="EP16" s="267"/>
      <c r="EQ16" s="267"/>
      <c r="ER16" s="267"/>
      <c r="ES16" s="267"/>
      <c r="ET16" s="267"/>
      <c r="EU16" s="267"/>
      <c r="EV16" s="267"/>
      <c r="EW16" s="267"/>
      <c r="EX16" s="267"/>
      <c r="EY16" s="267"/>
      <c r="EZ16" s="267"/>
      <c r="FA16" s="267"/>
      <c r="FB16" s="267"/>
      <c r="FC16" s="267"/>
      <c r="FD16" s="267"/>
      <c r="FE16" s="267"/>
      <c r="FF16" s="267"/>
      <c r="FG16" s="267"/>
      <c r="FH16" s="267"/>
      <c r="FI16" s="267"/>
      <c r="FJ16" s="267"/>
      <c r="FK16" s="267"/>
      <c r="FL16" s="267"/>
      <c r="FM16" s="267"/>
      <c r="FN16" s="267"/>
      <c r="FO16" s="267"/>
      <c r="FP16" s="267"/>
      <c r="FQ16" s="267"/>
      <c r="FR16" s="267"/>
      <c r="FS16" s="267"/>
      <c r="FT16" s="267"/>
      <c r="FU16" s="267"/>
      <c r="FV16" s="267"/>
      <c r="FW16" s="267"/>
      <c r="FX16" s="267"/>
      <c r="FY16" s="267"/>
      <c r="FZ16" s="267"/>
      <c r="GA16" s="267"/>
      <c r="GB16" s="267"/>
      <c r="GC16" s="267"/>
      <c r="GD16" s="267"/>
      <c r="GE16" s="267"/>
      <c r="GF16" s="267"/>
      <c r="GG16" s="267"/>
      <c r="GH16" s="267"/>
      <c r="GI16" s="267"/>
      <c r="GJ16" s="267"/>
      <c r="GK16" s="267"/>
      <c r="GL16" s="267"/>
      <c r="GM16" s="267"/>
      <c r="GN16" s="267"/>
      <c r="GO16" s="267"/>
      <c r="GP16" s="267"/>
      <c r="GQ16" s="267"/>
      <c r="GR16" s="267"/>
      <c r="GS16" s="267"/>
      <c r="GT16" s="267"/>
      <c r="GU16" s="267"/>
      <c r="GV16" s="267"/>
      <c r="GW16" s="267"/>
      <c r="GX16" s="267"/>
      <c r="GY16" s="267"/>
      <c r="GZ16" s="267"/>
      <c r="HA16" s="267"/>
      <c r="HB16" s="267"/>
      <c r="HC16" s="267"/>
      <c r="HD16" s="267"/>
      <c r="HE16" s="267"/>
      <c r="HF16" s="267"/>
      <c r="HG16" s="267"/>
      <c r="HH16" s="267"/>
      <c r="HI16" s="267"/>
      <c r="HJ16" s="267"/>
      <c r="HK16" s="267"/>
      <c r="HL16" s="267"/>
      <c r="HM16" s="267"/>
      <c r="HN16" s="267"/>
      <c r="HO16" s="267"/>
      <c r="HP16" s="267"/>
      <c r="HQ16" s="267"/>
      <c r="HR16" s="267"/>
      <c r="HS16" s="267"/>
      <c r="HT16" s="267"/>
      <c r="HU16" s="267"/>
      <c r="HV16" s="267"/>
      <c r="HW16" s="267"/>
      <c r="HX16" s="267"/>
      <c r="HY16" s="267"/>
      <c r="HZ16" s="267"/>
      <c r="IA16" s="267"/>
      <c r="IB16" s="267"/>
      <c r="IC16" s="267"/>
      <c r="ID16" s="267"/>
      <c r="IE16" s="267"/>
      <c r="IF16" s="267"/>
      <c r="IG16" s="267"/>
      <c r="IH16" s="267"/>
      <c r="II16" s="267"/>
      <c r="IJ16" s="267"/>
      <c r="IK16" s="267"/>
      <c r="IL16" s="267"/>
      <c r="IM16" s="267"/>
      <c r="IN16" s="267"/>
      <c r="IO16" s="267"/>
      <c r="IP16" s="267"/>
      <c r="IQ16" s="267"/>
      <c r="IR16" s="267"/>
      <c r="IS16" s="267"/>
      <c r="IT16" s="267"/>
      <c r="IU16" s="267"/>
      <c r="IV16" s="267"/>
    </row>
    <row r="17" spans="1:16" ht="18" customHeight="1">
      <c r="A17" s="447">
        <v>9</v>
      </c>
      <c r="B17" s="371"/>
      <c r="C17" s="285"/>
      <c r="D17" s="520" t="s">
        <v>283</v>
      </c>
      <c r="E17" s="276">
        <f>F17+G17+O17+P17</f>
        <v>76282</v>
      </c>
      <c r="F17" s="276">
        <f>10737+25052</f>
        <v>35789</v>
      </c>
      <c r="G17" s="277"/>
      <c r="H17" s="526"/>
      <c r="I17" s="543"/>
      <c r="J17" s="537"/>
      <c r="K17" s="514"/>
      <c r="L17" s="514"/>
      <c r="M17" s="514"/>
      <c r="N17" s="514">
        <v>40493</v>
      </c>
      <c r="O17" s="510">
        <f>SUM(I17:N17)</f>
        <v>40493</v>
      </c>
      <c r="P17" s="438"/>
    </row>
    <row r="18" spans="1:16" ht="22.5" customHeight="1">
      <c r="A18" s="447">
        <v>10</v>
      </c>
      <c r="B18" s="371"/>
      <c r="C18" s="285">
        <v>5</v>
      </c>
      <c r="D18" s="445" t="s">
        <v>440</v>
      </c>
      <c r="E18" s="276"/>
      <c r="F18" s="437"/>
      <c r="G18" s="277"/>
      <c r="H18" s="526" t="s">
        <v>24</v>
      </c>
      <c r="I18" s="542"/>
      <c r="J18" s="538"/>
      <c r="K18" s="517"/>
      <c r="L18" s="517"/>
      <c r="M18" s="517"/>
      <c r="N18" s="517"/>
      <c r="O18" s="442"/>
      <c r="P18" s="438"/>
    </row>
    <row r="19" spans="1:256" s="433" customFormat="1" ht="18" customHeight="1">
      <c r="A19" s="447">
        <v>11</v>
      </c>
      <c r="B19" s="441"/>
      <c r="C19" s="268"/>
      <c r="D19" s="520" t="s">
        <v>283</v>
      </c>
      <c r="E19" s="276">
        <f>F19+G19+O19+P19</f>
        <v>957396</v>
      </c>
      <c r="F19" s="437">
        <f>820+202384</f>
        <v>203204</v>
      </c>
      <c r="G19" s="277">
        <v>753843</v>
      </c>
      <c r="H19" s="526"/>
      <c r="I19" s="542"/>
      <c r="J19" s="538"/>
      <c r="K19" s="517"/>
      <c r="L19" s="517">
        <v>349</v>
      </c>
      <c r="M19" s="517"/>
      <c r="N19" s="517"/>
      <c r="O19" s="510">
        <f>SUM(I19:N19)</f>
        <v>349</v>
      </c>
      <c r="P19" s="438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  <c r="BL19" s="267"/>
      <c r="BM19" s="267"/>
      <c r="BN19" s="267"/>
      <c r="BO19" s="267"/>
      <c r="BP19" s="267"/>
      <c r="BQ19" s="267"/>
      <c r="BR19" s="267"/>
      <c r="BS19" s="267"/>
      <c r="BT19" s="267"/>
      <c r="BU19" s="267"/>
      <c r="BV19" s="267"/>
      <c r="BW19" s="267"/>
      <c r="BX19" s="267"/>
      <c r="BY19" s="267"/>
      <c r="BZ19" s="267"/>
      <c r="CA19" s="267"/>
      <c r="CB19" s="267"/>
      <c r="CC19" s="267"/>
      <c r="CD19" s="267"/>
      <c r="CE19" s="267"/>
      <c r="CF19" s="267"/>
      <c r="CG19" s="267"/>
      <c r="CH19" s="267"/>
      <c r="CI19" s="267"/>
      <c r="CJ19" s="267"/>
      <c r="CK19" s="267"/>
      <c r="CL19" s="267"/>
      <c r="CM19" s="267"/>
      <c r="CN19" s="267"/>
      <c r="CO19" s="267"/>
      <c r="CP19" s="267"/>
      <c r="CQ19" s="267"/>
      <c r="CR19" s="267"/>
      <c r="CS19" s="267"/>
      <c r="CT19" s="267"/>
      <c r="CU19" s="267"/>
      <c r="CV19" s="267"/>
      <c r="CW19" s="267"/>
      <c r="CX19" s="267"/>
      <c r="CY19" s="267"/>
      <c r="CZ19" s="267"/>
      <c r="DA19" s="267"/>
      <c r="DB19" s="267"/>
      <c r="DC19" s="267"/>
      <c r="DD19" s="267"/>
      <c r="DE19" s="267"/>
      <c r="DF19" s="267"/>
      <c r="DG19" s="267"/>
      <c r="DH19" s="267"/>
      <c r="DI19" s="267"/>
      <c r="DJ19" s="267"/>
      <c r="DK19" s="267"/>
      <c r="DL19" s="267"/>
      <c r="DM19" s="267"/>
      <c r="DN19" s="267"/>
      <c r="DO19" s="267"/>
      <c r="DP19" s="267"/>
      <c r="DQ19" s="267"/>
      <c r="DR19" s="267"/>
      <c r="DS19" s="267"/>
      <c r="DT19" s="267"/>
      <c r="DU19" s="267"/>
      <c r="DV19" s="267"/>
      <c r="DW19" s="267"/>
      <c r="DX19" s="267"/>
      <c r="DY19" s="267"/>
      <c r="DZ19" s="267"/>
      <c r="EA19" s="267"/>
      <c r="EB19" s="267"/>
      <c r="EC19" s="267"/>
      <c r="ED19" s="267"/>
      <c r="EE19" s="267"/>
      <c r="EF19" s="267"/>
      <c r="EG19" s="267"/>
      <c r="EH19" s="267"/>
      <c r="EI19" s="267"/>
      <c r="EJ19" s="267"/>
      <c r="EK19" s="267"/>
      <c r="EL19" s="267"/>
      <c r="EM19" s="267"/>
      <c r="EN19" s="267"/>
      <c r="EO19" s="267"/>
      <c r="EP19" s="267"/>
      <c r="EQ19" s="267"/>
      <c r="ER19" s="267"/>
      <c r="ES19" s="267"/>
      <c r="ET19" s="267"/>
      <c r="EU19" s="267"/>
      <c r="EV19" s="267"/>
      <c r="EW19" s="267"/>
      <c r="EX19" s="267"/>
      <c r="EY19" s="267"/>
      <c r="EZ19" s="267"/>
      <c r="FA19" s="267"/>
      <c r="FB19" s="267"/>
      <c r="FC19" s="267"/>
      <c r="FD19" s="267"/>
      <c r="FE19" s="267"/>
      <c r="FF19" s="267"/>
      <c r="FG19" s="267"/>
      <c r="FH19" s="267"/>
      <c r="FI19" s="267"/>
      <c r="FJ19" s="267"/>
      <c r="FK19" s="267"/>
      <c r="FL19" s="267"/>
      <c r="FM19" s="267"/>
      <c r="FN19" s="267"/>
      <c r="FO19" s="267"/>
      <c r="FP19" s="267"/>
      <c r="FQ19" s="267"/>
      <c r="FR19" s="267"/>
      <c r="FS19" s="267"/>
      <c r="FT19" s="267"/>
      <c r="FU19" s="267"/>
      <c r="FV19" s="267"/>
      <c r="FW19" s="267"/>
      <c r="FX19" s="267"/>
      <c r="FY19" s="267"/>
      <c r="FZ19" s="267"/>
      <c r="GA19" s="267"/>
      <c r="GB19" s="267"/>
      <c r="GC19" s="267"/>
      <c r="GD19" s="267"/>
      <c r="GE19" s="267"/>
      <c r="GF19" s="267"/>
      <c r="GG19" s="267"/>
      <c r="GH19" s="267"/>
      <c r="GI19" s="267"/>
      <c r="GJ19" s="267"/>
      <c r="GK19" s="267"/>
      <c r="GL19" s="267"/>
      <c r="GM19" s="267"/>
      <c r="GN19" s="267"/>
      <c r="GO19" s="267"/>
      <c r="GP19" s="267"/>
      <c r="GQ19" s="267"/>
      <c r="GR19" s="267"/>
      <c r="GS19" s="267"/>
      <c r="GT19" s="267"/>
      <c r="GU19" s="267"/>
      <c r="GV19" s="267"/>
      <c r="GW19" s="267"/>
      <c r="GX19" s="267"/>
      <c r="GY19" s="267"/>
      <c r="GZ19" s="267"/>
      <c r="HA19" s="267"/>
      <c r="HB19" s="267"/>
      <c r="HC19" s="267"/>
      <c r="HD19" s="267"/>
      <c r="HE19" s="267"/>
      <c r="HF19" s="267"/>
      <c r="HG19" s="267"/>
      <c r="HH19" s="267"/>
      <c r="HI19" s="267"/>
      <c r="HJ19" s="267"/>
      <c r="HK19" s="267"/>
      <c r="HL19" s="267"/>
      <c r="HM19" s="267"/>
      <c r="HN19" s="267"/>
      <c r="HO19" s="267"/>
      <c r="HP19" s="267"/>
      <c r="HQ19" s="267"/>
      <c r="HR19" s="267"/>
      <c r="HS19" s="267"/>
      <c r="HT19" s="267"/>
      <c r="HU19" s="267"/>
      <c r="HV19" s="267"/>
      <c r="HW19" s="267"/>
      <c r="HX19" s="267"/>
      <c r="HY19" s="267"/>
      <c r="HZ19" s="267"/>
      <c r="IA19" s="267"/>
      <c r="IB19" s="267"/>
      <c r="IC19" s="267"/>
      <c r="ID19" s="267"/>
      <c r="IE19" s="267"/>
      <c r="IF19" s="267"/>
      <c r="IG19" s="267"/>
      <c r="IH19" s="267"/>
      <c r="II19" s="267"/>
      <c r="IJ19" s="267"/>
      <c r="IK19" s="267"/>
      <c r="IL19" s="267"/>
      <c r="IM19" s="267"/>
      <c r="IN19" s="267"/>
      <c r="IO19" s="267"/>
      <c r="IP19" s="267"/>
      <c r="IQ19" s="267"/>
      <c r="IR19" s="267"/>
      <c r="IS19" s="267"/>
      <c r="IT19" s="267"/>
      <c r="IU19" s="267"/>
      <c r="IV19" s="267"/>
    </row>
    <row r="20" spans="1:16" ht="22.5" customHeight="1">
      <c r="A20" s="447">
        <v>12</v>
      </c>
      <c r="B20" s="371"/>
      <c r="C20" s="285">
        <v>6</v>
      </c>
      <c r="D20" s="445" t="s">
        <v>441</v>
      </c>
      <c r="E20" s="276"/>
      <c r="F20" s="437"/>
      <c r="G20" s="277"/>
      <c r="H20" s="526" t="s">
        <v>24</v>
      </c>
      <c r="I20" s="542"/>
      <c r="J20" s="538"/>
      <c r="K20" s="517"/>
      <c r="L20" s="517"/>
      <c r="M20" s="517"/>
      <c r="N20" s="517"/>
      <c r="O20" s="442"/>
      <c r="P20" s="438"/>
    </row>
    <row r="21" spans="1:256" s="433" customFormat="1" ht="18" customHeight="1">
      <c r="A21" s="447">
        <v>13</v>
      </c>
      <c r="B21" s="441"/>
      <c r="C21" s="268"/>
      <c r="D21" s="520" t="s">
        <v>283</v>
      </c>
      <c r="E21" s="276">
        <f>F21+G21+O21+P21</f>
        <v>3095</v>
      </c>
      <c r="F21" s="437"/>
      <c r="G21" s="277"/>
      <c r="H21" s="526"/>
      <c r="I21" s="542"/>
      <c r="J21" s="538"/>
      <c r="K21" s="517">
        <f>5000-1905</f>
        <v>3095</v>
      </c>
      <c r="L21" s="517"/>
      <c r="M21" s="517"/>
      <c r="N21" s="517"/>
      <c r="O21" s="510">
        <f>SUM(I21:N21)</f>
        <v>3095</v>
      </c>
      <c r="P21" s="438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7"/>
      <c r="CA21" s="267"/>
      <c r="CB21" s="267"/>
      <c r="CC21" s="267"/>
      <c r="CD21" s="267"/>
      <c r="CE21" s="267"/>
      <c r="CF21" s="267"/>
      <c r="CG21" s="267"/>
      <c r="CH21" s="267"/>
      <c r="CI21" s="267"/>
      <c r="CJ21" s="267"/>
      <c r="CK21" s="267"/>
      <c r="CL21" s="267"/>
      <c r="CM21" s="267"/>
      <c r="CN21" s="267"/>
      <c r="CO21" s="267"/>
      <c r="CP21" s="267"/>
      <c r="CQ21" s="267"/>
      <c r="CR21" s="267"/>
      <c r="CS21" s="267"/>
      <c r="CT21" s="267"/>
      <c r="CU21" s="267"/>
      <c r="CV21" s="267"/>
      <c r="CW21" s="267"/>
      <c r="CX21" s="267"/>
      <c r="CY21" s="267"/>
      <c r="CZ21" s="267"/>
      <c r="DA21" s="267"/>
      <c r="DB21" s="267"/>
      <c r="DC21" s="267"/>
      <c r="DD21" s="267"/>
      <c r="DE21" s="267"/>
      <c r="DF21" s="267"/>
      <c r="DG21" s="267"/>
      <c r="DH21" s="267"/>
      <c r="DI21" s="267"/>
      <c r="DJ21" s="267"/>
      <c r="DK21" s="267"/>
      <c r="DL21" s="267"/>
      <c r="DM21" s="267"/>
      <c r="DN21" s="267"/>
      <c r="DO21" s="267"/>
      <c r="DP21" s="267"/>
      <c r="DQ21" s="267"/>
      <c r="DR21" s="267"/>
      <c r="DS21" s="267"/>
      <c r="DT21" s="267"/>
      <c r="DU21" s="267"/>
      <c r="DV21" s="267"/>
      <c r="DW21" s="267"/>
      <c r="DX21" s="267"/>
      <c r="DY21" s="267"/>
      <c r="DZ21" s="267"/>
      <c r="EA21" s="267"/>
      <c r="EB21" s="267"/>
      <c r="EC21" s="267"/>
      <c r="ED21" s="267"/>
      <c r="EE21" s="267"/>
      <c r="EF21" s="267"/>
      <c r="EG21" s="267"/>
      <c r="EH21" s="267"/>
      <c r="EI21" s="267"/>
      <c r="EJ21" s="267"/>
      <c r="EK21" s="267"/>
      <c r="EL21" s="267"/>
      <c r="EM21" s="267"/>
      <c r="EN21" s="267"/>
      <c r="EO21" s="267"/>
      <c r="EP21" s="267"/>
      <c r="EQ21" s="267"/>
      <c r="ER21" s="267"/>
      <c r="ES21" s="267"/>
      <c r="ET21" s="267"/>
      <c r="EU21" s="267"/>
      <c r="EV21" s="267"/>
      <c r="EW21" s="267"/>
      <c r="EX21" s="267"/>
      <c r="EY21" s="267"/>
      <c r="EZ21" s="267"/>
      <c r="FA21" s="267"/>
      <c r="FB21" s="267"/>
      <c r="FC21" s="267"/>
      <c r="FD21" s="267"/>
      <c r="FE21" s="267"/>
      <c r="FF21" s="267"/>
      <c r="FG21" s="267"/>
      <c r="FH21" s="267"/>
      <c r="FI21" s="267"/>
      <c r="FJ21" s="267"/>
      <c r="FK21" s="267"/>
      <c r="FL21" s="267"/>
      <c r="FM21" s="267"/>
      <c r="FN21" s="267"/>
      <c r="FO21" s="267"/>
      <c r="FP21" s="267"/>
      <c r="FQ21" s="267"/>
      <c r="FR21" s="267"/>
      <c r="FS21" s="267"/>
      <c r="FT21" s="267"/>
      <c r="FU21" s="267"/>
      <c r="FV21" s="267"/>
      <c r="FW21" s="267"/>
      <c r="FX21" s="267"/>
      <c r="FY21" s="267"/>
      <c r="FZ21" s="267"/>
      <c r="GA21" s="267"/>
      <c r="GB21" s="267"/>
      <c r="GC21" s="267"/>
      <c r="GD21" s="267"/>
      <c r="GE21" s="267"/>
      <c r="GF21" s="267"/>
      <c r="GG21" s="267"/>
      <c r="GH21" s="267"/>
      <c r="GI21" s="267"/>
      <c r="GJ21" s="267"/>
      <c r="GK21" s="267"/>
      <c r="GL21" s="267"/>
      <c r="GM21" s="267"/>
      <c r="GN21" s="267"/>
      <c r="GO21" s="267"/>
      <c r="GP21" s="267"/>
      <c r="GQ21" s="267"/>
      <c r="GR21" s="267"/>
      <c r="GS21" s="267"/>
      <c r="GT21" s="267"/>
      <c r="GU21" s="267"/>
      <c r="GV21" s="267"/>
      <c r="GW21" s="267"/>
      <c r="GX21" s="267"/>
      <c r="GY21" s="267"/>
      <c r="GZ21" s="267"/>
      <c r="HA21" s="267"/>
      <c r="HB21" s="267"/>
      <c r="HC21" s="267"/>
      <c r="HD21" s="267"/>
      <c r="HE21" s="267"/>
      <c r="HF21" s="267"/>
      <c r="HG21" s="267"/>
      <c r="HH21" s="267"/>
      <c r="HI21" s="267"/>
      <c r="HJ21" s="267"/>
      <c r="HK21" s="267"/>
      <c r="HL21" s="267"/>
      <c r="HM21" s="267"/>
      <c r="HN21" s="267"/>
      <c r="HO21" s="267"/>
      <c r="HP21" s="267"/>
      <c r="HQ21" s="267"/>
      <c r="HR21" s="267"/>
      <c r="HS21" s="267"/>
      <c r="HT21" s="267"/>
      <c r="HU21" s="267"/>
      <c r="HV21" s="267"/>
      <c r="HW21" s="267"/>
      <c r="HX21" s="267"/>
      <c r="HY21" s="267"/>
      <c r="HZ21" s="267"/>
      <c r="IA21" s="267"/>
      <c r="IB21" s="267"/>
      <c r="IC21" s="267"/>
      <c r="ID21" s="267"/>
      <c r="IE21" s="267"/>
      <c r="IF21" s="267"/>
      <c r="IG21" s="267"/>
      <c r="IH21" s="267"/>
      <c r="II21" s="267"/>
      <c r="IJ21" s="267"/>
      <c r="IK21" s="267"/>
      <c r="IL21" s="267"/>
      <c r="IM21" s="267"/>
      <c r="IN21" s="267"/>
      <c r="IO21" s="267"/>
      <c r="IP21" s="267"/>
      <c r="IQ21" s="267"/>
      <c r="IR21" s="267"/>
      <c r="IS21" s="267"/>
      <c r="IT21" s="267"/>
      <c r="IU21" s="267"/>
      <c r="IV21" s="267"/>
    </row>
    <row r="22" spans="1:256" s="433" customFormat="1" ht="22.5" customHeight="1">
      <c r="A22" s="447">
        <v>14</v>
      </c>
      <c r="B22" s="441"/>
      <c r="C22" s="285">
        <v>7</v>
      </c>
      <c r="D22" s="445" t="s">
        <v>479</v>
      </c>
      <c r="E22" s="276"/>
      <c r="F22" s="437"/>
      <c r="G22" s="277"/>
      <c r="H22" s="526" t="s">
        <v>24</v>
      </c>
      <c r="I22" s="542"/>
      <c r="J22" s="538"/>
      <c r="K22" s="517"/>
      <c r="L22" s="517"/>
      <c r="M22" s="517"/>
      <c r="N22" s="517"/>
      <c r="O22" s="510"/>
      <c r="P22" s="438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267"/>
      <c r="BS22" s="267"/>
      <c r="BT22" s="267"/>
      <c r="BU22" s="267"/>
      <c r="BV22" s="267"/>
      <c r="BW22" s="267"/>
      <c r="BX22" s="267"/>
      <c r="BY22" s="267"/>
      <c r="BZ22" s="267"/>
      <c r="CA22" s="267"/>
      <c r="CB22" s="267"/>
      <c r="CC22" s="267"/>
      <c r="CD22" s="267"/>
      <c r="CE22" s="267"/>
      <c r="CF22" s="267"/>
      <c r="CG22" s="267"/>
      <c r="CH22" s="267"/>
      <c r="CI22" s="267"/>
      <c r="CJ22" s="267"/>
      <c r="CK22" s="267"/>
      <c r="CL22" s="267"/>
      <c r="CM22" s="267"/>
      <c r="CN22" s="267"/>
      <c r="CO22" s="267"/>
      <c r="CP22" s="267"/>
      <c r="CQ22" s="267"/>
      <c r="CR22" s="267"/>
      <c r="CS22" s="267"/>
      <c r="CT22" s="267"/>
      <c r="CU22" s="267"/>
      <c r="CV22" s="267"/>
      <c r="CW22" s="267"/>
      <c r="CX22" s="267"/>
      <c r="CY22" s="267"/>
      <c r="CZ22" s="267"/>
      <c r="DA22" s="267"/>
      <c r="DB22" s="267"/>
      <c r="DC22" s="267"/>
      <c r="DD22" s="267"/>
      <c r="DE22" s="267"/>
      <c r="DF22" s="267"/>
      <c r="DG22" s="267"/>
      <c r="DH22" s="267"/>
      <c r="DI22" s="267"/>
      <c r="DJ22" s="267"/>
      <c r="DK22" s="267"/>
      <c r="DL22" s="267"/>
      <c r="DM22" s="267"/>
      <c r="DN22" s="267"/>
      <c r="DO22" s="267"/>
      <c r="DP22" s="267"/>
      <c r="DQ22" s="267"/>
      <c r="DR22" s="267"/>
      <c r="DS22" s="267"/>
      <c r="DT22" s="267"/>
      <c r="DU22" s="267"/>
      <c r="DV22" s="267"/>
      <c r="DW22" s="267"/>
      <c r="DX22" s="267"/>
      <c r="DY22" s="267"/>
      <c r="DZ22" s="267"/>
      <c r="EA22" s="267"/>
      <c r="EB22" s="267"/>
      <c r="EC22" s="267"/>
      <c r="ED22" s="267"/>
      <c r="EE22" s="267"/>
      <c r="EF22" s="267"/>
      <c r="EG22" s="267"/>
      <c r="EH22" s="267"/>
      <c r="EI22" s="267"/>
      <c r="EJ22" s="267"/>
      <c r="EK22" s="267"/>
      <c r="EL22" s="267"/>
      <c r="EM22" s="267"/>
      <c r="EN22" s="267"/>
      <c r="EO22" s="267"/>
      <c r="EP22" s="267"/>
      <c r="EQ22" s="267"/>
      <c r="ER22" s="267"/>
      <c r="ES22" s="267"/>
      <c r="ET22" s="267"/>
      <c r="EU22" s="267"/>
      <c r="EV22" s="267"/>
      <c r="EW22" s="267"/>
      <c r="EX22" s="267"/>
      <c r="EY22" s="267"/>
      <c r="EZ22" s="267"/>
      <c r="FA22" s="267"/>
      <c r="FB22" s="267"/>
      <c r="FC22" s="267"/>
      <c r="FD22" s="267"/>
      <c r="FE22" s="267"/>
      <c r="FF22" s="267"/>
      <c r="FG22" s="267"/>
      <c r="FH22" s="267"/>
      <c r="FI22" s="267"/>
      <c r="FJ22" s="267"/>
      <c r="FK22" s="267"/>
      <c r="FL22" s="267"/>
      <c r="FM22" s="267"/>
      <c r="FN22" s="267"/>
      <c r="FO22" s="267"/>
      <c r="FP22" s="267"/>
      <c r="FQ22" s="267"/>
      <c r="FR22" s="267"/>
      <c r="FS22" s="267"/>
      <c r="FT22" s="267"/>
      <c r="FU22" s="267"/>
      <c r="FV22" s="267"/>
      <c r="FW22" s="267"/>
      <c r="FX22" s="267"/>
      <c r="FY22" s="267"/>
      <c r="FZ22" s="267"/>
      <c r="GA22" s="267"/>
      <c r="GB22" s="267"/>
      <c r="GC22" s="267"/>
      <c r="GD22" s="267"/>
      <c r="GE22" s="267"/>
      <c r="GF22" s="267"/>
      <c r="GG22" s="267"/>
      <c r="GH22" s="267"/>
      <c r="GI22" s="267"/>
      <c r="GJ22" s="267"/>
      <c r="GK22" s="267"/>
      <c r="GL22" s="267"/>
      <c r="GM22" s="267"/>
      <c r="GN22" s="267"/>
      <c r="GO22" s="267"/>
      <c r="GP22" s="267"/>
      <c r="GQ22" s="267"/>
      <c r="GR22" s="267"/>
      <c r="GS22" s="267"/>
      <c r="GT22" s="267"/>
      <c r="GU22" s="267"/>
      <c r="GV22" s="267"/>
      <c r="GW22" s="267"/>
      <c r="GX22" s="267"/>
      <c r="GY22" s="267"/>
      <c r="GZ22" s="267"/>
      <c r="HA22" s="267"/>
      <c r="HB22" s="267"/>
      <c r="HC22" s="267"/>
      <c r="HD22" s="267"/>
      <c r="HE22" s="267"/>
      <c r="HF22" s="267"/>
      <c r="HG22" s="267"/>
      <c r="HH22" s="267"/>
      <c r="HI22" s="267"/>
      <c r="HJ22" s="267"/>
      <c r="HK22" s="267"/>
      <c r="HL22" s="267"/>
      <c r="HM22" s="267"/>
      <c r="HN22" s="267"/>
      <c r="HO22" s="267"/>
      <c r="HP22" s="267"/>
      <c r="HQ22" s="267"/>
      <c r="HR22" s="267"/>
      <c r="HS22" s="267"/>
      <c r="HT22" s="267"/>
      <c r="HU22" s="267"/>
      <c r="HV22" s="267"/>
      <c r="HW22" s="267"/>
      <c r="HX22" s="267"/>
      <c r="HY22" s="267"/>
      <c r="HZ22" s="267"/>
      <c r="IA22" s="267"/>
      <c r="IB22" s="267"/>
      <c r="IC22" s="267"/>
      <c r="ID22" s="267"/>
      <c r="IE22" s="267"/>
      <c r="IF22" s="267"/>
      <c r="IG22" s="267"/>
      <c r="IH22" s="267"/>
      <c r="II22" s="267"/>
      <c r="IJ22" s="267"/>
      <c r="IK22" s="267"/>
      <c r="IL22" s="267"/>
      <c r="IM22" s="267"/>
      <c r="IN22" s="267"/>
      <c r="IO22" s="267"/>
      <c r="IP22" s="267"/>
      <c r="IQ22" s="267"/>
      <c r="IR22" s="267"/>
      <c r="IS22" s="267"/>
      <c r="IT22" s="267"/>
      <c r="IU22" s="267"/>
      <c r="IV22" s="267"/>
    </row>
    <row r="23" spans="1:256" s="433" customFormat="1" ht="18" customHeight="1">
      <c r="A23" s="447">
        <v>15</v>
      </c>
      <c r="B23" s="441"/>
      <c r="C23" s="268"/>
      <c r="D23" s="520" t="s">
        <v>283</v>
      </c>
      <c r="E23" s="276">
        <f>F23+G23+O23+P23</f>
        <v>1905</v>
      </c>
      <c r="F23" s="437"/>
      <c r="G23" s="277"/>
      <c r="H23" s="526"/>
      <c r="I23" s="542"/>
      <c r="J23" s="538"/>
      <c r="K23" s="517"/>
      <c r="L23" s="517"/>
      <c r="M23" s="517">
        <v>1905</v>
      </c>
      <c r="N23" s="517"/>
      <c r="O23" s="510">
        <f>SUM(I23:N23)</f>
        <v>1905</v>
      </c>
      <c r="P23" s="438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  <c r="BI23" s="267"/>
      <c r="BJ23" s="267"/>
      <c r="BK23" s="267"/>
      <c r="BL23" s="267"/>
      <c r="BM23" s="267"/>
      <c r="BN23" s="267"/>
      <c r="BO23" s="267"/>
      <c r="BP23" s="267"/>
      <c r="BQ23" s="267"/>
      <c r="BR23" s="267"/>
      <c r="BS23" s="267"/>
      <c r="BT23" s="267"/>
      <c r="BU23" s="267"/>
      <c r="BV23" s="267"/>
      <c r="BW23" s="267"/>
      <c r="BX23" s="267"/>
      <c r="BY23" s="267"/>
      <c r="BZ23" s="267"/>
      <c r="CA23" s="267"/>
      <c r="CB23" s="267"/>
      <c r="CC23" s="267"/>
      <c r="CD23" s="267"/>
      <c r="CE23" s="267"/>
      <c r="CF23" s="267"/>
      <c r="CG23" s="267"/>
      <c r="CH23" s="267"/>
      <c r="CI23" s="267"/>
      <c r="CJ23" s="267"/>
      <c r="CK23" s="267"/>
      <c r="CL23" s="267"/>
      <c r="CM23" s="267"/>
      <c r="CN23" s="267"/>
      <c r="CO23" s="267"/>
      <c r="CP23" s="267"/>
      <c r="CQ23" s="267"/>
      <c r="CR23" s="267"/>
      <c r="CS23" s="267"/>
      <c r="CT23" s="267"/>
      <c r="CU23" s="267"/>
      <c r="CV23" s="267"/>
      <c r="CW23" s="267"/>
      <c r="CX23" s="267"/>
      <c r="CY23" s="267"/>
      <c r="CZ23" s="267"/>
      <c r="DA23" s="267"/>
      <c r="DB23" s="267"/>
      <c r="DC23" s="267"/>
      <c r="DD23" s="267"/>
      <c r="DE23" s="267"/>
      <c r="DF23" s="267"/>
      <c r="DG23" s="267"/>
      <c r="DH23" s="267"/>
      <c r="DI23" s="267"/>
      <c r="DJ23" s="267"/>
      <c r="DK23" s="267"/>
      <c r="DL23" s="267"/>
      <c r="DM23" s="267"/>
      <c r="DN23" s="267"/>
      <c r="DO23" s="267"/>
      <c r="DP23" s="267"/>
      <c r="DQ23" s="267"/>
      <c r="DR23" s="267"/>
      <c r="DS23" s="267"/>
      <c r="DT23" s="267"/>
      <c r="DU23" s="267"/>
      <c r="DV23" s="267"/>
      <c r="DW23" s="267"/>
      <c r="DX23" s="267"/>
      <c r="DY23" s="267"/>
      <c r="DZ23" s="267"/>
      <c r="EA23" s="267"/>
      <c r="EB23" s="267"/>
      <c r="EC23" s="267"/>
      <c r="ED23" s="267"/>
      <c r="EE23" s="267"/>
      <c r="EF23" s="267"/>
      <c r="EG23" s="267"/>
      <c r="EH23" s="267"/>
      <c r="EI23" s="267"/>
      <c r="EJ23" s="267"/>
      <c r="EK23" s="267"/>
      <c r="EL23" s="267"/>
      <c r="EM23" s="267"/>
      <c r="EN23" s="267"/>
      <c r="EO23" s="267"/>
      <c r="EP23" s="267"/>
      <c r="EQ23" s="267"/>
      <c r="ER23" s="267"/>
      <c r="ES23" s="267"/>
      <c r="ET23" s="267"/>
      <c r="EU23" s="267"/>
      <c r="EV23" s="267"/>
      <c r="EW23" s="267"/>
      <c r="EX23" s="267"/>
      <c r="EY23" s="267"/>
      <c r="EZ23" s="267"/>
      <c r="FA23" s="267"/>
      <c r="FB23" s="267"/>
      <c r="FC23" s="267"/>
      <c r="FD23" s="267"/>
      <c r="FE23" s="267"/>
      <c r="FF23" s="267"/>
      <c r="FG23" s="267"/>
      <c r="FH23" s="267"/>
      <c r="FI23" s="267"/>
      <c r="FJ23" s="267"/>
      <c r="FK23" s="267"/>
      <c r="FL23" s="267"/>
      <c r="FM23" s="267"/>
      <c r="FN23" s="267"/>
      <c r="FO23" s="267"/>
      <c r="FP23" s="267"/>
      <c r="FQ23" s="267"/>
      <c r="FR23" s="267"/>
      <c r="FS23" s="267"/>
      <c r="FT23" s="267"/>
      <c r="FU23" s="267"/>
      <c r="FV23" s="267"/>
      <c r="FW23" s="267"/>
      <c r="FX23" s="267"/>
      <c r="FY23" s="267"/>
      <c r="FZ23" s="267"/>
      <c r="GA23" s="267"/>
      <c r="GB23" s="267"/>
      <c r="GC23" s="267"/>
      <c r="GD23" s="267"/>
      <c r="GE23" s="267"/>
      <c r="GF23" s="267"/>
      <c r="GG23" s="267"/>
      <c r="GH23" s="267"/>
      <c r="GI23" s="267"/>
      <c r="GJ23" s="267"/>
      <c r="GK23" s="267"/>
      <c r="GL23" s="267"/>
      <c r="GM23" s="267"/>
      <c r="GN23" s="267"/>
      <c r="GO23" s="267"/>
      <c r="GP23" s="267"/>
      <c r="GQ23" s="267"/>
      <c r="GR23" s="267"/>
      <c r="GS23" s="267"/>
      <c r="GT23" s="267"/>
      <c r="GU23" s="267"/>
      <c r="GV23" s="267"/>
      <c r="GW23" s="267"/>
      <c r="GX23" s="267"/>
      <c r="GY23" s="267"/>
      <c r="GZ23" s="267"/>
      <c r="HA23" s="267"/>
      <c r="HB23" s="267"/>
      <c r="HC23" s="267"/>
      <c r="HD23" s="267"/>
      <c r="HE23" s="267"/>
      <c r="HF23" s="267"/>
      <c r="HG23" s="267"/>
      <c r="HH23" s="267"/>
      <c r="HI23" s="267"/>
      <c r="HJ23" s="267"/>
      <c r="HK23" s="267"/>
      <c r="HL23" s="267"/>
      <c r="HM23" s="267"/>
      <c r="HN23" s="267"/>
      <c r="HO23" s="267"/>
      <c r="HP23" s="267"/>
      <c r="HQ23" s="267"/>
      <c r="HR23" s="267"/>
      <c r="HS23" s="267"/>
      <c r="HT23" s="267"/>
      <c r="HU23" s="267"/>
      <c r="HV23" s="267"/>
      <c r="HW23" s="267"/>
      <c r="HX23" s="267"/>
      <c r="HY23" s="267"/>
      <c r="HZ23" s="267"/>
      <c r="IA23" s="267"/>
      <c r="IB23" s="267"/>
      <c r="IC23" s="267"/>
      <c r="ID23" s="267"/>
      <c r="IE23" s="267"/>
      <c r="IF23" s="267"/>
      <c r="IG23" s="267"/>
      <c r="IH23" s="267"/>
      <c r="II23" s="267"/>
      <c r="IJ23" s="267"/>
      <c r="IK23" s="267"/>
      <c r="IL23" s="267"/>
      <c r="IM23" s="267"/>
      <c r="IN23" s="267"/>
      <c r="IO23" s="267"/>
      <c r="IP23" s="267"/>
      <c r="IQ23" s="267"/>
      <c r="IR23" s="267"/>
      <c r="IS23" s="267"/>
      <c r="IT23" s="267"/>
      <c r="IU23" s="267"/>
      <c r="IV23" s="267"/>
    </row>
    <row r="24" spans="1:256" s="433" customFormat="1" ht="37.5" customHeight="1">
      <c r="A24" s="447">
        <v>16</v>
      </c>
      <c r="B24" s="441"/>
      <c r="C24" s="676">
        <v>8</v>
      </c>
      <c r="D24" s="830" t="s">
        <v>622</v>
      </c>
      <c r="E24" s="276"/>
      <c r="F24" s="437"/>
      <c r="G24" s="277"/>
      <c r="H24" s="526" t="s">
        <v>24</v>
      </c>
      <c r="I24" s="542"/>
      <c r="J24" s="538"/>
      <c r="K24" s="517"/>
      <c r="L24" s="517"/>
      <c r="M24" s="517"/>
      <c r="N24" s="517"/>
      <c r="O24" s="510"/>
      <c r="P24" s="438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/>
      <c r="AZ24" s="267"/>
      <c r="BA24" s="267"/>
      <c r="BB24" s="267"/>
      <c r="BC24" s="267"/>
      <c r="BD24" s="267"/>
      <c r="BE24" s="267"/>
      <c r="BF24" s="267"/>
      <c r="BG24" s="267"/>
      <c r="BH24" s="267"/>
      <c r="BI24" s="267"/>
      <c r="BJ24" s="267"/>
      <c r="BK24" s="267"/>
      <c r="BL24" s="267"/>
      <c r="BM24" s="267"/>
      <c r="BN24" s="267"/>
      <c r="BO24" s="267"/>
      <c r="BP24" s="267"/>
      <c r="BQ24" s="267"/>
      <c r="BR24" s="267"/>
      <c r="BS24" s="267"/>
      <c r="BT24" s="267"/>
      <c r="BU24" s="267"/>
      <c r="BV24" s="267"/>
      <c r="BW24" s="267"/>
      <c r="BX24" s="267"/>
      <c r="BY24" s="267"/>
      <c r="BZ24" s="267"/>
      <c r="CA24" s="267"/>
      <c r="CB24" s="267"/>
      <c r="CC24" s="267"/>
      <c r="CD24" s="267"/>
      <c r="CE24" s="267"/>
      <c r="CF24" s="267"/>
      <c r="CG24" s="267"/>
      <c r="CH24" s="267"/>
      <c r="CI24" s="267"/>
      <c r="CJ24" s="267"/>
      <c r="CK24" s="267"/>
      <c r="CL24" s="267"/>
      <c r="CM24" s="267"/>
      <c r="CN24" s="267"/>
      <c r="CO24" s="267"/>
      <c r="CP24" s="267"/>
      <c r="CQ24" s="267"/>
      <c r="CR24" s="267"/>
      <c r="CS24" s="267"/>
      <c r="CT24" s="267"/>
      <c r="CU24" s="267"/>
      <c r="CV24" s="267"/>
      <c r="CW24" s="267"/>
      <c r="CX24" s="267"/>
      <c r="CY24" s="267"/>
      <c r="CZ24" s="267"/>
      <c r="DA24" s="267"/>
      <c r="DB24" s="267"/>
      <c r="DC24" s="267"/>
      <c r="DD24" s="267"/>
      <c r="DE24" s="267"/>
      <c r="DF24" s="267"/>
      <c r="DG24" s="267"/>
      <c r="DH24" s="267"/>
      <c r="DI24" s="267"/>
      <c r="DJ24" s="267"/>
      <c r="DK24" s="267"/>
      <c r="DL24" s="267"/>
      <c r="DM24" s="267"/>
      <c r="DN24" s="267"/>
      <c r="DO24" s="267"/>
      <c r="DP24" s="267"/>
      <c r="DQ24" s="267"/>
      <c r="DR24" s="267"/>
      <c r="DS24" s="267"/>
      <c r="DT24" s="267"/>
      <c r="DU24" s="267"/>
      <c r="DV24" s="267"/>
      <c r="DW24" s="267"/>
      <c r="DX24" s="267"/>
      <c r="DY24" s="267"/>
      <c r="DZ24" s="267"/>
      <c r="EA24" s="267"/>
      <c r="EB24" s="267"/>
      <c r="EC24" s="267"/>
      <c r="ED24" s="267"/>
      <c r="EE24" s="267"/>
      <c r="EF24" s="267"/>
      <c r="EG24" s="267"/>
      <c r="EH24" s="267"/>
      <c r="EI24" s="267"/>
      <c r="EJ24" s="267"/>
      <c r="EK24" s="267"/>
      <c r="EL24" s="267"/>
      <c r="EM24" s="267"/>
      <c r="EN24" s="267"/>
      <c r="EO24" s="267"/>
      <c r="EP24" s="267"/>
      <c r="EQ24" s="267"/>
      <c r="ER24" s="267"/>
      <c r="ES24" s="267"/>
      <c r="ET24" s="267"/>
      <c r="EU24" s="267"/>
      <c r="EV24" s="267"/>
      <c r="EW24" s="267"/>
      <c r="EX24" s="267"/>
      <c r="EY24" s="267"/>
      <c r="EZ24" s="267"/>
      <c r="FA24" s="267"/>
      <c r="FB24" s="267"/>
      <c r="FC24" s="267"/>
      <c r="FD24" s="267"/>
      <c r="FE24" s="267"/>
      <c r="FF24" s="267"/>
      <c r="FG24" s="267"/>
      <c r="FH24" s="267"/>
      <c r="FI24" s="267"/>
      <c r="FJ24" s="267"/>
      <c r="FK24" s="267"/>
      <c r="FL24" s="267"/>
      <c r="FM24" s="267"/>
      <c r="FN24" s="267"/>
      <c r="FO24" s="267"/>
      <c r="FP24" s="267"/>
      <c r="FQ24" s="267"/>
      <c r="FR24" s="267"/>
      <c r="FS24" s="267"/>
      <c r="FT24" s="267"/>
      <c r="FU24" s="267"/>
      <c r="FV24" s="267"/>
      <c r="FW24" s="267"/>
      <c r="FX24" s="267"/>
      <c r="FY24" s="267"/>
      <c r="FZ24" s="267"/>
      <c r="GA24" s="267"/>
      <c r="GB24" s="267"/>
      <c r="GC24" s="267"/>
      <c r="GD24" s="267"/>
      <c r="GE24" s="267"/>
      <c r="GF24" s="267"/>
      <c r="GG24" s="267"/>
      <c r="GH24" s="267"/>
      <c r="GI24" s="267"/>
      <c r="GJ24" s="267"/>
      <c r="GK24" s="267"/>
      <c r="GL24" s="267"/>
      <c r="GM24" s="267"/>
      <c r="GN24" s="267"/>
      <c r="GO24" s="267"/>
      <c r="GP24" s="267"/>
      <c r="GQ24" s="267"/>
      <c r="GR24" s="267"/>
      <c r="GS24" s="267"/>
      <c r="GT24" s="267"/>
      <c r="GU24" s="267"/>
      <c r="GV24" s="267"/>
      <c r="GW24" s="267"/>
      <c r="GX24" s="267"/>
      <c r="GY24" s="267"/>
      <c r="GZ24" s="267"/>
      <c r="HA24" s="267"/>
      <c r="HB24" s="267"/>
      <c r="HC24" s="267"/>
      <c r="HD24" s="267"/>
      <c r="HE24" s="267"/>
      <c r="HF24" s="267"/>
      <c r="HG24" s="267"/>
      <c r="HH24" s="267"/>
      <c r="HI24" s="267"/>
      <c r="HJ24" s="267"/>
      <c r="HK24" s="267"/>
      <c r="HL24" s="267"/>
      <c r="HM24" s="267"/>
      <c r="HN24" s="267"/>
      <c r="HO24" s="267"/>
      <c r="HP24" s="267"/>
      <c r="HQ24" s="267"/>
      <c r="HR24" s="267"/>
      <c r="HS24" s="267"/>
      <c r="HT24" s="267"/>
      <c r="HU24" s="267"/>
      <c r="HV24" s="267"/>
      <c r="HW24" s="267"/>
      <c r="HX24" s="267"/>
      <c r="HY24" s="267"/>
      <c r="HZ24" s="267"/>
      <c r="IA24" s="267"/>
      <c r="IB24" s="267"/>
      <c r="IC24" s="267"/>
      <c r="ID24" s="267"/>
      <c r="IE24" s="267"/>
      <c r="IF24" s="267"/>
      <c r="IG24" s="267"/>
      <c r="IH24" s="267"/>
      <c r="II24" s="267"/>
      <c r="IJ24" s="267"/>
      <c r="IK24" s="267"/>
      <c r="IL24" s="267"/>
      <c r="IM24" s="267"/>
      <c r="IN24" s="267"/>
      <c r="IO24" s="267"/>
      <c r="IP24" s="267"/>
      <c r="IQ24" s="267"/>
      <c r="IR24" s="267"/>
      <c r="IS24" s="267"/>
      <c r="IT24" s="267"/>
      <c r="IU24" s="267"/>
      <c r="IV24" s="267"/>
    </row>
    <row r="25" spans="1:256" s="433" customFormat="1" ht="18" customHeight="1">
      <c r="A25" s="447">
        <v>17</v>
      </c>
      <c r="B25" s="441"/>
      <c r="C25" s="268"/>
      <c r="D25" s="520" t="s">
        <v>283</v>
      </c>
      <c r="E25" s="276">
        <f>F25+G25+O25+P25</f>
        <v>5000000</v>
      </c>
      <c r="F25" s="437"/>
      <c r="G25" s="277">
        <v>22482</v>
      </c>
      <c r="H25" s="526"/>
      <c r="I25" s="542"/>
      <c r="J25" s="538"/>
      <c r="K25" s="517">
        <v>40317</v>
      </c>
      <c r="L25" s="517"/>
      <c r="M25" s="517">
        <v>4597280</v>
      </c>
      <c r="N25" s="517"/>
      <c r="O25" s="510">
        <f>SUM(I25:N25)</f>
        <v>4637597</v>
      </c>
      <c r="P25" s="438">
        <v>339921</v>
      </c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A25" s="267"/>
      <c r="BB25" s="267"/>
      <c r="BC25" s="267"/>
      <c r="BD25" s="267"/>
      <c r="BE25" s="267"/>
      <c r="BF25" s="267"/>
      <c r="BG25" s="267"/>
      <c r="BH25" s="267"/>
      <c r="BI25" s="267"/>
      <c r="BJ25" s="267"/>
      <c r="BK25" s="267"/>
      <c r="BL25" s="267"/>
      <c r="BM25" s="267"/>
      <c r="BN25" s="267"/>
      <c r="BO25" s="267"/>
      <c r="BP25" s="267"/>
      <c r="BQ25" s="267"/>
      <c r="BR25" s="267"/>
      <c r="BS25" s="267"/>
      <c r="BT25" s="267"/>
      <c r="BU25" s="267"/>
      <c r="BV25" s="267"/>
      <c r="BW25" s="267"/>
      <c r="BX25" s="267"/>
      <c r="BY25" s="267"/>
      <c r="BZ25" s="267"/>
      <c r="CA25" s="267"/>
      <c r="CB25" s="267"/>
      <c r="CC25" s="267"/>
      <c r="CD25" s="267"/>
      <c r="CE25" s="267"/>
      <c r="CF25" s="267"/>
      <c r="CG25" s="267"/>
      <c r="CH25" s="267"/>
      <c r="CI25" s="267"/>
      <c r="CJ25" s="267"/>
      <c r="CK25" s="267"/>
      <c r="CL25" s="267"/>
      <c r="CM25" s="267"/>
      <c r="CN25" s="267"/>
      <c r="CO25" s="267"/>
      <c r="CP25" s="267"/>
      <c r="CQ25" s="267"/>
      <c r="CR25" s="267"/>
      <c r="CS25" s="267"/>
      <c r="CT25" s="267"/>
      <c r="CU25" s="267"/>
      <c r="CV25" s="267"/>
      <c r="CW25" s="267"/>
      <c r="CX25" s="267"/>
      <c r="CY25" s="267"/>
      <c r="CZ25" s="267"/>
      <c r="DA25" s="267"/>
      <c r="DB25" s="267"/>
      <c r="DC25" s="267"/>
      <c r="DD25" s="267"/>
      <c r="DE25" s="267"/>
      <c r="DF25" s="267"/>
      <c r="DG25" s="267"/>
      <c r="DH25" s="267"/>
      <c r="DI25" s="267"/>
      <c r="DJ25" s="267"/>
      <c r="DK25" s="267"/>
      <c r="DL25" s="267"/>
      <c r="DM25" s="267"/>
      <c r="DN25" s="267"/>
      <c r="DO25" s="267"/>
      <c r="DP25" s="267"/>
      <c r="DQ25" s="267"/>
      <c r="DR25" s="267"/>
      <c r="DS25" s="267"/>
      <c r="DT25" s="267"/>
      <c r="DU25" s="267"/>
      <c r="DV25" s="267"/>
      <c r="DW25" s="267"/>
      <c r="DX25" s="267"/>
      <c r="DY25" s="267"/>
      <c r="DZ25" s="267"/>
      <c r="EA25" s="267"/>
      <c r="EB25" s="267"/>
      <c r="EC25" s="267"/>
      <c r="ED25" s="267"/>
      <c r="EE25" s="267"/>
      <c r="EF25" s="267"/>
      <c r="EG25" s="267"/>
      <c r="EH25" s="267"/>
      <c r="EI25" s="267"/>
      <c r="EJ25" s="267"/>
      <c r="EK25" s="267"/>
      <c r="EL25" s="267"/>
      <c r="EM25" s="267"/>
      <c r="EN25" s="267"/>
      <c r="EO25" s="267"/>
      <c r="EP25" s="267"/>
      <c r="EQ25" s="267"/>
      <c r="ER25" s="267"/>
      <c r="ES25" s="267"/>
      <c r="ET25" s="267"/>
      <c r="EU25" s="267"/>
      <c r="EV25" s="267"/>
      <c r="EW25" s="267"/>
      <c r="EX25" s="267"/>
      <c r="EY25" s="267"/>
      <c r="EZ25" s="267"/>
      <c r="FA25" s="267"/>
      <c r="FB25" s="267"/>
      <c r="FC25" s="267"/>
      <c r="FD25" s="267"/>
      <c r="FE25" s="267"/>
      <c r="FF25" s="267"/>
      <c r="FG25" s="267"/>
      <c r="FH25" s="267"/>
      <c r="FI25" s="267"/>
      <c r="FJ25" s="267"/>
      <c r="FK25" s="267"/>
      <c r="FL25" s="267"/>
      <c r="FM25" s="267"/>
      <c r="FN25" s="267"/>
      <c r="FO25" s="267"/>
      <c r="FP25" s="267"/>
      <c r="FQ25" s="267"/>
      <c r="FR25" s="267"/>
      <c r="FS25" s="267"/>
      <c r="FT25" s="267"/>
      <c r="FU25" s="267"/>
      <c r="FV25" s="267"/>
      <c r="FW25" s="267"/>
      <c r="FX25" s="267"/>
      <c r="FY25" s="267"/>
      <c r="FZ25" s="267"/>
      <c r="GA25" s="267"/>
      <c r="GB25" s="267"/>
      <c r="GC25" s="267"/>
      <c r="GD25" s="267"/>
      <c r="GE25" s="267"/>
      <c r="GF25" s="267"/>
      <c r="GG25" s="267"/>
      <c r="GH25" s="267"/>
      <c r="GI25" s="267"/>
      <c r="GJ25" s="267"/>
      <c r="GK25" s="267"/>
      <c r="GL25" s="267"/>
      <c r="GM25" s="267"/>
      <c r="GN25" s="267"/>
      <c r="GO25" s="267"/>
      <c r="GP25" s="267"/>
      <c r="GQ25" s="267"/>
      <c r="GR25" s="267"/>
      <c r="GS25" s="267"/>
      <c r="GT25" s="267"/>
      <c r="GU25" s="267"/>
      <c r="GV25" s="267"/>
      <c r="GW25" s="267"/>
      <c r="GX25" s="267"/>
      <c r="GY25" s="267"/>
      <c r="GZ25" s="267"/>
      <c r="HA25" s="267"/>
      <c r="HB25" s="267"/>
      <c r="HC25" s="267"/>
      <c r="HD25" s="267"/>
      <c r="HE25" s="267"/>
      <c r="HF25" s="267"/>
      <c r="HG25" s="267"/>
      <c r="HH25" s="267"/>
      <c r="HI25" s="267"/>
      <c r="HJ25" s="267"/>
      <c r="HK25" s="267"/>
      <c r="HL25" s="267"/>
      <c r="HM25" s="267"/>
      <c r="HN25" s="267"/>
      <c r="HO25" s="267"/>
      <c r="HP25" s="267"/>
      <c r="HQ25" s="267"/>
      <c r="HR25" s="267"/>
      <c r="HS25" s="267"/>
      <c r="HT25" s="267"/>
      <c r="HU25" s="267"/>
      <c r="HV25" s="267"/>
      <c r="HW25" s="267"/>
      <c r="HX25" s="267"/>
      <c r="HY25" s="267"/>
      <c r="HZ25" s="267"/>
      <c r="IA25" s="267"/>
      <c r="IB25" s="267"/>
      <c r="IC25" s="267"/>
      <c r="ID25" s="267"/>
      <c r="IE25" s="267"/>
      <c r="IF25" s="267"/>
      <c r="IG25" s="267"/>
      <c r="IH25" s="267"/>
      <c r="II25" s="267"/>
      <c r="IJ25" s="267"/>
      <c r="IK25" s="267"/>
      <c r="IL25" s="267"/>
      <c r="IM25" s="267"/>
      <c r="IN25" s="267"/>
      <c r="IO25" s="267"/>
      <c r="IP25" s="267"/>
      <c r="IQ25" s="267"/>
      <c r="IR25" s="267"/>
      <c r="IS25" s="267"/>
      <c r="IT25" s="267"/>
      <c r="IU25" s="267"/>
      <c r="IV25" s="267"/>
    </row>
    <row r="26" spans="1:256" s="433" customFormat="1" ht="87" customHeight="1">
      <c r="A26" s="447">
        <v>18</v>
      </c>
      <c r="B26" s="441"/>
      <c r="C26" s="268">
        <v>9</v>
      </c>
      <c r="D26" s="831" t="s">
        <v>624</v>
      </c>
      <c r="E26" s="276"/>
      <c r="F26" s="437"/>
      <c r="G26" s="277"/>
      <c r="H26" s="526" t="s">
        <v>24</v>
      </c>
      <c r="I26" s="542"/>
      <c r="J26" s="538"/>
      <c r="K26" s="517"/>
      <c r="L26" s="517"/>
      <c r="M26" s="517"/>
      <c r="N26" s="517"/>
      <c r="O26" s="510"/>
      <c r="P26" s="438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  <c r="BN26" s="267"/>
      <c r="BO26" s="267"/>
      <c r="BP26" s="267"/>
      <c r="BQ26" s="267"/>
      <c r="BR26" s="267"/>
      <c r="BS26" s="267"/>
      <c r="BT26" s="267"/>
      <c r="BU26" s="267"/>
      <c r="BV26" s="267"/>
      <c r="BW26" s="267"/>
      <c r="BX26" s="267"/>
      <c r="BY26" s="267"/>
      <c r="BZ26" s="267"/>
      <c r="CA26" s="267"/>
      <c r="CB26" s="267"/>
      <c r="CC26" s="267"/>
      <c r="CD26" s="267"/>
      <c r="CE26" s="267"/>
      <c r="CF26" s="267"/>
      <c r="CG26" s="267"/>
      <c r="CH26" s="267"/>
      <c r="CI26" s="267"/>
      <c r="CJ26" s="267"/>
      <c r="CK26" s="267"/>
      <c r="CL26" s="267"/>
      <c r="CM26" s="267"/>
      <c r="CN26" s="267"/>
      <c r="CO26" s="267"/>
      <c r="CP26" s="267"/>
      <c r="CQ26" s="267"/>
      <c r="CR26" s="267"/>
      <c r="CS26" s="267"/>
      <c r="CT26" s="267"/>
      <c r="CU26" s="267"/>
      <c r="CV26" s="267"/>
      <c r="CW26" s="267"/>
      <c r="CX26" s="267"/>
      <c r="CY26" s="267"/>
      <c r="CZ26" s="267"/>
      <c r="DA26" s="267"/>
      <c r="DB26" s="267"/>
      <c r="DC26" s="267"/>
      <c r="DD26" s="267"/>
      <c r="DE26" s="267"/>
      <c r="DF26" s="267"/>
      <c r="DG26" s="267"/>
      <c r="DH26" s="267"/>
      <c r="DI26" s="267"/>
      <c r="DJ26" s="267"/>
      <c r="DK26" s="267"/>
      <c r="DL26" s="267"/>
      <c r="DM26" s="267"/>
      <c r="DN26" s="267"/>
      <c r="DO26" s="267"/>
      <c r="DP26" s="267"/>
      <c r="DQ26" s="267"/>
      <c r="DR26" s="267"/>
      <c r="DS26" s="267"/>
      <c r="DT26" s="267"/>
      <c r="DU26" s="267"/>
      <c r="DV26" s="267"/>
      <c r="DW26" s="267"/>
      <c r="DX26" s="267"/>
      <c r="DY26" s="267"/>
      <c r="DZ26" s="267"/>
      <c r="EA26" s="267"/>
      <c r="EB26" s="267"/>
      <c r="EC26" s="267"/>
      <c r="ED26" s="267"/>
      <c r="EE26" s="267"/>
      <c r="EF26" s="267"/>
      <c r="EG26" s="267"/>
      <c r="EH26" s="267"/>
      <c r="EI26" s="267"/>
      <c r="EJ26" s="267"/>
      <c r="EK26" s="267"/>
      <c r="EL26" s="267"/>
      <c r="EM26" s="267"/>
      <c r="EN26" s="267"/>
      <c r="EO26" s="267"/>
      <c r="EP26" s="267"/>
      <c r="EQ26" s="267"/>
      <c r="ER26" s="267"/>
      <c r="ES26" s="267"/>
      <c r="ET26" s="267"/>
      <c r="EU26" s="267"/>
      <c r="EV26" s="267"/>
      <c r="EW26" s="267"/>
      <c r="EX26" s="267"/>
      <c r="EY26" s="267"/>
      <c r="EZ26" s="267"/>
      <c r="FA26" s="267"/>
      <c r="FB26" s="267"/>
      <c r="FC26" s="267"/>
      <c r="FD26" s="267"/>
      <c r="FE26" s="267"/>
      <c r="FF26" s="267"/>
      <c r="FG26" s="267"/>
      <c r="FH26" s="267"/>
      <c r="FI26" s="267"/>
      <c r="FJ26" s="267"/>
      <c r="FK26" s="267"/>
      <c r="FL26" s="267"/>
      <c r="FM26" s="267"/>
      <c r="FN26" s="267"/>
      <c r="FO26" s="267"/>
      <c r="FP26" s="267"/>
      <c r="FQ26" s="267"/>
      <c r="FR26" s="267"/>
      <c r="FS26" s="267"/>
      <c r="FT26" s="267"/>
      <c r="FU26" s="267"/>
      <c r="FV26" s="267"/>
      <c r="FW26" s="267"/>
      <c r="FX26" s="267"/>
      <c r="FY26" s="267"/>
      <c r="FZ26" s="267"/>
      <c r="GA26" s="267"/>
      <c r="GB26" s="267"/>
      <c r="GC26" s="267"/>
      <c r="GD26" s="267"/>
      <c r="GE26" s="267"/>
      <c r="GF26" s="267"/>
      <c r="GG26" s="267"/>
      <c r="GH26" s="267"/>
      <c r="GI26" s="267"/>
      <c r="GJ26" s="267"/>
      <c r="GK26" s="267"/>
      <c r="GL26" s="267"/>
      <c r="GM26" s="267"/>
      <c r="GN26" s="267"/>
      <c r="GO26" s="267"/>
      <c r="GP26" s="267"/>
      <c r="GQ26" s="267"/>
      <c r="GR26" s="267"/>
      <c r="GS26" s="267"/>
      <c r="GT26" s="267"/>
      <c r="GU26" s="267"/>
      <c r="GV26" s="267"/>
      <c r="GW26" s="267"/>
      <c r="GX26" s="267"/>
      <c r="GY26" s="267"/>
      <c r="GZ26" s="267"/>
      <c r="HA26" s="267"/>
      <c r="HB26" s="267"/>
      <c r="HC26" s="267"/>
      <c r="HD26" s="267"/>
      <c r="HE26" s="267"/>
      <c r="HF26" s="267"/>
      <c r="HG26" s="267"/>
      <c r="HH26" s="267"/>
      <c r="HI26" s="267"/>
      <c r="HJ26" s="267"/>
      <c r="HK26" s="267"/>
      <c r="HL26" s="267"/>
      <c r="HM26" s="267"/>
      <c r="HN26" s="267"/>
      <c r="HO26" s="267"/>
      <c r="HP26" s="267"/>
      <c r="HQ26" s="267"/>
      <c r="HR26" s="267"/>
      <c r="HS26" s="267"/>
      <c r="HT26" s="267"/>
      <c r="HU26" s="267"/>
      <c r="HV26" s="267"/>
      <c r="HW26" s="267"/>
      <c r="HX26" s="267"/>
      <c r="HY26" s="267"/>
      <c r="HZ26" s="267"/>
      <c r="IA26" s="267"/>
      <c r="IB26" s="267"/>
      <c r="IC26" s="267"/>
      <c r="ID26" s="267"/>
      <c r="IE26" s="267"/>
      <c r="IF26" s="267"/>
      <c r="IG26" s="267"/>
      <c r="IH26" s="267"/>
      <c r="II26" s="267"/>
      <c r="IJ26" s="267"/>
      <c r="IK26" s="267"/>
      <c r="IL26" s="267"/>
      <c r="IM26" s="267"/>
      <c r="IN26" s="267"/>
      <c r="IO26" s="267"/>
      <c r="IP26" s="267"/>
      <c r="IQ26" s="267"/>
      <c r="IR26" s="267"/>
      <c r="IS26" s="267"/>
      <c r="IT26" s="267"/>
      <c r="IU26" s="267"/>
      <c r="IV26" s="267"/>
    </row>
    <row r="27" spans="1:256" s="433" customFormat="1" ht="18" customHeight="1">
      <c r="A27" s="447">
        <v>19</v>
      </c>
      <c r="B27" s="441"/>
      <c r="C27" s="268"/>
      <c r="D27" s="520" t="s">
        <v>283</v>
      </c>
      <c r="E27" s="276">
        <f>F27+G27+O27+P27</f>
        <v>19000</v>
      </c>
      <c r="F27" s="437"/>
      <c r="G27" s="277"/>
      <c r="H27" s="526"/>
      <c r="I27" s="542"/>
      <c r="J27" s="538"/>
      <c r="K27" s="517"/>
      <c r="L27" s="517"/>
      <c r="M27" s="517">
        <v>19000</v>
      </c>
      <c r="N27" s="517"/>
      <c r="O27" s="510">
        <f>SUM(I27:N27)</f>
        <v>19000</v>
      </c>
      <c r="P27" s="438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67"/>
      <c r="BK27" s="267"/>
      <c r="BL27" s="267"/>
      <c r="BM27" s="267"/>
      <c r="BN27" s="267"/>
      <c r="BO27" s="267"/>
      <c r="BP27" s="267"/>
      <c r="BQ27" s="267"/>
      <c r="BR27" s="267"/>
      <c r="BS27" s="267"/>
      <c r="BT27" s="267"/>
      <c r="BU27" s="267"/>
      <c r="BV27" s="267"/>
      <c r="BW27" s="267"/>
      <c r="BX27" s="267"/>
      <c r="BY27" s="267"/>
      <c r="BZ27" s="267"/>
      <c r="CA27" s="267"/>
      <c r="CB27" s="267"/>
      <c r="CC27" s="267"/>
      <c r="CD27" s="267"/>
      <c r="CE27" s="267"/>
      <c r="CF27" s="267"/>
      <c r="CG27" s="267"/>
      <c r="CH27" s="267"/>
      <c r="CI27" s="267"/>
      <c r="CJ27" s="267"/>
      <c r="CK27" s="267"/>
      <c r="CL27" s="267"/>
      <c r="CM27" s="267"/>
      <c r="CN27" s="267"/>
      <c r="CO27" s="267"/>
      <c r="CP27" s="267"/>
      <c r="CQ27" s="267"/>
      <c r="CR27" s="267"/>
      <c r="CS27" s="267"/>
      <c r="CT27" s="267"/>
      <c r="CU27" s="267"/>
      <c r="CV27" s="267"/>
      <c r="CW27" s="267"/>
      <c r="CX27" s="267"/>
      <c r="CY27" s="267"/>
      <c r="CZ27" s="267"/>
      <c r="DA27" s="267"/>
      <c r="DB27" s="267"/>
      <c r="DC27" s="267"/>
      <c r="DD27" s="267"/>
      <c r="DE27" s="267"/>
      <c r="DF27" s="267"/>
      <c r="DG27" s="267"/>
      <c r="DH27" s="267"/>
      <c r="DI27" s="267"/>
      <c r="DJ27" s="267"/>
      <c r="DK27" s="267"/>
      <c r="DL27" s="267"/>
      <c r="DM27" s="267"/>
      <c r="DN27" s="267"/>
      <c r="DO27" s="267"/>
      <c r="DP27" s="267"/>
      <c r="DQ27" s="267"/>
      <c r="DR27" s="267"/>
      <c r="DS27" s="267"/>
      <c r="DT27" s="267"/>
      <c r="DU27" s="267"/>
      <c r="DV27" s="267"/>
      <c r="DW27" s="267"/>
      <c r="DX27" s="267"/>
      <c r="DY27" s="267"/>
      <c r="DZ27" s="267"/>
      <c r="EA27" s="267"/>
      <c r="EB27" s="267"/>
      <c r="EC27" s="267"/>
      <c r="ED27" s="267"/>
      <c r="EE27" s="267"/>
      <c r="EF27" s="267"/>
      <c r="EG27" s="267"/>
      <c r="EH27" s="267"/>
      <c r="EI27" s="267"/>
      <c r="EJ27" s="267"/>
      <c r="EK27" s="267"/>
      <c r="EL27" s="267"/>
      <c r="EM27" s="267"/>
      <c r="EN27" s="267"/>
      <c r="EO27" s="267"/>
      <c r="EP27" s="267"/>
      <c r="EQ27" s="267"/>
      <c r="ER27" s="267"/>
      <c r="ES27" s="267"/>
      <c r="ET27" s="267"/>
      <c r="EU27" s="267"/>
      <c r="EV27" s="267"/>
      <c r="EW27" s="267"/>
      <c r="EX27" s="267"/>
      <c r="EY27" s="267"/>
      <c r="EZ27" s="267"/>
      <c r="FA27" s="267"/>
      <c r="FB27" s="267"/>
      <c r="FC27" s="267"/>
      <c r="FD27" s="267"/>
      <c r="FE27" s="267"/>
      <c r="FF27" s="267"/>
      <c r="FG27" s="267"/>
      <c r="FH27" s="267"/>
      <c r="FI27" s="267"/>
      <c r="FJ27" s="267"/>
      <c r="FK27" s="267"/>
      <c r="FL27" s="267"/>
      <c r="FM27" s="267"/>
      <c r="FN27" s="267"/>
      <c r="FO27" s="267"/>
      <c r="FP27" s="267"/>
      <c r="FQ27" s="267"/>
      <c r="FR27" s="267"/>
      <c r="FS27" s="267"/>
      <c r="FT27" s="267"/>
      <c r="FU27" s="267"/>
      <c r="FV27" s="267"/>
      <c r="FW27" s="267"/>
      <c r="FX27" s="267"/>
      <c r="FY27" s="267"/>
      <c r="FZ27" s="267"/>
      <c r="GA27" s="267"/>
      <c r="GB27" s="267"/>
      <c r="GC27" s="267"/>
      <c r="GD27" s="267"/>
      <c r="GE27" s="267"/>
      <c r="GF27" s="267"/>
      <c r="GG27" s="267"/>
      <c r="GH27" s="267"/>
      <c r="GI27" s="267"/>
      <c r="GJ27" s="267"/>
      <c r="GK27" s="267"/>
      <c r="GL27" s="267"/>
      <c r="GM27" s="267"/>
      <c r="GN27" s="267"/>
      <c r="GO27" s="267"/>
      <c r="GP27" s="267"/>
      <c r="GQ27" s="267"/>
      <c r="GR27" s="267"/>
      <c r="GS27" s="267"/>
      <c r="GT27" s="267"/>
      <c r="GU27" s="267"/>
      <c r="GV27" s="267"/>
      <c r="GW27" s="267"/>
      <c r="GX27" s="267"/>
      <c r="GY27" s="267"/>
      <c r="GZ27" s="267"/>
      <c r="HA27" s="267"/>
      <c r="HB27" s="267"/>
      <c r="HC27" s="267"/>
      <c r="HD27" s="267"/>
      <c r="HE27" s="267"/>
      <c r="HF27" s="267"/>
      <c r="HG27" s="267"/>
      <c r="HH27" s="267"/>
      <c r="HI27" s="267"/>
      <c r="HJ27" s="267"/>
      <c r="HK27" s="267"/>
      <c r="HL27" s="267"/>
      <c r="HM27" s="267"/>
      <c r="HN27" s="267"/>
      <c r="HO27" s="267"/>
      <c r="HP27" s="267"/>
      <c r="HQ27" s="267"/>
      <c r="HR27" s="267"/>
      <c r="HS27" s="267"/>
      <c r="HT27" s="267"/>
      <c r="HU27" s="267"/>
      <c r="HV27" s="267"/>
      <c r="HW27" s="267"/>
      <c r="HX27" s="267"/>
      <c r="HY27" s="267"/>
      <c r="HZ27" s="267"/>
      <c r="IA27" s="267"/>
      <c r="IB27" s="267"/>
      <c r="IC27" s="267"/>
      <c r="ID27" s="267"/>
      <c r="IE27" s="267"/>
      <c r="IF27" s="267"/>
      <c r="IG27" s="267"/>
      <c r="IH27" s="267"/>
      <c r="II27" s="267"/>
      <c r="IJ27" s="267"/>
      <c r="IK27" s="267"/>
      <c r="IL27" s="267"/>
      <c r="IM27" s="267"/>
      <c r="IN27" s="267"/>
      <c r="IO27" s="267"/>
      <c r="IP27" s="267"/>
      <c r="IQ27" s="267"/>
      <c r="IR27" s="267"/>
      <c r="IS27" s="267"/>
      <c r="IT27" s="267"/>
      <c r="IU27" s="267"/>
      <c r="IV27" s="267"/>
    </row>
    <row r="28" spans="1:256" s="433" customFormat="1" ht="33.75" customHeight="1">
      <c r="A28" s="447">
        <v>20</v>
      </c>
      <c r="B28" s="441"/>
      <c r="C28" s="268">
        <v>10</v>
      </c>
      <c r="D28" s="830" t="s">
        <v>623</v>
      </c>
      <c r="E28" s="276"/>
      <c r="F28" s="437"/>
      <c r="G28" s="277">
        <v>2311</v>
      </c>
      <c r="H28" s="526" t="s">
        <v>24</v>
      </c>
      <c r="I28" s="542"/>
      <c r="J28" s="538"/>
      <c r="K28" s="517"/>
      <c r="L28" s="517"/>
      <c r="M28" s="517"/>
      <c r="N28" s="517"/>
      <c r="O28" s="510"/>
      <c r="P28" s="438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267"/>
      <c r="BR28" s="267"/>
      <c r="BS28" s="267"/>
      <c r="BT28" s="267"/>
      <c r="BU28" s="267"/>
      <c r="BV28" s="267"/>
      <c r="BW28" s="267"/>
      <c r="BX28" s="267"/>
      <c r="BY28" s="267"/>
      <c r="BZ28" s="267"/>
      <c r="CA28" s="267"/>
      <c r="CB28" s="267"/>
      <c r="CC28" s="267"/>
      <c r="CD28" s="267"/>
      <c r="CE28" s="267"/>
      <c r="CF28" s="267"/>
      <c r="CG28" s="267"/>
      <c r="CH28" s="267"/>
      <c r="CI28" s="267"/>
      <c r="CJ28" s="267"/>
      <c r="CK28" s="267"/>
      <c r="CL28" s="267"/>
      <c r="CM28" s="267"/>
      <c r="CN28" s="267"/>
      <c r="CO28" s="267"/>
      <c r="CP28" s="267"/>
      <c r="CQ28" s="267"/>
      <c r="CR28" s="267"/>
      <c r="CS28" s="267"/>
      <c r="CT28" s="267"/>
      <c r="CU28" s="267"/>
      <c r="CV28" s="267"/>
      <c r="CW28" s="267"/>
      <c r="CX28" s="267"/>
      <c r="CY28" s="267"/>
      <c r="CZ28" s="267"/>
      <c r="DA28" s="267"/>
      <c r="DB28" s="267"/>
      <c r="DC28" s="267"/>
      <c r="DD28" s="267"/>
      <c r="DE28" s="267"/>
      <c r="DF28" s="267"/>
      <c r="DG28" s="267"/>
      <c r="DH28" s="267"/>
      <c r="DI28" s="267"/>
      <c r="DJ28" s="267"/>
      <c r="DK28" s="267"/>
      <c r="DL28" s="267"/>
      <c r="DM28" s="267"/>
      <c r="DN28" s="267"/>
      <c r="DO28" s="267"/>
      <c r="DP28" s="267"/>
      <c r="DQ28" s="267"/>
      <c r="DR28" s="267"/>
      <c r="DS28" s="267"/>
      <c r="DT28" s="267"/>
      <c r="DU28" s="267"/>
      <c r="DV28" s="267"/>
      <c r="DW28" s="267"/>
      <c r="DX28" s="267"/>
      <c r="DY28" s="267"/>
      <c r="DZ28" s="267"/>
      <c r="EA28" s="267"/>
      <c r="EB28" s="267"/>
      <c r="EC28" s="267"/>
      <c r="ED28" s="267"/>
      <c r="EE28" s="267"/>
      <c r="EF28" s="267"/>
      <c r="EG28" s="267"/>
      <c r="EH28" s="267"/>
      <c r="EI28" s="267"/>
      <c r="EJ28" s="267"/>
      <c r="EK28" s="267"/>
      <c r="EL28" s="267"/>
      <c r="EM28" s="267"/>
      <c r="EN28" s="267"/>
      <c r="EO28" s="267"/>
      <c r="EP28" s="267"/>
      <c r="EQ28" s="267"/>
      <c r="ER28" s="267"/>
      <c r="ES28" s="267"/>
      <c r="ET28" s="267"/>
      <c r="EU28" s="267"/>
      <c r="EV28" s="267"/>
      <c r="EW28" s="267"/>
      <c r="EX28" s="267"/>
      <c r="EY28" s="267"/>
      <c r="EZ28" s="267"/>
      <c r="FA28" s="267"/>
      <c r="FB28" s="267"/>
      <c r="FC28" s="267"/>
      <c r="FD28" s="267"/>
      <c r="FE28" s="267"/>
      <c r="FF28" s="267"/>
      <c r="FG28" s="267"/>
      <c r="FH28" s="267"/>
      <c r="FI28" s="267"/>
      <c r="FJ28" s="267"/>
      <c r="FK28" s="267"/>
      <c r="FL28" s="267"/>
      <c r="FM28" s="267"/>
      <c r="FN28" s="267"/>
      <c r="FO28" s="267"/>
      <c r="FP28" s="267"/>
      <c r="FQ28" s="267"/>
      <c r="FR28" s="267"/>
      <c r="FS28" s="267"/>
      <c r="FT28" s="267"/>
      <c r="FU28" s="267"/>
      <c r="FV28" s="267"/>
      <c r="FW28" s="267"/>
      <c r="FX28" s="267"/>
      <c r="FY28" s="267"/>
      <c r="FZ28" s="267"/>
      <c r="GA28" s="267"/>
      <c r="GB28" s="267"/>
      <c r="GC28" s="267"/>
      <c r="GD28" s="267"/>
      <c r="GE28" s="267"/>
      <c r="GF28" s="267"/>
      <c r="GG28" s="267"/>
      <c r="GH28" s="267"/>
      <c r="GI28" s="267"/>
      <c r="GJ28" s="267"/>
      <c r="GK28" s="267"/>
      <c r="GL28" s="267"/>
      <c r="GM28" s="267"/>
      <c r="GN28" s="267"/>
      <c r="GO28" s="267"/>
      <c r="GP28" s="267"/>
      <c r="GQ28" s="267"/>
      <c r="GR28" s="267"/>
      <c r="GS28" s="267"/>
      <c r="GT28" s="267"/>
      <c r="GU28" s="267"/>
      <c r="GV28" s="267"/>
      <c r="GW28" s="267"/>
      <c r="GX28" s="267"/>
      <c r="GY28" s="267"/>
      <c r="GZ28" s="267"/>
      <c r="HA28" s="267"/>
      <c r="HB28" s="267"/>
      <c r="HC28" s="267"/>
      <c r="HD28" s="267"/>
      <c r="HE28" s="267"/>
      <c r="HF28" s="267"/>
      <c r="HG28" s="267"/>
      <c r="HH28" s="267"/>
      <c r="HI28" s="267"/>
      <c r="HJ28" s="267"/>
      <c r="HK28" s="267"/>
      <c r="HL28" s="267"/>
      <c r="HM28" s="267"/>
      <c r="HN28" s="267"/>
      <c r="HO28" s="267"/>
      <c r="HP28" s="267"/>
      <c r="HQ28" s="267"/>
      <c r="HR28" s="267"/>
      <c r="HS28" s="267"/>
      <c r="HT28" s="267"/>
      <c r="HU28" s="267"/>
      <c r="HV28" s="267"/>
      <c r="HW28" s="267"/>
      <c r="HX28" s="267"/>
      <c r="HY28" s="267"/>
      <c r="HZ28" s="267"/>
      <c r="IA28" s="267"/>
      <c r="IB28" s="267"/>
      <c r="IC28" s="267"/>
      <c r="ID28" s="267"/>
      <c r="IE28" s="267"/>
      <c r="IF28" s="267"/>
      <c r="IG28" s="267"/>
      <c r="IH28" s="267"/>
      <c r="II28" s="267"/>
      <c r="IJ28" s="267"/>
      <c r="IK28" s="267"/>
      <c r="IL28" s="267"/>
      <c r="IM28" s="267"/>
      <c r="IN28" s="267"/>
      <c r="IO28" s="267"/>
      <c r="IP28" s="267"/>
      <c r="IQ28" s="267"/>
      <c r="IR28" s="267"/>
      <c r="IS28" s="267"/>
      <c r="IT28" s="267"/>
      <c r="IU28" s="267"/>
      <c r="IV28" s="267"/>
    </row>
    <row r="29" spans="1:256" s="433" customFormat="1" ht="18" customHeight="1">
      <c r="A29" s="447">
        <v>21</v>
      </c>
      <c r="B29" s="441"/>
      <c r="C29" s="268"/>
      <c r="D29" s="520" t="s">
        <v>283</v>
      </c>
      <c r="E29" s="276">
        <f>F29+G29+O29+P29</f>
        <v>57689</v>
      </c>
      <c r="F29" s="437"/>
      <c r="G29" s="277"/>
      <c r="H29" s="526"/>
      <c r="I29" s="542"/>
      <c r="J29" s="538"/>
      <c r="K29" s="517"/>
      <c r="L29" s="517"/>
      <c r="M29" s="517">
        <v>57689</v>
      </c>
      <c r="N29" s="517"/>
      <c r="O29" s="510">
        <f>SUM(I29:N29)</f>
        <v>57689</v>
      </c>
      <c r="P29" s="438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267"/>
      <c r="BF29" s="267"/>
      <c r="BG29" s="267"/>
      <c r="BH29" s="267"/>
      <c r="BI29" s="267"/>
      <c r="BJ29" s="267"/>
      <c r="BK29" s="267"/>
      <c r="BL29" s="267"/>
      <c r="BM29" s="267"/>
      <c r="BN29" s="267"/>
      <c r="BO29" s="267"/>
      <c r="BP29" s="267"/>
      <c r="BQ29" s="267"/>
      <c r="BR29" s="267"/>
      <c r="BS29" s="267"/>
      <c r="BT29" s="267"/>
      <c r="BU29" s="267"/>
      <c r="BV29" s="267"/>
      <c r="BW29" s="267"/>
      <c r="BX29" s="267"/>
      <c r="BY29" s="267"/>
      <c r="BZ29" s="267"/>
      <c r="CA29" s="267"/>
      <c r="CB29" s="267"/>
      <c r="CC29" s="267"/>
      <c r="CD29" s="267"/>
      <c r="CE29" s="267"/>
      <c r="CF29" s="267"/>
      <c r="CG29" s="267"/>
      <c r="CH29" s="267"/>
      <c r="CI29" s="267"/>
      <c r="CJ29" s="267"/>
      <c r="CK29" s="267"/>
      <c r="CL29" s="267"/>
      <c r="CM29" s="267"/>
      <c r="CN29" s="267"/>
      <c r="CO29" s="267"/>
      <c r="CP29" s="267"/>
      <c r="CQ29" s="267"/>
      <c r="CR29" s="267"/>
      <c r="CS29" s="267"/>
      <c r="CT29" s="267"/>
      <c r="CU29" s="267"/>
      <c r="CV29" s="267"/>
      <c r="CW29" s="267"/>
      <c r="CX29" s="267"/>
      <c r="CY29" s="267"/>
      <c r="CZ29" s="267"/>
      <c r="DA29" s="267"/>
      <c r="DB29" s="267"/>
      <c r="DC29" s="267"/>
      <c r="DD29" s="267"/>
      <c r="DE29" s="267"/>
      <c r="DF29" s="267"/>
      <c r="DG29" s="267"/>
      <c r="DH29" s="267"/>
      <c r="DI29" s="267"/>
      <c r="DJ29" s="267"/>
      <c r="DK29" s="267"/>
      <c r="DL29" s="267"/>
      <c r="DM29" s="267"/>
      <c r="DN29" s="267"/>
      <c r="DO29" s="267"/>
      <c r="DP29" s="267"/>
      <c r="DQ29" s="267"/>
      <c r="DR29" s="267"/>
      <c r="DS29" s="267"/>
      <c r="DT29" s="267"/>
      <c r="DU29" s="267"/>
      <c r="DV29" s="267"/>
      <c r="DW29" s="267"/>
      <c r="DX29" s="267"/>
      <c r="DY29" s="267"/>
      <c r="DZ29" s="267"/>
      <c r="EA29" s="267"/>
      <c r="EB29" s="267"/>
      <c r="EC29" s="267"/>
      <c r="ED29" s="267"/>
      <c r="EE29" s="267"/>
      <c r="EF29" s="267"/>
      <c r="EG29" s="267"/>
      <c r="EH29" s="267"/>
      <c r="EI29" s="267"/>
      <c r="EJ29" s="267"/>
      <c r="EK29" s="267"/>
      <c r="EL29" s="267"/>
      <c r="EM29" s="267"/>
      <c r="EN29" s="267"/>
      <c r="EO29" s="267"/>
      <c r="EP29" s="267"/>
      <c r="EQ29" s="267"/>
      <c r="ER29" s="267"/>
      <c r="ES29" s="267"/>
      <c r="ET29" s="267"/>
      <c r="EU29" s="267"/>
      <c r="EV29" s="267"/>
      <c r="EW29" s="267"/>
      <c r="EX29" s="267"/>
      <c r="EY29" s="267"/>
      <c r="EZ29" s="267"/>
      <c r="FA29" s="267"/>
      <c r="FB29" s="267"/>
      <c r="FC29" s="267"/>
      <c r="FD29" s="267"/>
      <c r="FE29" s="267"/>
      <c r="FF29" s="267"/>
      <c r="FG29" s="267"/>
      <c r="FH29" s="267"/>
      <c r="FI29" s="267"/>
      <c r="FJ29" s="267"/>
      <c r="FK29" s="267"/>
      <c r="FL29" s="267"/>
      <c r="FM29" s="267"/>
      <c r="FN29" s="267"/>
      <c r="FO29" s="267"/>
      <c r="FP29" s="267"/>
      <c r="FQ29" s="267"/>
      <c r="FR29" s="267"/>
      <c r="FS29" s="267"/>
      <c r="FT29" s="267"/>
      <c r="FU29" s="267"/>
      <c r="FV29" s="267"/>
      <c r="FW29" s="267"/>
      <c r="FX29" s="267"/>
      <c r="FY29" s="267"/>
      <c r="FZ29" s="267"/>
      <c r="GA29" s="267"/>
      <c r="GB29" s="267"/>
      <c r="GC29" s="267"/>
      <c r="GD29" s="267"/>
      <c r="GE29" s="267"/>
      <c r="GF29" s="267"/>
      <c r="GG29" s="267"/>
      <c r="GH29" s="267"/>
      <c r="GI29" s="267"/>
      <c r="GJ29" s="267"/>
      <c r="GK29" s="267"/>
      <c r="GL29" s="267"/>
      <c r="GM29" s="267"/>
      <c r="GN29" s="267"/>
      <c r="GO29" s="267"/>
      <c r="GP29" s="267"/>
      <c r="GQ29" s="267"/>
      <c r="GR29" s="267"/>
      <c r="GS29" s="267"/>
      <c r="GT29" s="267"/>
      <c r="GU29" s="267"/>
      <c r="GV29" s="267"/>
      <c r="GW29" s="267"/>
      <c r="GX29" s="267"/>
      <c r="GY29" s="267"/>
      <c r="GZ29" s="267"/>
      <c r="HA29" s="267"/>
      <c r="HB29" s="267"/>
      <c r="HC29" s="267"/>
      <c r="HD29" s="267"/>
      <c r="HE29" s="267"/>
      <c r="HF29" s="267"/>
      <c r="HG29" s="267"/>
      <c r="HH29" s="267"/>
      <c r="HI29" s="267"/>
      <c r="HJ29" s="267"/>
      <c r="HK29" s="267"/>
      <c r="HL29" s="267"/>
      <c r="HM29" s="267"/>
      <c r="HN29" s="267"/>
      <c r="HO29" s="267"/>
      <c r="HP29" s="267"/>
      <c r="HQ29" s="267"/>
      <c r="HR29" s="267"/>
      <c r="HS29" s="267"/>
      <c r="HT29" s="267"/>
      <c r="HU29" s="267"/>
      <c r="HV29" s="267"/>
      <c r="HW29" s="267"/>
      <c r="HX29" s="267"/>
      <c r="HY29" s="267"/>
      <c r="HZ29" s="267"/>
      <c r="IA29" s="267"/>
      <c r="IB29" s="267"/>
      <c r="IC29" s="267"/>
      <c r="ID29" s="267"/>
      <c r="IE29" s="267"/>
      <c r="IF29" s="267"/>
      <c r="IG29" s="267"/>
      <c r="IH29" s="267"/>
      <c r="II29" s="267"/>
      <c r="IJ29" s="267"/>
      <c r="IK29" s="267"/>
      <c r="IL29" s="267"/>
      <c r="IM29" s="267"/>
      <c r="IN29" s="267"/>
      <c r="IO29" s="267"/>
      <c r="IP29" s="267"/>
      <c r="IQ29" s="267"/>
      <c r="IR29" s="267"/>
      <c r="IS29" s="267"/>
      <c r="IT29" s="267"/>
      <c r="IU29" s="267"/>
      <c r="IV29" s="267"/>
    </row>
    <row r="30" spans="1:256" s="433" customFormat="1" ht="22.5" customHeight="1">
      <c r="A30" s="447">
        <v>22</v>
      </c>
      <c r="B30" s="441"/>
      <c r="C30" s="268">
        <v>11</v>
      </c>
      <c r="D30" s="445" t="s">
        <v>505</v>
      </c>
      <c r="E30" s="276"/>
      <c r="F30" s="437"/>
      <c r="G30" s="277"/>
      <c r="H30" s="526" t="s">
        <v>24</v>
      </c>
      <c r="I30" s="542"/>
      <c r="J30" s="538"/>
      <c r="K30" s="517"/>
      <c r="L30" s="517"/>
      <c r="M30" s="517"/>
      <c r="N30" s="517"/>
      <c r="O30" s="510"/>
      <c r="P30" s="438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  <c r="AQ30" s="267"/>
      <c r="AR30" s="267"/>
      <c r="AS30" s="267"/>
      <c r="AT30" s="267"/>
      <c r="AU30" s="267"/>
      <c r="AV30" s="267"/>
      <c r="AW30" s="267"/>
      <c r="AX30" s="267"/>
      <c r="AY30" s="267"/>
      <c r="AZ30" s="267"/>
      <c r="BA30" s="267"/>
      <c r="BB30" s="267"/>
      <c r="BC30" s="267"/>
      <c r="BD30" s="267"/>
      <c r="BE30" s="267"/>
      <c r="BF30" s="267"/>
      <c r="BG30" s="267"/>
      <c r="BH30" s="267"/>
      <c r="BI30" s="267"/>
      <c r="BJ30" s="267"/>
      <c r="BK30" s="267"/>
      <c r="BL30" s="267"/>
      <c r="BM30" s="267"/>
      <c r="BN30" s="267"/>
      <c r="BO30" s="267"/>
      <c r="BP30" s="267"/>
      <c r="BQ30" s="267"/>
      <c r="BR30" s="267"/>
      <c r="BS30" s="267"/>
      <c r="BT30" s="267"/>
      <c r="BU30" s="267"/>
      <c r="BV30" s="267"/>
      <c r="BW30" s="267"/>
      <c r="BX30" s="267"/>
      <c r="BY30" s="267"/>
      <c r="BZ30" s="267"/>
      <c r="CA30" s="267"/>
      <c r="CB30" s="267"/>
      <c r="CC30" s="267"/>
      <c r="CD30" s="267"/>
      <c r="CE30" s="267"/>
      <c r="CF30" s="267"/>
      <c r="CG30" s="267"/>
      <c r="CH30" s="267"/>
      <c r="CI30" s="267"/>
      <c r="CJ30" s="267"/>
      <c r="CK30" s="267"/>
      <c r="CL30" s="267"/>
      <c r="CM30" s="267"/>
      <c r="CN30" s="267"/>
      <c r="CO30" s="267"/>
      <c r="CP30" s="267"/>
      <c r="CQ30" s="267"/>
      <c r="CR30" s="267"/>
      <c r="CS30" s="267"/>
      <c r="CT30" s="267"/>
      <c r="CU30" s="267"/>
      <c r="CV30" s="267"/>
      <c r="CW30" s="267"/>
      <c r="CX30" s="267"/>
      <c r="CY30" s="267"/>
      <c r="CZ30" s="267"/>
      <c r="DA30" s="267"/>
      <c r="DB30" s="267"/>
      <c r="DC30" s="267"/>
      <c r="DD30" s="267"/>
      <c r="DE30" s="267"/>
      <c r="DF30" s="267"/>
      <c r="DG30" s="267"/>
      <c r="DH30" s="267"/>
      <c r="DI30" s="267"/>
      <c r="DJ30" s="267"/>
      <c r="DK30" s="267"/>
      <c r="DL30" s="267"/>
      <c r="DM30" s="267"/>
      <c r="DN30" s="267"/>
      <c r="DO30" s="267"/>
      <c r="DP30" s="267"/>
      <c r="DQ30" s="267"/>
      <c r="DR30" s="267"/>
      <c r="DS30" s="267"/>
      <c r="DT30" s="267"/>
      <c r="DU30" s="267"/>
      <c r="DV30" s="267"/>
      <c r="DW30" s="267"/>
      <c r="DX30" s="267"/>
      <c r="DY30" s="267"/>
      <c r="DZ30" s="267"/>
      <c r="EA30" s="267"/>
      <c r="EB30" s="267"/>
      <c r="EC30" s="267"/>
      <c r="ED30" s="267"/>
      <c r="EE30" s="267"/>
      <c r="EF30" s="267"/>
      <c r="EG30" s="267"/>
      <c r="EH30" s="267"/>
      <c r="EI30" s="267"/>
      <c r="EJ30" s="267"/>
      <c r="EK30" s="267"/>
      <c r="EL30" s="267"/>
      <c r="EM30" s="267"/>
      <c r="EN30" s="267"/>
      <c r="EO30" s="267"/>
      <c r="EP30" s="267"/>
      <c r="EQ30" s="267"/>
      <c r="ER30" s="267"/>
      <c r="ES30" s="267"/>
      <c r="ET30" s="267"/>
      <c r="EU30" s="267"/>
      <c r="EV30" s="267"/>
      <c r="EW30" s="267"/>
      <c r="EX30" s="267"/>
      <c r="EY30" s="267"/>
      <c r="EZ30" s="267"/>
      <c r="FA30" s="267"/>
      <c r="FB30" s="267"/>
      <c r="FC30" s="267"/>
      <c r="FD30" s="267"/>
      <c r="FE30" s="267"/>
      <c r="FF30" s="267"/>
      <c r="FG30" s="267"/>
      <c r="FH30" s="267"/>
      <c r="FI30" s="267"/>
      <c r="FJ30" s="267"/>
      <c r="FK30" s="267"/>
      <c r="FL30" s="267"/>
      <c r="FM30" s="267"/>
      <c r="FN30" s="267"/>
      <c r="FO30" s="267"/>
      <c r="FP30" s="267"/>
      <c r="FQ30" s="267"/>
      <c r="FR30" s="267"/>
      <c r="FS30" s="267"/>
      <c r="FT30" s="267"/>
      <c r="FU30" s="267"/>
      <c r="FV30" s="267"/>
      <c r="FW30" s="267"/>
      <c r="FX30" s="267"/>
      <c r="FY30" s="267"/>
      <c r="FZ30" s="267"/>
      <c r="GA30" s="267"/>
      <c r="GB30" s="267"/>
      <c r="GC30" s="267"/>
      <c r="GD30" s="267"/>
      <c r="GE30" s="267"/>
      <c r="GF30" s="267"/>
      <c r="GG30" s="267"/>
      <c r="GH30" s="267"/>
      <c r="GI30" s="267"/>
      <c r="GJ30" s="267"/>
      <c r="GK30" s="267"/>
      <c r="GL30" s="267"/>
      <c r="GM30" s="267"/>
      <c r="GN30" s="267"/>
      <c r="GO30" s="267"/>
      <c r="GP30" s="267"/>
      <c r="GQ30" s="267"/>
      <c r="GR30" s="267"/>
      <c r="GS30" s="267"/>
      <c r="GT30" s="267"/>
      <c r="GU30" s="267"/>
      <c r="GV30" s="267"/>
      <c r="GW30" s="267"/>
      <c r="GX30" s="267"/>
      <c r="GY30" s="267"/>
      <c r="GZ30" s="267"/>
      <c r="HA30" s="267"/>
      <c r="HB30" s="267"/>
      <c r="HC30" s="267"/>
      <c r="HD30" s="267"/>
      <c r="HE30" s="267"/>
      <c r="HF30" s="267"/>
      <c r="HG30" s="267"/>
      <c r="HH30" s="267"/>
      <c r="HI30" s="267"/>
      <c r="HJ30" s="267"/>
      <c r="HK30" s="267"/>
      <c r="HL30" s="267"/>
      <c r="HM30" s="267"/>
      <c r="HN30" s="267"/>
      <c r="HO30" s="267"/>
      <c r="HP30" s="267"/>
      <c r="HQ30" s="267"/>
      <c r="HR30" s="267"/>
      <c r="HS30" s="267"/>
      <c r="HT30" s="267"/>
      <c r="HU30" s="267"/>
      <c r="HV30" s="267"/>
      <c r="HW30" s="267"/>
      <c r="HX30" s="267"/>
      <c r="HY30" s="267"/>
      <c r="HZ30" s="267"/>
      <c r="IA30" s="267"/>
      <c r="IB30" s="267"/>
      <c r="IC30" s="267"/>
      <c r="ID30" s="267"/>
      <c r="IE30" s="267"/>
      <c r="IF30" s="267"/>
      <c r="IG30" s="267"/>
      <c r="IH30" s="267"/>
      <c r="II30" s="267"/>
      <c r="IJ30" s="267"/>
      <c r="IK30" s="267"/>
      <c r="IL30" s="267"/>
      <c r="IM30" s="267"/>
      <c r="IN30" s="267"/>
      <c r="IO30" s="267"/>
      <c r="IP30" s="267"/>
      <c r="IQ30" s="267"/>
      <c r="IR30" s="267"/>
      <c r="IS30" s="267"/>
      <c r="IT30" s="267"/>
      <c r="IU30" s="267"/>
      <c r="IV30" s="267"/>
    </row>
    <row r="31" spans="1:256" s="433" customFormat="1" ht="18" customHeight="1">
      <c r="A31" s="447">
        <v>23</v>
      </c>
      <c r="B31" s="441"/>
      <c r="C31" s="268"/>
      <c r="D31" s="520" t="s">
        <v>283</v>
      </c>
      <c r="E31" s="276">
        <f>F31+G31+O31+P31</f>
        <v>1500</v>
      </c>
      <c r="F31" s="437"/>
      <c r="G31" s="277">
        <v>900</v>
      </c>
      <c r="H31" s="526"/>
      <c r="I31" s="542"/>
      <c r="J31" s="538"/>
      <c r="K31" s="517">
        <v>600</v>
      </c>
      <c r="L31" s="517"/>
      <c r="M31" s="517"/>
      <c r="N31" s="517"/>
      <c r="O31" s="510">
        <f>SUM(I31:N31)</f>
        <v>600</v>
      </c>
      <c r="P31" s="438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  <c r="BF31" s="267"/>
      <c r="BG31" s="267"/>
      <c r="BH31" s="267"/>
      <c r="BI31" s="267"/>
      <c r="BJ31" s="267"/>
      <c r="BK31" s="267"/>
      <c r="BL31" s="267"/>
      <c r="BM31" s="267"/>
      <c r="BN31" s="267"/>
      <c r="BO31" s="267"/>
      <c r="BP31" s="267"/>
      <c r="BQ31" s="267"/>
      <c r="BR31" s="267"/>
      <c r="BS31" s="267"/>
      <c r="BT31" s="267"/>
      <c r="BU31" s="267"/>
      <c r="BV31" s="267"/>
      <c r="BW31" s="267"/>
      <c r="BX31" s="267"/>
      <c r="BY31" s="267"/>
      <c r="BZ31" s="267"/>
      <c r="CA31" s="267"/>
      <c r="CB31" s="267"/>
      <c r="CC31" s="267"/>
      <c r="CD31" s="267"/>
      <c r="CE31" s="267"/>
      <c r="CF31" s="267"/>
      <c r="CG31" s="267"/>
      <c r="CH31" s="267"/>
      <c r="CI31" s="267"/>
      <c r="CJ31" s="267"/>
      <c r="CK31" s="267"/>
      <c r="CL31" s="267"/>
      <c r="CM31" s="267"/>
      <c r="CN31" s="267"/>
      <c r="CO31" s="267"/>
      <c r="CP31" s="267"/>
      <c r="CQ31" s="267"/>
      <c r="CR31" s="267"/>
      <c r="CS31" s="267"/>
      <c r="CT31" s="267"/>
      <c r="CU31" s="267"/>
      <c r="CV31" s="267"/>
      <c r="CW31" s="267"/>
      <c r="CX31" s="267"/>
      <c r="CY31" s="267"/>
      <c r="CZ31" s="267"/>
      <c r="DA31" s="267"/>
      <c r="DB31" s="267"/>
      <c r="DC31" s="267"/>
      <c r="DD31" s="267"/>
      <c r="DE31" s="267"/>
      <c r="DF31" s="267"/>
      <c r="DG31" s="267"/>
      <c r="DH31" s="267"/>
      <c r="DI31" s="267"/>
      <c r="DJ31" s="267"/>
      <c r="DK31" s="267"/>
      <c r="DL31" s="267"/>
      <c r="DM31" s="267"/>
      <c r="DN31" s="267"/>
      <c r="DO31" s="267"/>
      <c r="DP31" s="267"/>
      <c r="DQ31" s="267"/>
      <c r="DR31" s="267"/>
      <c r="DS31" s="267"/>
      <c r="DT31" s="267"/>
      <c r="DU31" s="267"/>
      <c r="DV31" s="267"/>
      <c r="DW31" s="267"/>
      <c r="DX31" s="267"/>
      <c r="DY31" s="267"/>
      <c r="DZ31" s="267"/>
      <c r="EA31" s="267"/>
      <c r="EB31" s="267"/>
      <c r="EC31" s="267"/>
      <c r="ED31" s="267"/>
      <c r="EE31" s="267"/>
      <c r="EF31" s="267"/>
      <c r="EG31" s="267"/>
      <c r="EH31" s="267"/>
      <c r="EI31" s="267"/>
      <c r="EJ31" s="267"/>
      <c r="EK31" s="267"/>
      <c r="EL31" s="267"/>
      <c r="EM31" s="267"/>
      <c r="EN31" s="267"/>
      <c r="EO31" s="267"/>
      <c r="EP31" s="267"/>
      <c r="EQ31" s="267"/>
      <c r="ER31" s="267"/>
      <c r="ES31" s="267"/>
      <c r="ET31" s="267"/>
      <c r="EU31" s="267"/>
      <c r="EV31" s="267"/>
      <c r="EW31" s="267"/>
      <c r="EX31" s="267"/>
      <c r="EY31" s="267"/>
      <c r="EZ31" s="267"/>
      <c r="FA31" s="267"/>
      <c r="FB31" s="267"/>
      <c r="FC31" s="267"/>
      <c r="FD31" s="267"/>
      <c r="FE31" s="267"/>
      <c r="FF31" s="267"/>
      <c r="FG31" s="267"/>
      <c r="FH31" s="267"/>
      <c r="FI31" s="267"/>
      <c r="FJ31" s="267"/>
      <c r="FK31" s="267"/>
      <c r="FL31" s="267"/>
      <c r="FM31" s="267"/>
      <c r="FN31" s="267"/>
      <c r="FO31" s="267"/>
      <c r="FP31" s="267"/>
      <c r="FQ31" s="267"/>
      <c r="FR31" s="267"/>
      <c r="FS31" s="267"/>
      <c r="FT31" s="267"/>
      <c r="FU31" s="267"/>
      <c r="FV31" s="267"/>
      <c r="FW31" s="267"/>
      <c r="FX31" s="267"/>
      <c r="FY31" s="267"/>
      <c r="FZ31" s="267"/>
      <c r="GA31" s="267"/>
      <c r="GB31" s="267"/>
      <c r="GC31" s="267"/>
      <c r="GD31" s="267"/>
      <c r="GE31" s="267"/>
      <c r="GF31" s="267"/>
      <c r="GG31" s="267"/>
      <c r="GH31" s="267"/>
      <c r="GI31" s="267"/>
      <c r="GJ31" s="267"/>
      <c r="GK31" s="267"/>
      <c r="GL31" s="267"/>
      <c r="GM31" s="267"/>
      <c r="GN31" s="267"/>
      <c r="GO31" s="267"/>
      <c r="GP31" s="267"/>
      <c r="GQ31" s="267"/>
      <c r="GR31" s="267"/>
      <c r="GS31" s="267"/>
      <c r="GT31" s="267"/>
      <c r="GU31" s="267"/>
      <c r="GV31" s="267"/>
      <c r="GW31" s="267"/>
      <c r="GX31" s="267"/>
      <c r="GY31" s="267"/>
      <c r="GZ31" s="267"/>
      <c r="HA31" s="267"/>
      <c r="HB31" s="267"/>
      <c r="HC31" s="267"/>
      <c r="HD31" s="267"/>
      <c r="HE31" s="267"/>
      <c r="HF31" s="267"/>
      <c r="HG31" s="267"/>
      <c r="HH31" s="267"/>
      <c r="HI31" s="267"/>
      <c r="HJ31" s="267"/>
      <c r="HK31" s="267"/>
      <c r="HL31" s="267"/>
      <c r="HM31" s="267"/>
      <c r="HN31" s="267"/>
      <c r="HO31" s="267"/>
      <c r="HP31" s="267"/>
      <c r="HQ31" s="267"/>
      <c r="HR31" s="267"/>
      <c r="HS31" s="267"/>
      <c r="HT31" s="267"/>
      <c r="HU31" s="267"/>
      <c r="HV31" s="267"/>
      <c r="HW31" s="267"/>
      <c r="HX31" s="267"/>
      <c r="HY31" s="267"/>
      <c r="HZ31" s="267"/>
      <c r="IA31" s="267"/>
      <c r="IB31" s="267"/>
      <c r="IC31" s="267"/>
      <c r="ID31" s="267"/>
      <c r="IE31" s="267"/>
      <c r="IF31" s="267"/>
      <c r="IG31" s="267"/>
      <c r="IH31" s="267"/>
      <c r="II31" s="267"/>
      <c r="IJ31" s="267"/>
      <c r="IK31" s="267"/>
      <c r="IL31" s="267"/>
      <c r="IM31" s="267"/>
      <c r="IN31" s="267"/>
      <c r="IO31" s="267"/>
      <c r="IP31" s="267"/>
      <c r="IQ31" s="267"/>
      <c r="IR31" s="267"/>
      <c r="IS31" s="267"/>
      <c r="IT31" s="267"/>
      <c r="IU31" s="267"/>
      <c r="IV31" s="267"/>
    </row>
    <row r="32" spans="1:256" s="433" customFormat="1" ht="22.5" customHeight="1">
      <c r="A32" s="447">
        <v>24</v>
      </c>
      <c r="B32" s="441"/>
      <c r="C32" s="285">
        <v>12</v>
      </c>
      <c r="D32" s="445" t="s">
        <v>449</v>
      </c>
      <c r="E32" s="276"/>
      <c r="F32" s="437"/>
      <c r="G32" s="277"/>
      <c r="H32" s="526" t="s">
        <v>24</v>
      </c>
      <c r="I32" s="542"/>
      <c r="J32" s="538"/>
      <c r="K32" s="517"/>
      <c r="L32" s="517"/>
      <c r="M32" s="517"/>
      <c r="N32" s="517"/>
      <c r="O32" s="510"/>
      <c r="P32" s="438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267"/>
      <c r="BD32" s="267"/>
      <c r="BE32" s="267"/>
      <c r="BF32" s="267"/>
      <c r="BG32" s="267"/>
      <c r="BH32" s="267"/>
      <c r="BI32" s="267"/>
      <c r="BJ32" s="267"/>
      <c r="BK32" s="267"/>
      <c r="BL32" s="267"/>
      <c r="BM32" s="267"/>
      <c r="BN32" s="267"/>
      <c r="BO32" s="267"/>
      <c r="BP32" s="267"/>
      <c r="BQ32" s="267"/>
      <c r="BR32" s="267"/>
      <c r="BS32" s="267"/>
      <c r="BT32" s="267"/>
      <c r="BU32" s="267"/>
      <c r="BV32" s="267"/>
      <c r="BW32" s="267"/>
      <c r="BX32" s="267"/>
      <c r="BY32" s="267"/>
      <c r="BZ32" s="267"/>
      <c r="CA32" s="267"/>
      <c r="CB32" s="267"/>
      <c r="CC32" s="267"/>
      <c r="CD32" s="267"/>
      <c r="CE32" s="267"/>
      <c r="CF32" s="267"/>
      <c r="CG32" s="267"/>
      <c r="CH32" s="267"/>
      <c r="CI32" s="267"/>
      <c r="CJ32" s="267"/>
      <c r="CK32" s="267"/>
      <c r="CL32" s="267"/>
      <c r="CM32" s="267"/>
      <c r="CN32" s="267"/>
      <c r="CO32" s="267"/>
      <c r="CP32" s="267"/>
      <c r="CQ32" s="267"/>
      <c r="CR32" s="267"/>
      <c r="CS32" s="267"/>
      <c r="CT32" s="267"/>
      <c r="CU32" s="267"/>
      <c r="CV32" s="267"/>
      <c r="CW32" s="267"/>
      <c r="CX32" s="267"/>
      <c r="CY32" s="267"/>
      <c r="CZ32" s="267"/>
      <c r="DA32" s="267"/>
      <c r="DB32" s="267"/>
      <c r="DC32" s="267"/>
      <c r="DD32" s="267"/>
      <c r="DE32" s="267"/>
      <c r="DF32" s="267"/>
      <c r="DG32" s="267"/>
      <c r="DH32" s="267"/>
      <c r="DI32" s="267"/>
      <c r="DJ32" s="267"/>
      <c r="DK32" s="267"/>
      <c r="DL32" s="267"/>
      <c r="DM32" s="267"/>
      <c r="DN32" s="267"/>
      <c r="DO32" s="267"/>
      <c r="DP32" s="267"/>
      <c r="DQ32" s="267"/>
      <c r="DR32" s="267"/>
      <c r="DS32" s="267"/>
      <c r="DT32" s="267"/>
      <c r="DU32" s="267"/>
      <c r="DV32" s="267"/>
      <c r="DW32" s="267"/>
      <c r="DX32" s="267"/>
      <c r="DY32" s="267"/>
      <c r="DZ32" s="267"/>
      <c r="EA32" s="267"/>
      <c r="EB32" s="267"/>
      <c r="EC32" s="267"/>
      <c r="ED32" s="267"/>
      <c r="EE32" s="267"/>
      <c r="EF32" s="267"/>
      <c r="EG32" s="267"/>
      <c r="EH32" s="267"/>
      <c r="EI32" s="267"/>
      <c r="EJ32" s="267"/>
      <c r="EK32" s="267"/>
      <c r="EL32" s="267"/>
      <c r="EM32" s="267"/>
      <c r="EN32" s="267"/>
      <c r="EO32" s="267"/>
      <c r="EP32" s="267"/>
      <c r="EQ32" s="267"/>
      <c r="ER32" s="267"/>
      <c r="ES32" s="267"/>
      <c r="ET32" s="267"/>
      <c r="EU32" s="267"/>
      <c r="EV32" s="267"/>
      <c r="EW32" s="267"/>
      <c r="EX32" s="267"/>
      <c r="EY32" s="267"/>
      <c r="EZ32" s="267"/>
      <c r="FA32" s="267"/>
      <c r="FB32" s="267"/>
      <c r="FC32" s="267"/>
      <c r="FD32" s="267"/>
      <c r="FE32" s="267"/>
      <c r="FF32" s="267"/>
      <c r="FG32" s="267"/>
      <c r="FH32" s="267"/>
      <c r="FI32" s="267"/>
      <c r="FJ32" s="267"/>
      <c r="FK32" s="267"/>
      <c r="FL32" s="267"/>
      <c r="FM32" s="267"/>
      <c r="FN32" s="267"/>
      <c r="FO32" s="267"/>
      <c r="FP32" s="267"/>
      <c r="FQ32" s="267"/>
      <c r="FR32" s="267"/>
      <c r="FS32" s="267"/>
      <c r="FT32" s="267"/>
      <c r="FU32" s="267"/>
      <c r="FV32" s="267"/>
      <c r="FW32" s="267"/>
      <c r="FX32" s="267"/>
      <c r="FY32" s="267"/>
      <c r="FZ32" s="267"/>
      <c r="GA32" s="267"/>
      <c r="GB32" s="267"/>
      <c r="GC32" s="267"/>
      <c r="GD32" s="267"/>
      <c r="GE32" s="267"/>
      <c r="GF32" s="267"/>
      <c r="GG32" s="267"/>
      <c r="GH32" s="267"/>
      <c r="GI32" s="267"/>
      <c r="GJ32" s="267"/>
      <c r="GK32" s="267"/>
      <c r="GL32" s="267"/>
      <c r="GM32" s="267"/>
      <c r="GN32" s="267"/>
      <c r="GO32" s="267"/>
      <c r="GP32" s="267"/>
      <c r="GQ32" s="267"/>
      <c r="GR32" s="267"/>
      <c r="GS32" s="267"/>
      <c r="GT32" s="267"/>
      <c r="GU32" s="267"/>
      <c r="GV32" s="267"/>
      <c r="GW32" s="267"/>
      <c r="GX32" s="267"/>
      <c r="GY32" s="267"/>
      <c r="GZ32" s="267"/>
      <c r="HA32" s="267"/>
      <c r="HB32" s="267"/>
      <c r="HC32" s="267"/>
      <c r="HD32" s="267"/>
      <c r="HE32" s="267"/>
      <c r="HF32" s="267"/>
      <c r="HG32" s="267"/>
      <c r="HH32" s="267"/>
      <c r="HI32" s="267"/>
      <c r="HJ32" s="267"/>
      <c r="HK32" s="267"/>
      <c r="HL32" s="267"/>
      <c r="HM32" s="267"/>
      <c r="HN32" s="267"/>
      <c r="HO32" s="267"/>
      <c r="HP32" s="267"/>
      <c r="HQ32" s="267"/>
      <c r="HR32" s="267"/>
      <c r="HS32" s="267"/>
      <c r="HT32" s="267"/>
      <c r="HU32" s="267"/>
      <c r="HV32" s="267"/>
      <c r="HW32" s="267"/>
      <c r="HX32" s="267"/>
      <c r="HY32" s="267"/>
      <c r="HZ32" s="267"/>
      <c r="IA32" s="267"/>
      <c r="IB32" s="267"/>
      <c r="IC32" s="267"/>
      <c r="ID32" s="267"/>
      <c r="IE32" s="267"/>
      <c r="IF32" s="267"/>
      <c r="IG32" s="267"/>
      <c r="IH32" s="267"/>
      <c r="II32" s="267"/>
      <c r="IJ32" s="267"/>
      <c r="IK32" s="267"/>
      <c r="IL32" s="267"/>
      <c r="IM32" s="267"/>
      <c r="IN32" s="267"/>
      <c r="IO32" s="267"/>
      <c r="IP32" s="267"/>
      <c r="IQ32" s="267"/>
      <c r="IR32" s="267"/>
      <c r="IS32" s="267"/>
      <c r="IT32" s="267"/>
      <c r="IU32" s="267"/>
      <c r="IV32" s="267"/>
    </row>
    <row r="33" spans="1:256" s="433" customFormat="1" ht="18" customHeight="1">
      <c r="A33" s="447">
        <v>25</v>
      </c>
      <c r="B33" s="441"/>
      <c r="C33" s="268"/>
      <c r="D33" s="520" t="s">
        <v>283</v>
      </c>
      <c r="E33" s="276">
        <f>F33+G33+O33+P33</f>
        <v>80</v>
      </c>
      <c r="F33" s="437"/>
      <c r="G33" s="277"/>
      <c r="H33" s="526"/>
      <c r="I33" s="542"/>
      <c r="J33" s="538"/>
      <c r="K33" s="517">
        <v>73</v>
      </c>
      <c r="L33" s="517"/>
      <c r="M33" s="517">
        <v>7</v>
      </c>
      <c r="N33" s="517"/>
      <c r="O33" s="510">
        <f>SUM(I33:N33)</f>
        <v>80</v>
      </c>
      <c r="P33" s="438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267"/>
      <c r="BD33" s="267"/>
      <c r="BE33" s="267"/>
      <c r="BF33" s="267"/>
      <c r="BG33" s="267"/>
      <c r="BH33" s="267"/>
      <c r="BI33" s="267"/>
      <c r="BJ33" s="267"/>
      <c r="BK33" s="267"/>
      <c r="BL33" s="267"/>
      <c r="BM33" s="267"/>
      <c r="BN33" s="267"/>
      <c r="BO33" s="267"/>
      <c r="BP33" s="267"/>
      <c r="BQ33" s="267"/>
      <c r="BR33" s="267"/>
      <c r="BS33" s="267"/>
      <c r="BT33" s="267"/>
      <c r="BU33" s="267"/>
      <c r="BV33" s="267"/>
      <c r="BW33" s="267"/>
      <c r="BX33" s="267"/>
      <c r="BY33" s="267"/>
      <c r="BZ33" s="267"/>
      <c r="CA33" s="267"/>
      <c r="CB33" s="267"/>
      <c r="CC33" s="267"/>
      <c r="CD33" s="267"/>
      <c r="CE33" s="267"/>
      <c r="CF33" s="267"/>
      <c r="CG33" s="267"/>
      <c r="CH33" s="267"/>
      <c r="CI33" s="267"/>
      <c r="CJ33" s="267"/>
      <c r="CK33" s="267"/>
      <c r="CL33" s="267"/>
      <c r="CM33" s="267"/>
      <c r="CN33" s="267"/>
      <c r="CO33" s="267"/>
      <c r="CP33" s="267"/>
      <c r="CQ33" s="267"/>
      <c r="CR33" s="267"/>
      <c r="CS33" s="267"/>
      <c r="CT33" s="267"/>
      <c r="CU33" s="267"/>
      <c r="CV33" s="267"/>
      <c r="CW33" s="267"/>
      <c r="CX33" s="267"/>
      <c r="CY33" s="267"/>
      <c r="CZ33" s="267"/>
      <c r="DA33" s="267"/>
      <c r="DB33" s="267"/>
      <c r="DC33" s="267"/>
      <c r="DD33" s="267"/>
      <c r="DE33" s="267"/>
      <c r="DF33" s="267"/>
      <c r="DG33" s="267"/>
      <c r="DH33" s="267"/>
      <c r="DI33" s="267"/>
      <c r="DJ33" s="267"/>
      <c r="DK33" s="267"/>
      <c r="DL33" s="267"/>
      <c r="DM33" s="267"/>
      <c r="DN33" s="267"/>
      <c r="DO33" s="267"/>
      <c r="DP33" s="267"/>
      <c r="DQ33" s="267"/>
      <c r="DR33" s="267"/>
      <c r="DS33" s="267"/>
      <c r="DT33" s="267"/>
      <c r="DU33" s="267"/>
      <c r="DV33" s="267"/>
      <c r="DW33" s="267"/>
      <c r="DX33" s="267"/>
      <c r="DY33" s="267"/>
      <c r="DZ33" s="267"/>
      <c r="EA33" s="267"/>
      <c r="EB33" s="267"/>
      <c r="EC33" s="267"/>
      <c r="ED33" s="267"/>
      <c r="EE33" s="267"/>
      <c r="EF33" s="267"/>
      <c r="EG33" s="267"/>
      <c r="EH33" s="267"/>
      <c r="EI33" s="267"/>
      <c r="EJ33" s="267"/>
      <c r="EK33" s="267"/>
      <c r="EL33" s="267"/>
      <c r="EM33" s="267"/>
      <c r="EN33" s="267"/>
      <c r="EO33" s="267"/>
      <c r="EP33" s="267"/>
      <c r="EQ33" s="267"/>
      <c r="ER33" s="267"/>
      <c r="ES33" s="267"/>
      <c r="ET33" s="267"/>
      <c r="EU33" s="267"/>
      <c r="EV33" s="267"/>
      <c r="EW33" s="267"/>
      <c r="EX33" s="267"/>
      <c r="EY33" s="267"/>
      <c r="EZ33" s="267"/>
      <c r="FA33" s="267"/>
      <c r="FB33" s="267"/>
      <c r="FC33" s="267"/>
      <c r="FD33" s="267"/>
      <c r="FE33" s="267"/>
      <c r="FF33" s="267"/>
      <c r="FG33" s="267"/>
      <c r="FH33" s="267"/>
      <c r="FI33" s="267"/>
      <c r="FJ33" s="267"/>
      <c r="FK33" s="267"/>
      <c r="FL33" s="267"/>
      <c r="FM33" s="267"/>
      <c r="FN33" s="267"/>
      <c r="FO33" s="267"/>
      <c r="FP33" s="267"/>
      <c r="FQ33" s="267"/>
      <c r="FR33" s="267"/>
      <c r="FS33" s="267"/>
      <c r="FT33" s="267"/>
      <c r="FU33" s="267"/>
      <c r="FV33" s="267"/>
      <c r="FW33" s="267"/>
      <c r="FX33" s="267"/>
      <c r="FY33" s="267"/>
      <c r="FZ33" s="267"/>
      <c r="GA33" s="267"/>
      <c r="GB33" s="267"/>
      <c r="GC33" s="267"/>
      <c r="GD33" s="267"/>
      <c r="GE33" s="267"/>
      <c r="GF33" s="267"/>
      <c r="GG33" s="267"/>
      <c r="GH33" s="267"/>
      <c r="GI33" s="267"/>
      <c r="GJ33" s="267"/>
      <c r="GK33" s="267"/>
      <c r="GL33" s="267"/>
      <c r="GM33" s="267"/>
      <c r="GN33" s="267"/>
      <c r="GO33" s="267"/>
      <c r="GP33" s="267"/>
      <c r="GQ33" s="267"/>
      <c r="GR33" s="267"/>
      <c r="GS33" s="267"/>
      <c r="GT33" s="267"/>
      <c r="GU33" s="267"/>
      <c r="GV33" s="267"/>
      <c r="GW33" s="267"/>
      <c r="GX33" s="267"/>
      <c r="GY33" s="267"/>
      <c r="GZ33" s="267"/>
      <c r="HA33" s="267"/>
      <c r="HB33" s="267"/>
      <c r="HC33" s="267"/>
      <c r="HD33" s="267"/>
      <c r="HE33" s="267"/>
      <c r="HF33" s="267"/>
      <c r="HG33" s="267"/>
      <c r="HH33" s="267"/>
      <c r="HI33" s="267"/>
      <c r="HJ33" s="267"/>
      <c r="HK33" s="267"/>
      <c r="HL33" s="267"/>
      <c r="HM33" s="267"/>
      <c r="HN33" s="267"/>
      <c r="HO33" s="267"/>
      <c r="HP33" s="267"/>
      <c r="HQ33" s="267"/>
      <c r="HR33" s="267"/>
      <c r="HS33" s="267"/>
      <c r="HT33" s="267"/>
      <c r="HU33" s="267"/>
      <c r="HV33" s="267"/>
      <c r="HW33" s="267"/>
      <c r="HX33" s="267"/>
      <c r="HY33" s="267"/>
      <c r="HZ33" s="267"/>
      <c r="IA33" s="267"/>
      <c r="IB33" s="267"/>
      <c r="IC33" s="267"/>
      <c r="ID33" s="267"/>
      <c r="IE33" s="267"/>
      <c r="IF33" s="267"/>
      <c r="IG33" s="267"/>
      <c r="IH33" s="267"/>
      <c r="II33" s="267"/>
      <c r="IJ33" s="267"/>
      <c r="IK33" s="267"/>
      <c r="IL33" s="267"/>
      <c r="IM33" s="267"/>
      <c r="IN33" s="267"/>
      <c r="IO33" s="267"/>
      <c r="IP33" s="267"/>
      <c r="IQ33" s="267"/>
      <c r="IR33" s="267"/>
      <c r="IS33" s="267"/>
      <c r="IT33" s="267"/>
      <c r="IU33" s="267"/>
      <c r="IV33" s="267"/>
    </row>
    <row r="34" spans="1:256" s="433" customFormat="1" ht="53.25" customHeight="1">
      <c r="A34" s="447">
        <v>26</v>
      </c>
      <c r="B34" s="441"/>
      <c r="C34" s="268">
        <v>13</v>
      </c>
      <c r="D34" s="829" t="s">
        <v>625</v>
      </c>
      <c r="E34" s="276"/>
      <c r="F34" s="437"/>
      <c r="G34" s="277"/>
      <c r="H34" s="526" t="s">
        <v>24</v>
      </c>
      <c r="I34" s="542"/>
      <c r="J34" s="538"/>
      <c r="K34" s="517"/>
      <c r="L34" s="517"/>
      <c r="M34" s="517"/>
      <c r="N34" s="517"/>
      <c r="O34" s="510"/>
      <c r="P34" s="438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267"/>
      <c r="BF34" s="267"/>
      <c r="BG34" s="267"/>
      <c r="BH34" s="267"/>
      <c r="BI34" s="267"/>
      <c r="BJ34" s="267"/>
      <c r="BK34" s="267"/>
      <c r="BL34" s="267"/>
      <c r="BM34" s="267"/>
      <c r="BN34" s="267"/>
      <c r="BO34" s="267"/>
      <c r="BP34" s="267"/>
      <c r="BQ34" s="267"/>
      <c r="BR34" s="267"/>
      <c r="BS34" s="267"/>
      <c r="BT34" s="267"/>
      <c r="BU34" s="267"/>
      <c r="BV34" s="267"/>
      <c r="BW34" s="267"/>
      <c r="BX34" s="267"/>
      <c r="BY34" s="267"/>
      <c r="BZ34" s="267"/>
      <c r="CA34" s="267"/>
      <c r="CB34" s="267"/>
      <c r="CC34" s="267"/>
      <c r="CD34" s="267"/>
      <c r="CE34" s="267"/>
      <c r="CF34" s="267"/>
      <c r="CG34" s="267"/>
      <c r="CH34" s="267"/>
      <c r="CI34" s="267"/>
      <c r="CJ34" s="267"/>
      <c r="CK34" s="267"/>
      <c r="CL34" s="267"/>
      <c r="CM34" s="267"/>
      <c r="CN34" s="267"/>
      <c r="CO34" s="267"/>
      <c r="CP34" s="267"/>
      <c r="CQ34" s="267"/>
      <c r="CR34" s="267"/>
      <c r="CS34" s="267"/>
      <c r="CT34" s="267"/>
      <c r="CU34" s="267"/>
      <c r="CV34" s="267"/>
      <c r="CW34" s="267"/>
      <c r="CX34" s="267"/>
      <c r="CY34" s="267"/>
      <c r="CZ34" s="267"/>
      <c r="DA34" s="267"/>
      <c r="DB34" s="267"/>
      <c r="DC34" s="267"/>
      <c r="DD34" s="267"/>
      <c r="DE34" s="267"/>
      <c r="DF34" s="267"/>
      <c r="DG34" s="267"/>
      <c r="DH34" s="267"/>
      <c r="DI34" s="267"/>
      <c r="DJ34" s="267"/>
      <c r="DK34" s="267"/>
      <c r="DL34" s="267"/>
      <c r="DM34" s="267"/>
      <c r="DN34" s="267"/>
      <c r="DO34" s="267"/>
      <c r="DP34" s="267"/>
      <c r="DQ34" s="267"/>
      <c r="DR34" s="267"/>
      <c r="DS34" s="267"/>
      <c r="DT34" s="267"/>
      <c r="DU34" s="267"/>
      <c r="DV34" s="267"/>
      <c r="DW34" s="267"/>
      <c r="DX34" s="267"/>
      <c r="DY34" s="267"/>
      <c r="DZ34" s="267"/>
      <c r="EA34" s="267"/>
      <c r="EB34" s="267"/>
      <c r="EC34" s="267"/>
      <c r="ED34" s="267"/>
      <c r="EE34" s="267"/>
      <c r="EF34" s="267"/>
      <c r="EG34" s="267"/>
      <c r="EH34" s="267"/>
      <c r="EI34" s="267"/>
      <c r="EJ34" s="267"/>
      <c r="EK34" s="267"/>
      <c r="EL34" s="267"/>
      <c r="EM34" s="267"/>
      <c r="EN34" s="267"/>
      <c r="EO34" s="267"/>
      <c r="EP34" s="267"/>
      <c r="EQ34" s="267"/>
      <c r="ER34" s="267"/>
      <c r="ES34" s="267"/>
      <c r="ET34" s="267"/>
      <c r="EU34" s="267"/>
      <c r="EV34" s="267"/>
      <c r="EW34" s="267"/>
      <c r="EX34" s="267"/>
      <c r="EY34" s="267"/>
      <c r="EZ34" s="267"/>
      <c r="FA34" s="267"/>
      <c r="FB34" s="267"/>
      <c r="FC34" s="267"/>
      <c r="FD34" s="267"/>
      <c r="FE34" s="267"/>
      <c r="FF34" s="267"/>
      <c r="FG34" s="267"/>
      <c r="FH34" s="267"/>
      <c r="FI34" s="267"/>
      <c r="FJ34" s="267"/>
      <c r="FK34" s="267"/>
      <c r="FL34" s="267"/>
      <c r="FM34" s="267"/>
      <c r="FN34" s="267"/>
      <c r="FO34" s="267"/>
      <c r="FP34" s="267"/>
      <c r="FQ34" s="267"/>
      <c r="FR34" s="267"/>
      <c r="FS34" s="267"/>
      <c r="FT34" s="267"/>
      <c r="FU34" s="267"/>
      <c r="FV34" s="267"/>
      <c r="FW34" s="267"/>
      <c r="FX34" s="267"/>
      <c r="FY34" s="267"/>
      <c r="FZ34" s="267"/>
      <c r="GA34" s="267"/>
      <c r="GB34" s="267"/>
      <c r="GC34" s="267"/>
      <c r="GD34" s="267"/>
      <c r="GE34" s="267"/>
      <c r="GF34" s="267"/>
      <c r="GG34" s="267"/>
      <c r="GH34" s="267"/>
      <c r="GI34" s="267"/>
      <c r="GJ34" s="267"/>
      <c r="GK34" s="267"/>
      <c r="GL34" s="267"/>
      <c r="GM34" s="267"/>
      <c r="GN34" s="267"/>
      <c r="GO34" s="267"/>
      <c r="GP34" s="267"/>
      <c r="GQ34" s="267"/>
      <c r="GR34" s="267"/>
      <c r="GS34" s="267"/>
      <c r="GT34" s="267"/>
      <c r="GU34" s="267"/>
      <c r="GV34" s="267"/>
      <c r="GW34" s="267"/>
      <c r="GX34" s="267"/>
      <c r="GY34" s="267"/>
      <c r="GZ34" s="267"/>
      <c r="HA34" s="267"/>
      <c r="HB34" s="267"/>
      <c r="HC34" s="267"/>
      <c r="HD34" s="267"/>
      <c r="HE34" s="267"/>
      <c r="HF34" s="267"/>
      <c r="HG34" s="267"/>
      <c r="HH34" s="267"/>
      <c r="HI34" s="267"/>
      <c r="HJ34" s="267"/>
      <c r="HK34" s="267"/>
      <c r="HL34" s="267"/>
      <c r="HM34" s="267"/>
      <c r="HN34" s="267"/>
      <c r="HO34" s="267"/>
      <c r="HP34" s="267"/>
      <c r="HQ34" s="267"/>
      <c r="HR34" s="267"/>
      <c r="HS34" s="267"/>
      <c r="HT34" s="267"/>
      <c r="HU34" s="267"/>
      <c r="HV34" s="267"/>
      <c r="HW34" s="267"/>
      <c r="HX34" s="267"/>
      <c r="HY34" s="267"/>
      <c r="HZ34" s="267"/>
      <c r="IA34" s="267"/>
      <c r="IB34" s="267"/>
      <c r="IC34" s="267"/>
      <c r="ID34" s="267"/>
      <c r="IE34" s="267"/>
      <c r="IF34" s="267"/>
      <c r="IG34" s="267"/>
      <c r="IH34" s="267"/>
      <c r="II34" s="267"/>
      <c r="IJ34" s="267"/>
      <c r="IK34" s="267"/>
      <c r="IL34" s="267"/>
      <c r="IM34" s="267"/>
      <c r="IN34" s="267"/>
      <c r="IO34" s="267"/>
      <c r="IP34" s="267"/>
      <c r="IQ34" s="267"/>
      <c r="IR34" s="267"/>
      <c r="IS34" s="267"/>
      <c r="IT34" s="267"/>
      <c r="IU34" s="267"/>
      <c r="IV34" s="267"/>
    </row>
    <row r="35" spans="1:256" s="433" customFormat="1" ht="18" customHeight="1" thickBot="1">
      <c r="A35" s="447">
        <v>27</v>
      </c>
      <c r="B35" s="441"/>
      <c r="C35" s="268"/>
      <c r="D35" s="520" t="s">
        <v>283</v>
      </c>
      <c r="E35" s="276">
        <f>F35+G35+O35+P35</f>
        <v>30000</v>
      </c>
      <c r="F35" s="437"/>
      <c r="G35" s="277"/>
      <c r="H35" s="526"/>
      <c r="I35" s="542"/>
      <c r="J35" s="538"/>
      <c r="K35" s="517">
        <v>5000</v>
      </c>
      <c r="L35" s="517"/>
      <c r="M35" s="517">
        <v>25000</v>
      </c>
      <c r="N35" s="517"/>
      <c r="O35" s="574">
        <f>SUM(I35:N35)</f>
        <v>30000</v>
      </c>
      <c r="P35" s="438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  <c r="BB35" s="267"/>
      <c r="BC35" s="267"/>
      <c r="BD35" s="267"/>
      <c r="BE35" s="267"/>
      <c r="BF35" s="267"/>
      <c r="BG35" s="267"/>
      <c r="BH35" s="267"/>
      <c r="BI35" s="267"/>
      <c r="BJ35" s="267"/>
      <c r="BK35" s="267"/>
      <c r="BL35" s="267"/>
      <c r="BM35" s="267"/>
      <c r="BN35" s="267"/>
      <c r="BO35" s="267"/>
      <c r="BP35" s="267"/>
      <c r="BQ35" s="267"/>
      <c r="BR35" s="267"/>
      <c r="BS35" s="267"/>
      <c r="BT35" s="267"/>
      <c r="BU35" s="267"/>
      <c r="BV35" s="267"/>
      <c r="BW35" s="267"/>
      <c r="BX35" s="267"/>
      <c r="BY35" s="267"/>
      <c r="BZ35" s="267"/>
      <c r="CA35" s="267"/>
      <c r="CB35" s="267"/>
      <c r="CC35" s="267"/>
      <c r="CD35" s="267"/>
      <c r="CE35" s="267"/>
      <c r="CF35" s="267"/>
      <c r="CG35" s="267"/>
      <c r="CH35" s="267"/>
      <c r="CI35" s="267"/>
      <c r="CJ35" s="267"/>
      <c r="CK35" s="267"/>
      <c r="CL35" s="267"/>
      <c r="CM35" s="267"/>
      <c r="CN35" s="267"/>
      <c r="CO35" s="267"/>
      <c r="CP35" s="267"/>
      <c r="CQ35" s="267"/>
      <c r="CR35" s="267"/>
      <c r="CS35" s="267"/>
      <c r="CT35" s="267"/>
      <c r="CU35" s="267"/>
      <c r="CV35" s="267"/>
      <c r="CW35" s="267"/>
      <c r="CX35" s="267"/>
      <c r="CY35" s="267"/>
      <c r="CZ35" s="267"/>
      <c r="DA35" s="267"/>
      <c r="DB35" s="267"/>
      <c r="DC35" s="267"/>
      <c r="DD35" s="267"/>
      <c r="DE35" s="267"/>
      <c r="DF35" s="267"/>
      <c r="DG35" s="267"/>
      <c r="DH35" s="267"/>
      <c r="DI35" s="267"/>
      <c r="DJ35" s="267"/>
      <c r="DK35" s="267"/>
      <c r="DL35" s="267"/>
      <c r="DM35" s="267"/>
      <c r="DN35" s="267"/>
      <c r="DO35" s="267"/>
      <c r="DP35" s="267"/>
      <c r="DQ35" s="267"/>
      <c r="DR35" s="267"/>
      <c r="DS35" s="267"/>
      <c r="DT35" s="267"/>
      <c r="DU35" s="267"/>
      <c r="DV35" s="267"/>
      <c r="DW35" s="267"/>
      <c r="DX35" s="267"/>
      <c r="DY35" s="267"/>
      <c r="DZ35" s="267"/>
      <c r="EA35" s="267"/>
      <c r="EB35" s="267"/>
      <c r="EC35" s="267"/>
      <c r="ED35" s="267"/>
      <c r="EE35" s="267"/>
      <c r="EF35" s="267"/>
      <c r="EG35" s="267"/>
      <c r="EH35" s="267"/>
      <c r="EI35" s="267"/>
      <c r="EJ35" s="267"/>
      <c r="EK35" s="267"/>
      <c r="EL35" s="267"/>
      <c r="EM35" s="267"/>
      <c r="EN35" s="267"/>
      <c r="EO35" s="267"/>
      <c r="EP35" s="267"/>
      <c r="EQ35" s="267"/>
      <c r="ER35" s="267"/>
      <c r="ES35" s="267"/>
      <c r="ET35" s="267"/>
      <c r="EU35" s="267"/>
      <c r="EV35" s="267"/>
      <c r="EW35" s="267"/>
      <c r="EX35" s="267"/>
      <c r="EY35" s="267"/>
      <c r="EZ35" s="267"/>
      <c r="FA35" s="267"/>
      <c r="FB35" s="267"/>
      <c r="FC35" s="267"/>
      <c r="FD35" s="267"/>
      <c r="FE35" s="267"/>
      <c r="FF35" s="267"/>
      <c r="FG35" s="267"/>
      <c r="FH35" s="267"/>
      <c r="FI35" s="267"/>
      <c r="FJ35" s="267"/>
      <c r="FK35" s="267"/>
      <c r="FL35" s="267"/>
      <c r="FM35" s="267"/>
      <c r="FN35" s="267"/>
      <c r="FO35" s="267"/>
      <c r="FP35" s="267"/>
      <c r="FQ35" s="267"/>
      <c r="FR35" s="267"/>
      <c r="FS35" s="267"/>
      <c r="FT35" s="267"/>
      <c r="FU35" s="267"/>
      <c r="FV35" s="267"/>
      <c r="FW35" s="267"/>
      <c r="FX35" s="267"/>
      <c r="FY35" s="267"/>
      <c r="FZ35" s="267"/>
      <c r="GA35" s="267"/>
      <c r="GB35" s="267"/>
      <c r="GC35" s="267"/>
      <c r="GD35" s="267"/>
      <c r="GE35" s="267"/>
      <c r="GF35" s="267"/>
      <c r="GG35" s="267"/>
      <c r="GH35" s="267"/>
      <c r="GI35" s="267"/>
      <c r="GJ35" s="267"/>
      <c r="GK35" s="267"/>
      <c r="GL35" s="267"/>
      <c r="GM35" s="267"/>
      <c r="GN35" s="267"/>
      <c r="GO35" s="267"/>
      <c r="GP35" s="267"/>
      <c r="GQ35" s="267"/>
      <c r="GR35" s="267"/>
      <c r="GS35" s="267"/>
      <c r="GT35" s="267"/>
      <c r="GU35" s="267"/>
      <c r="GV35" s="267"/>
      <c r="GW35" s="267"/>
      <c r="GX35" s="267"/>
      <c r="GY35" s="267"/>
      <c r="GZ35" s="267"/>
      <c r="HA35" s="267"/>
      <c r="HB35" s="267"/>
      <c r="HC35" s="267"/>
      <c r="HD35" s="267"/>
      <c r="HE35" s="267"/>
      <c r="HF35" s="267"/>
      <c r="HG35" s="267"/>
      <c r="HH35" s="267"/>
      <c r="HI35" s="267"/>
      <c r="HJ35" s="267"/>
      <c r="HK35" s="267"/>
      <c r="HL35" s="267"/>
      <c r="HM35" s="267"/>
      <c r="HN35" s="267"/>
      <c r="HO35" s="267"/>
      <c r="HP35" s="267"/>
      <c r="HQ35" s="267"/>
      <c r="HR35" s="267"/>
      <c r="HS35" s="267"/>
      <c r="HT35" s="267"/>
      <c r="HU35" s="267"/>
      <c r="HV35" s="267"/>
      <c r="HW35" s="267"/>
      <c r="HX35" s="267"/>
      <c r="HY35" s="267"/>
      <c r="HZ35" s="267"/>
      <c r="IA35" s="267"/>
      <c r="IB35" s="267"/>
      <c r="IC35" s="267"/>
      <c r="ID35" s="267"/>
      <c r="IE35" s="267"/>
      <c r="IF35" s="267"/>
      <c r="IG35" s="267"/>
      <c r="IH35" s="267"/>
      <c r="II35" s="267"/>
      <c r="IJ35" s="267"/>
      <c r="IK35" s="267"/>
      <c r="IL35" s="267"/>
      <c r="IM35" s="267"/>
      <c r="IN35" s="267"/>
      <c r="IO35" s="267"/>
      <c r="IP35" s="267"/>
      <c r="IQ35" s="267"/>
      <c r="IR35" s="267"/>
      <c r="IS35" s="267"/>
      <c r="IT35" s="267"/>
      <c r="IU35" s="267"/>
      <c r="IV35" s="267"/>
    </row>
    <row r="36" spans="1:16" s="271" customFormat="1" ht="36" customHeight="1" thickBot="1">
      <c r="A36" s="447">
        <v>28</v>
      </c>
      <c r="B36" s="1567" t="s">
        <v>13</v>
      </c>
      <c r="C36" s="1568"/>
      <c r="D36" s="1568"/>
      <c r="E36" s="1568"/>
      <c r="F36" s="1568"/>
      <c r="G36" s="1569"/>
      <c r="H36" s="588"/>
      <c r="I36" s="584">
        <f>I21+I19+I17+I15+I13+I11+I25+I33+I35+I23+I31+I29+I27</f>
        <v>0</v>
      </c>
      <c r="J36" s="584">
        <f>J21+J19+J17+J15+J13+J11+J25+J33+J35+J23+J31+J29+J27</f>
        <v>0</v>
      </c>
      <c r="K36" s="584">
        <f>K21+K19+K17+K15+K13+K11+K25+K33+K35+K23+K31+K29+K27</f>
        <v>169086</v>
      </c>
      <c r="L36" s="584">
        <f>L21+L19+L17+L15+L13+L11+L25+L33+L35+L23+L31+L29+L27</f>
        <v>349</v>
      </c>
      <c r="M36" s="584">
        <f>M21+M19+M17+M15+M13+M11+M25+M33+M35+M23+M31+M29+M27</f>
        <v>12184160</v>
      </c>
      <c r="N36" s="584">
        <f>N21+N19+N17+N15+N13+N11+N25+N33+N35+N23+N31+N29+N27</f>
        <v>40493</v>
      </c>
      <c r="O36" s="832">
        <f>SUM(I36:N36)</f>
        <v>12394088</v>
      </c>
      <c r="P36" s="585">
        <f>SUM(P10:P35)</f>
        <v>9620501</v>
      </c>
    </row>
    <row r="37" spans="2:15" ht="18" customHeight="1">
      <c r="B37" s="439" t="s">
        <v>27</v>
      </c>
      <c r="C37" s="440"/>
      <c r="D37" s="439"/>
      <c r="E37" s="278"/>
      <c r="F37" s="279"/>
      <c r="G37" s="278"/>
      <c r="H37" s="426"/>
      <c r="I37" s="278"/>
      <c r="J37" s="278"/>
      <c r="K37" s="278"/>
      <c r="L37" s="278"/>
      <c r="M37" s="278"/>
      <c r="N37" s="278"/>
      <c r="O37" s="449"/>
    </row>
    <row r="38" spans="2:15" ht="18" customHeight="1">
      <c r="B38" s="439" t="s">
        <v>28</v>
      </c>
      <c r="C38" s="440"/>
      <c r="D38" s="439"/>
      <c r="E38" s="376"/>
      <c r="F38" s="279"/>
      <c r="G38" s="278"/>
      <c r="H38" s="426"/>
      <c r="I38" s="278"/>
      <c r="J38" s="278"/>
      <c r="K38" s="278"/>
      <c r="L38" s="278"/>
      <c r="M38" s="278"/>
      <c r="N38" s="278"/>
      <c r="O38" s="449"/>
    </row>
    <row r="39" spans="2:15" ht="18" customHeight="1">
      <c r="B39" s="439" t="s">
        <v>29</v>
      </c>
      <c r="C39" s="440"/>
      <c r="D39" s="439"/>
      <c r="E39" s="376"/>
      <c r="F39" s="279"/>
      <c r="G39" s="278"/>
      <c r="H39" s="426"/>
      <c r="I39" s="278"/>
      <c r="J39" s="278"/>
      <c r="K39" s="278"/>
      <c r="L39" s="278"/>
      <c r="M39" s="278"/>
      <c r="N39" s="278"/>
      <c r="O39" s="449"/>
    </row>
    <row r="40" spans="2:3" ht="17.25">
      <c r="B40" s="275" t="s">
        <v>495</v>
      </c>
      <c r="C40" s="275"/>
    </row>
  </sheetData>
  <sheetProtection/>
  <mergeCells count="18">
    <mergeCell ref="A1:D1"/>
    <mergeCell ref="I1:P1"/>
    <mergeCell ref="A2:P2"/>
    <mergeCell ref="A3:P3"/>
    <mergeCell ref="B6:B8"/>
    <mergeCell ref="Q6:R6"/>
    <mergeCell ref="I7:L7"/>
    <mergeCell ref="M7:N7"/>
    <mergeCell ref="O7:O8"/>
    <mergeCell ref="B36:G36"/>
    <mergeCell ref="I6:O6"/>
    <mergeCell ref="P6:P8"/>
    <mergeCell ref="C6:C8"/>
    <mergeCell ref="D6:D8"/>
    <mergeCell ref="E6:E8"/>
    <mergeCell ref="F6:F8"/>
    <mergeCell ref="G6:G8"/>
    <mergeCell ref="H6:H8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landscape" paperSize="9" scale="60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6"/>
  <sheetViews>
    <sheetView view="pageBreakPreview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3.75390625" style="425" customWidth="1"/>
    <col min="2" max="3" width="5.75390625" style="466" customWidth="1"/>
    <col min="4" max="4" width="62.75390625" style="267" customWidth="1"/>
    <col min="5" max="5" width="12.75390625" style="465" customWidth="1"/>
    <col min="6" max="7" width="10.75390625" style="465" customWidth="1"/>
    <col min="8" max="8" width="6.75390625" style="428" customWidth="1"/>
    <col min="9" max="15" width="14.875" style="465" customWidth="1"/>
    <col min="16" max="16" width="15.75390625" style="448" customWidth="1"/>
    <col min="17" max="17" width="13.875" style="465" customWidth="1"/>
    <col min="18" max="16384" width="9.125" style="267" customWidth="1"/>
  </cols>
  <sheetData>
    <row r="1" spans="1:251" ht="18" customHeight="1">
      <c r="A1" s="1580" t="s">
        <v>825</v>
      </c>
      <c r="B1" s="1580"/>
      <c r="C1" s="1580"/>
      <c r="D1" s="1580"/>
      <c r="E1" s="376"/>
      <c r="F1" s="376"/>
      <c r="G1" s="376"/>
      <c r="H1" s="426"/>
      <c r="I1" s="1535"/>
      <c r="J1" s="1535"/>
      <c r="K1" s="1535"/>
      <c r="L1" s="1535"/>
      <c r="M1" s="1535"/>
      <c r="N1" s="1535"/>
      <c r="O1" s="1535"/>
      <c r="P1" s="1535"/>
      <c r="Q1" s="1535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7"/>
      <c r="AO1" s="427"/>
      <c r="AP1" s="427"/>
      <c r="AQ1" s="427"/>
      <c r="AR1" s="427"/>
      <c r="AS1" s="427"/>
      <c r="AT1" s="427"/>
      <c r="AU1" s="427"/>
      <c r="AV1" s="427"/>
      <c r="AW1" s="427"/>
      <c r="AX1" s="427"/>
      <c r="AY1" s="427"/>
      <c r="AZ1" s="427"/>
      <c r="BA1" s="427"/>
      <c r="BB1" s="427"/>
      <c r="BC1" s="427"/>
      <c r="BD1" s="427"/>
      <c r="BE1" s="427"/>
      <c r="BF1" s="427"/>
      <c r="BG1" s="427"/>
      <c r="BH1" s="427"/>
      <c r="BI1" s="427"/>
      <c r="BJ1" s="427"/>
      <c r="BK1" s="427"/>
      <c r="BL1" s="427"/>
      <c r="BM1" s="427"/>
      <c r="BN1" s="427"/>
      <c r="BO1" s="427"/>
      <c r="BP1" s="427"/>
      <c r="BQ1" s="427"/>
      <c r="BR1" s="427"/>
      <c r="BS1" s="427"/>
      <c r="BT1" s="427"/>
      <c r="BU1" s="427"/>
      <c r="BV1" s="427"/>
      <c r="BW1" s="427"/>
      <c r="BX1" s="427"/>
      <c r="BY1" s="427"/>
      <c r="BZ1" s="427"/>
      <c r="CA1" s="427"/>
      <c r="CB1" s="427"/>
      <c r="CC1" s="427"/>
      <c r="CD1" s="427"/>
      <c r="CE1" s="427"/>
      <c r="CF1" s="427"/>
      <c r="CG1" s="427"/>
      <c r="CH1" s="427"/>
      <c r="CI1" s="427"/>
      <c r="CJ1" s="427"/>
      <c r="CK1" s="427"/>
      <c r="CL1" s="427"/>
      <c r="CM1" s="427"/>
      <c r="CN1" s="427"/>
      <c r="CO1" s="427"/>
      <c r="CP1" s="427"/>
      <c r="CQ1" s="427"/>
      <c r="CR1" s="427"/>
      <c r="CS1" s="427"/>
      <c r="CT1" s="427"/>
      <c r="CU1" s="427"/>
      <c r="CV1" s="427"/>
      <c r="CW1" s="427"/>
      <c r="CX1" s="427"/>
      <c r="CY1" s="427"/>
      <c r="CZ1" s="427"/>
      <c r="DA1" s="427"/>
      <c r="DB1" s="427"/>
      <c r="DC1" s="427"/>
      <c r="DD1" s="427"/>
      <c r="DE1" s="427"/>
      <c r="DF1" s="427"/>
      <c r="DG1" s="427"/>
      <c r="DH1" s="427"/>
      <c r="DI1" s="427"/>
      <c r="DJ1" s="427"/>
      <c r="DK1" s="427"/>
      <c r="DL1" s="427"/>
      <c r="DM1" s="427"/>
      <c r="DN1" s="427"/>
      <c r="DO1" s="427"/>
      <c r="DP1" s="427"/>
      <c r="DQ1" s="427"/>
      <c r="DR1" s="427"/>
      <c r="DS1" s="427"/>
      <c r="DT1" s="427"/>
      <c r="DU1" s="427"/>
      <c r="DV1" s="427"/>
      <c r="DW1" s="427"/>
      <c r="DX1" s="427"/>
      <c r="DY1" s="427"/>
      <c r="DZ1" s="427"/>
      <c r="EA1" s="427"/>
      <c r="EB1" s="427"/>
      <c r="EC1" s="427"/>
      <c r="ED1" s="427"/>
      <c r="EE1" s="427"/>
      <c r="EF1" s="427"/>
      <c r="EG1" s="427"/>
      <c r="EH1" s="427"/>
      <c r="EI1" s="427"/>
      <c r="EJ1" s="427"/>
      <c r="EK1" s="427"/>
      <c r="EL1" s="427"/>
      <c r="EM1" s="427"/>
      <c r="EN1" s="427"/>
      <c r="EO1" s="427"/>
      <c r="EP1" s="427"/>
      <c r="EQ1" s="427"/>
      <c r="ER1" s="427"/>
      <c r="ES1" s="427"/>
      <c r="ET1" s="427"/>
      <c r="EU1" s="427"/>
      <c r="EV1" s="427"/>
      <c r="EW1" s="427"/>
      <c r="EX1" s="427"/>
      <c r="EY1" s="427"/>
      <c r="EZ1" s="427"/>
      <c r="FA1" s="427"/>
      <c r="FB1" s="427"/>
      <c r="FC1" s="427"/>
      <c r="FD1" s="427"/>
      <c r="FE1" s="427"/>
      <c r="FF1" s="427"/>
      <c r="FG1" s="427"/>
      <c r="FH1" s="427"/>
      <c r="FI1" s="427"/>
      <c r="FJ1" s="427"/>
      <c r="FK1" s="427"/>
      <c r="FL1" s="427"/>
      <c r="FM1" s="427"/>
      <c r="FN1" s="427"/>
      <c r="FO1" s="427"/>
      <c r="FP1" s="427"/>
      <c r="FQ1" s="427"/>
      <c r="FR1" s="427"/>
      <c r="FS1" s="427"/>
      <c r="FT1" s="427"/>
      <c r="FU1" s="427"/>
      <c r="FV1" s="427"/>
      <c r="FW1" s="427"/>
      <c r="FX1" s="427"/>
      <c r="FY1" s="427"/>
      <c r="FZ1" s="427"/>
      <c r="GA1" s="427"/>
      <c r="GB1" s="427"/>
      <c r="GC1" s="427"/>
      <c r="GD1" s="427"/>
      <c r="GE1" s="427"/>
      <c r="GF1" s="427"/>
      <c r="GG1" s="427"/>
      <c r="GH1" s="427"/>
      <c r="GI1" s="427"/>
      <c r="GJ1" s="427"/>
      <c r="GK1" s="427"/>
      <c r="GL1" s="427"/>
      <c r="GM1" s="427"/>
      <c r="GN1" s="427"/>
      <c r="GO1" s="427"/>
      <c r="GP1" s="427"/>
      <c r="GQ1" s="427"/>
      <c r="GR1" s="427"/>
      <c r="GS1" s="427"/>
      <c r="GT1" s="427"/>
      <c r="GU1" s="427"/>
      <c r="GV1" s="427"/>
      <c r="GW1" s="427"/>
      <c r="GX1" s="427"/>
      <c r="GY1" s="427"/>
      <c r="GZ1" s="427"/>
      <c r="HA1" s="427"/>
      <c r="HB1" s="427"/>
      <c r="HC1" s="427"/>
      <c r="HD1" s="427"/>
      <c r="HE1" s="427"/>
      <c r="HF1" s="427"/>
      <c r="HG1" s="427"/>
      <c r="HH1" s="427"/>
      <c r="HI1" s="427"/>
      <c r="HJ1" s="427"/>
      <c r="HK1" s="427"/>
      <c r="HL1" s="427"/>
      <c r="HM1" s="427"/>
      <c r="HN1" s="427"/>
      <c r="HO1" s="427"/>
      <c r="HP1" s="427"/>
      <c r="HQ1" s="427"/>
      <c r="HR1" s="427"/>
      <c r="HS1" s="427"/>
      <c r="HT1" s="427"/>
      <c r="HU1" s="427"/>
      <c r="HV1" s="427"/>
      <c r="HW1" s="427"/>
      <c r="HX1" s="427"/>
      <c r="HY1" s="427"/>
      <c r="HZ1" s="427"/>
      <c r="IA1" s="427"/>
      <c r="IB1" s="427"/>
      <c r="IC1" s="427"/>
      <c r="ID1" s="427"/>
      <c r="IE1" s="427"/>
      <c r="IF1" s="427"/>
      <c r="IG1" s="427"/>
      <c r="IH1" s="427"/>
      <c r="II1" s="427"/>
      <c r="IJ1" s="427"/>
      <c r="IK1" s="427"/>
      <c r="IL1" s="427"/>
      <c r="IM1" s="427"/>
      <c r="IN1" s="427"/>
      <c r="IO1" s="427"/>
      <c r="IP1" s="427"/>
      <c r="IQ1" s="427"/>
    </row>
    <row r="2" spans="1:17" ht="24.75" customHeight="1">
      <c r="A2" s="1536" t="s">
        <v>14</v>
      </c>
      <c r="B2" s="1536"/>
      <c r="C2" s="1536"/>
      <c r="D2" s="1536"/>
      <c r="E2" s="1536"/>
      <c r="F2" s="1536"/>
      <c r="G2" s="1536"/>
      <c r="H2" s="1536"/>
      <c r="I2" s="1536"/>
      <c r="J2" s="1536"/>
      <c r="K2" s="1536"/>
      <c r="L2" s="1536"/>
      <c r="M2" s="1536"/>
      <c r="N2" s="1536"/>
      <c r="O2" s="1536"/>
      <c r="P2" s="1536"/>
      <c r="Q2" s="1536"/>
    </row>
    <row r="3" spans="1:17" ht="24.75" customHeight="1">
      <c r="A3" s="1581" t="s">
        <v>670</v>
      </c>
      <c r="B3" s="1581"/>
      <c r="C3" s="1581"/>
      <c r="D3" s="1581"/>
      <c r="E3" s="1581"/>
      <c r="F3" s="1581"/>
      <c r="G3" s="1581"/>
      <c r="H3" s="1581"/>
      <c r="I3" s="1581"/>
      <c r="J3" s="1581"/>
      <c r="K3" s="1581"/>
      <c r="L3" s="1581"/>
      <c r="M3" s="1581"/>
      <c r="N3" s="1581"/>
      <c r="O3" s="1581"/>
      <c r="P3" s="1581"/>
      <c r="Q3" s="1581"/>
    </row>
    <row r="4" spans="1:17" s="499" customFormat="1" ht="18" customHeight="1">
      <c r="A4" s="425"/>
      <c r="B4" s="425"/>
      <c r="C4" s="425"/>
      <c r="E4" s="391"/>
      <c r="F4" s="391"/>
      <c r="G4" s="391"/>
      <c r="H4" s="500"/>
      <c r="I4" s="391"/>
      <c r="J4" s="391"/>
      <c r="K4" s="391"/>
      <c r="L4" s="391"/>
      <c r="M4" s="391"/>
      <c r="N4" s="391"/>
      <c r="O4" s="391"/>
      <c r="P4" s="501"/>
      <c r="Q4" s="397" t="s">
        <v>0</v>
      </c>
    </row>
    <row r="5" spans="1:251" s="505" customFormat="1" ht="18" customHeight="1" thickBot="1">
      <c r="A5" s="502"/>
      <c r="B5" s="503" t="s">
        <v>1</v>
      </c>
      <c r="C5" s="504" t="s">
        <v>3</v>
      </c>
      <c r="D5" s="504" t="s">
        <v>2</v>
      </c>
      <c r="E5" s="504" t="s">
        <v>4</v>
      </c>
      <c r="F5" s="504" t="s">
        <v>5</v>
      </c>
      <c r="G5" s="504" t="s">
        <v>15</v>
      </c>
      <c r="H5" s="504" t="s">
        <v>16</v>
      </c>
      <c r="I5" s="504" t="s">
        <v>17</v>
      </c>
      <c r="J5" s="504" t="s">
        <v>34</v>
      </c>
      <c r="K5" s="504" t="s">
        <v>30</v>
      </c>
      <c r="L5" s="504" t="s">
        <v>23</v>
      </c>
      <c r="M5" s="504" t="s">
        <v>35</v>
      </c>
      <c r="N5" s="504" t="s">
        <v>36</v>
      </c>
      <c r="O5" s="504" t="s">
        <v>145</v>
      </c>
      <c r="P5" s="504" t="s">
        <v>146</v>
      </c>
      <c r="Q5" s="504" t="s">
        <v>147</v>
      </c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2"/>
      <c r="AM5" s="502"/>
      <c r="AN5" s="502"/>
      <c r="AO5" s="502"/>
      <c r="AP5" s="502"/>
      <c r="AQ5" s="502"/>
      <c r="AR5" s="502"/>
      <c r="AS5" s="502"/>
      <c r="AT5" s="502"/>
      <c r="AU5" s="502"/>
      <c r="AV5" s="502"/>
      <c r="AW5" s="502"/>
      <c r="AX5" s="502"/>
      <c r="AY5" s="502"/>
      <c r="AZ5" s="502"/>
      <c r="BA5" s="502"/>
      <c r="BB5" s="502"/>
      <c r="BC5" s="502"/>
      <c r="BD5" s="502"/>
      <c r="BE5" s="502"/>
      <c r="BF5" s="502"/>
      <c r="BG5" s="502"/>
      <c r="BH5" s="502"/>
      <c r="BI5" s="502"/>
      <c r="BJ5" s="502"/>
      <c r="BK5" s="502"/>
      <c r="BL5" s="502"/>
      <c r="BM5" s="502"/>
      <c r="BN5" s="502"/>
      <c r="BO5" s="502"/>
      <c r="BP5" s="502"/>
      <c r="BQ5" s="502"/>
      <c r="BR5" s="502"/>
      <c r="BS5" s="502"/>
      <c r="BT5" s="502"/>
      <c r="BU5" s="502"/>
      <c r="BV5" s="502"/>
      <c r="BW5" s="502"/>
      <c r="BX5" s="502"/>
      <c r="BY5" s="502"/>
      <c r="BZ5" s="502"/>
      <c r="CA5" s="502"/>
      <c r="CB5" s="502"/>
      <c r="CC5" s="502"/>
      <c r="CD5" s="502"/>
      <c r="CE5" s="502"/>
      <c r="CF5" s="502"/>
      <c r="CG5" s="502"/>
      <c r="CH5" s="502"/>
      <c r="CI5" s="502"/>
      <c r="CJ5" s="502"/>
      <c r="CK5" s="502"/>
      <c r="CL5" s="502"/>
      <c r="CM5" s="502"/>
      <c r="CN5" s="502"/>
      <c r="CO5" s="502"/>
      <c r="CP5" s="502"/>
      <c r="CQ5" s="502"/>
      <c r="CR5" s="502"/>
      <c r="CS5" s="502"/>
      <c r="CT5" s="502"/>
      <c r="CU5" s="502"/>
      <c r="CV5" s="502"/>
      <c r="CW5" s="502"/>
      <c r="CX5" s="502"/>
      <c r="CY5" s="502"/>
      <c r="CZ5" s="502"/>
      <c r="DA5" s="502"/>
      <c r="DB5" s="502"/>
      <c r="DC5" s="502"/>
      <c r="DD5" s="502"/>
      <c r="DE5" s="502"/>
      <c r="DF5" s="502"/>
      <c r="DG5" s="502"/>
      <c r="DH5" s="502"/>
      <c r="DI5" s="502"/>
      <c r="DJ5" s="502"/>
      <c r="DK5" s="502"/>
      <c r="DL5" s="502"/>
      <c r="DM5" s="502"/>
      <c r="DN5" s="502"/>
      <c r="DO5" s="502"/>
      <c r="DP5" s="502"/>
      <c r="DQ5" s="502"/>
      <c r="DR5" s="502"/>
      <c r="DS5" s="502"/>
      <c r="DT5" s="502"/>
      <c r="DU5" s="502"/>
      <c r="DV5" s="502"/>
      <c r="DW5" s="502"/>
      <c r="DX5" s="502"/>
      <c r="DY5" s="502"/>
      <c r="DZ5" s="502"/>
      <c r="EA5" s="502"/>
      <c r="EB5" s="502"/>
      <c r="EC5" s="502"/>
      <c r="ED5" s="502"/>
      <c r="EE5" s="502"/>
      <c r="EF5" s="502"/>
      <c r="EG5" s="502"/>
      <c r="EH5" s="502"/>
      <c r="EI5" s="502"/>
      <c r="EJ5" s="502"/>
      <c r="EK5" s="502"/>
      <c r="EL5" s="502"/>
      <c r="EM5" s="502"/>
      <c r="EN5" s="502"/>
      <c r="EO5" s="502"/>
      <c r="EP5" s="502"/>
      <c r="EQ5" s="502"/>
      <c r="ER5" s="502"/>
      <c r="ES5" s="502"/>
      <c r="ET5" s="502"/>
      <c r="EU5" s="502"/>
      <c r="EV5" s="502"/>
      <c r="EW5" s="502"/>
      <c r="EX5" s="502"/>
      <c r="EY5" s="502"/>
      <c r="EZ5" s="502"/>
      <c r="FA5" s="502"/>
      <c r="FB5" s="502"/>
      <c r="FC5" s="502"/>
      <c r="FD5" s="502"/>
      <c r="FE5" s="502"/>
      <c r="FF5" s="502"/>
      <c r="FG5" s="502"/>
      <c r="FH5" s="502"/>
      <c r="FI5" s="502"/>
      <c r="FJ5" s="502"/>
      <c r="FK5" s="502"/>
      <c r="FL5" s="502"/>
      <c r="FM5" s="502"/>
      <c r="FN5" s="502"/>
      <c r="FO5" s="502"/>
      <c r="FP5" s="502"/>
      <c r="FQ5" s="502"/>
      <c r="FR5" s="502"/>
      <c r="FS5" s="502"/>
      <c r="FT5" s="502"/>
      <c r="FU5" s="502"/>
      <c r="FV5" s="502"/>
      <c r="FW5" s="502"/>
      <c r="FX5" s="502"/>
      <c r="FY5" s="502"/>
      <c r="FZ5" s="502"/>
      <c r="GA5" s="502"/>
      <c r="GB5" s="502"/>
      <c r="GC5" s="502"/>
      <c r="GD5" s="502"/>
      <c r="GE5" s="502"/>
      <c r="GF5" s="502"/>
      <c r="GG5" s="502"/>
      <c r="GH5" s="502"/>
      <c r="GI5" s="502"/>
      <c r="GJ5" s="502"/>
      <c r="GK5" s="502"/>
      <c r="GL5" s="502"/>
      <c r="GM5" s="502"/>
      <c r="GN5" s="502"/>
      <c r="GO5" s="502"/>
      <c r="GP5" s="502"/>
      <c r="GQ5" s="502"/>
      <c r="GR5" s="502"/>
      <c r="GS5" s="502"/>
      <c r="GT5" s="502"/>
      <c r="GU5" s="502"/>
      <c r="GV5" s="502"/>
      <c r="GW5" s="502"/>
      <c r="GX5" s="502"/>
      <c r="GY5" s="502"/>
      <c r="GZ5" s="502"/>
      <c r="HA5" s="502"/>
      <c r="HB5" s="502"/>
      <c r="HC5" s="502"/>
      <c r="HD5" s="502"/>
      <c r="HE5" s="502"/>
      <c r="HF5" s="502"/>
      <c r="HG5" s="502"/>
      <c r="HH5" s="502"/>
      <c r="HI5" s="502"/>
      <c r="HJ5" s="502"/>
      <c r="HK5" s="502"/>
      <c r="HL5" s="502"/>
      <c r="HM5" s="502"/>
      <c r="HN5" s="502"/>
      <c r="HO5" s="502"/>
      <c r="HP5" s="502"/>
      <c r="HQ5" s="502"/>
      <c r="HR5" s="502"/>
      <c r="HS5" s="502"/>
      <c r="HT5" s="502"/>
      <c r="HU5" s="502"/>
      <c r="HV5" s="502"/>
      <c r="HW5" s="502"/>
      <c r="HX5" s="502"/>
      <c r="HY5" s="502"/>
      <c r="HZ5" s="502"/>
      <c r="IA5" s="502"/>
      <c r="IB5" s="502"/>
      <c r="IC5" s="502"/>
      <c r="ID5" s="502"/>
      <c r="IE5" s="502"/>
      <c r="IF5" s="502"/>
      <c r="IG5" s="502"/>
      <c r="IH5" s="502"/>
      <c r="II5" s="502"/>
      <c r="IJ5" s="502"/>
      <c r="IK5" s="502"/>
      <c r="IL5" s="502"/>
      <c r="IM5" s="502"/>
      <c r="IN5" s="502"/>
      <c r="IO5" s="502"/>
      <c r="IP5" s="502"/>
      <c r="IQ5" s="502"/>
    </row>
    <row r="6" spans="2:19" ht="22.5" customHeight="1">
      <c r="B6" s="1574" t="s">
        <v>18</v>
      </c>
      <c r="C6" s="1570" t="s">
        <v>19</v>
      </c>
      <c r="D6" s="1582" t="s">
        <v>6</v>
      </c>
      <c r="E6" s="1577" t="s">
        <v>409</v>
      </c>
      <c r="F6" s="1577" t="s">
        <v>621</v>
      </c>
      <c r="G6" s="1585" t="s">
        <v>619</v>
      </c>
      <c r="H6" s="1559" t="s">
        <v>20</v>
      </c>
      <c r="I6" s="1588" t="s">
        <v>569</v>
      </c>
      <c r="J6" s="1577"/>
      <c r="K6" s="1577"/>
      <c r="L6" s="1577"/>
      <c r="M6" s="1577"/>
      <c r="N6" s="1577"/>
      <c r="O6" s="1577"/>
      <c r="P6" s="1589"/>
      <c r="Q6" s="1590" t="s">
        <v>579</v>
      </c>
      <c r="R6" s="1573"/>
      <c r="S6" s="1573"/>
    </row>
    <row r="7" spans="2:17" ht="33" customHeight="1">
      <c r="B7" s="1575"/>
      <c r="C7" s="1571"/>
      <c r="D7" s="1583"/>
      <c r="E7" s="1578"/>
      <c r="F7" s="1578"/>
      <c r="G7" s="1586"/>
      <c r="H7" s="1560"/>
      <c r="I7" s="1593" t="s">
        <v>411</v>
      </c>
      <c r="J7" s="1594"/>
      <c r="K7" s="1595"/>
      <c r="L7" s="1595"/>
      <c r="M7" s="1596" t="s">
        <v>148</v>
      </c>
      <c r="N7" s="1596"/>
      <c r="O7" s="1596"/>
      <c r="P7" s="1597" t="s">
        <v>115</v>
      </c>
      <c r="Q7" s="1591"/>
    </row>
    <row r="8" spans="2:17" ht="53.25" customHeight="1" thickBot="1">
      <c r="B8" s="1576"/>
      <c r="C8" s="1572"/>
      <c r="D8" s="1584"/>
      <c r="E8" s="1579"/>
      <c r="F8" s="1579"/>
      <c r="G8" s="1587"/>
      <c r="H8" s="1561"/>
      <c r="I8" s="521" t="s">
        <v>38</v>
      </c>
      <c r="J8" s="429" t="s">
        <v>406</v>
      </c>
      <c r="K8" s="430" t="s">
        <v>40</v>
      </c>
      <c r="L8" s="430" t="s">
        <v>408</v>
      </c>
      <c r="M8" s="429" t="s">
        <v>213</v>
      </c>
      <c r="N8" s="429" t="s">
        <v>214</v>
      </c>
      <c r="O8" s="429" t="s">
        <v>149</v>
      </c>
      <c r="P8" s="1598"/>
      <c r="Q8" s="1592"/>
    </row>
    <row r="9" spans="1:256" s="433" customFormat="1" ht="22.5" customHeight="1">
      <c r="A9" s="447">
        <v>1</v>
      </c>
      <c r="B9" s="431">
        <v>18</v>
      </c>
      <c r="C9" s="443" t="s">
        <v>14</v>
      </c>
      <c r="D9" s="509"/>
      <c r="E9" s="274"/>
      <c r="F9" s="272"/>
      <c r="G9" s="273"/>
      <c r="H9" s="525"/>
      <c r="I9" s="522"/>
      <c r="J9" s="450"/>
      <c r="K9" s="450"/>
      <c r="L9" s="450"/>
      <c r="M9" s="450"/>
      <c r="N9" s="450"/>
      <c r="O9" s="450"/>
      <c r="P9" s="432"/>
      <c r="Q9" s="435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7"/>
      <c r="DN9" s="267"/>
      <c r="DO9" s="267"/>
      <c r="DP9" s="267"/>
      <c r="DQ9" s="267"/>
      <c r="DR9" s="267"/>
      <c r="DS9" s="267"/>
      <c r="DT9" s="267"/>
      <c r="DU9" s="267"/>
      <c r="DV9" s="267"/>
      <c r="DW9" s="267"/>
      <c r="DX9" s="267"/>
      <c r="DY9" s="267"/>
      <c r="DZ9" s="267"/>
      <c r="EA9" s="267"/>
      <c r="EB9" s="267"/>
      <c r="EC9" s="267"/>
      <c r="ED9" s="267"/>
      <c r="EE9" s="267"/>
      <c r="EF9" s="267"/>
      <c r="EG9" s="267"/>
      <c r="EH9" s="267"/>
      <c r="EI9" s="267"/>
      <c r="EJ9" s="267"/>
      <c r="EK9" s="267"/>
      <c r="EL9" s="267"/>
      <c r="EM9" s="267"/>
      <c r="EN9" s="267"/>
      <c r="EO9" s="267"/>
      <c r="EP9" s="267"/>
      <c r="EQ9" s="267"/>
      <c r="ER9" s="267"/>
      <c r="ES9" s="267"/>
      <c r="ET9" s="267"/>
      <c r="EU9" s="267"/>
      <c r="EV9" s="267"/>
      <c r="EW9" s="267"/>
      <c r="EX9" s="267"/>
      <c r="EY9" s="267"/>
      <c r="EZ9" s="267"/>
      <c r="FA9" s="267"/>
      <c r="FB9" s="267"/>
      <c r="FC9" s="267"/>
      <c r="FD9" s="267"/>
      <c r="FE9" s="267"/>
      <c r="FF9" s="267"/>
      <c r="FG9" s="267"/>
      <c r="FH9" s="267"/>
      <c r="FI9" s="267"/>
      <c r="FJ9" s="267"/>
      <c r="FK9" s="267"/>
      <c r="FL9" s="267"/>
      <c r="FM9" s="267"/>
      <c r="FN9" s="267"/>
      <c r="FO9" s="267"/>
      <c r="FP9" s="267"/>
      <c r="FQ9" s="267"/>
      <c r="FR9" s="267"/>
      <c r="FS9" s="267"/>
      <c r="FT9" s="267"/>
      <c r="FU9" s="267"/>
      <c r="FV9" s="267"/>
      <c r="FW9" s="267"/>
      <c r="FX9" s="267"/>
      <c r="FY9" s="267"/>
      <c r="FZ9" s="267"/>
      <c r="GA9" s="267"/>
      <c r="GB9" s="267"/>
      <c r="GC9" s="267"/>
      <c r="GD9" s="267"/>
      <c r="GE9" s="267"/>
      <c r="GF9" s="267"/>
      <c r="GG9" s="267"/>
      <c r="GH9" s="267"/>
      <c r="GI9" s="267"/>
      <c r="GJ9" s="267"/>
      <c r="GK9" s="267"/>
      <c r="GL9" s="267"/>
      <c r="GM9" s="267"/>
      <c r="GN9" s="267"/>
      <c r="GO9" s="267"/>
      <c r="GP9" s="267"/>
      <c r="GQ9" s="267"/>
      <c r="GR9" s="267"/>
      <c r="GS9" s="267"/>
      <c r="GT9" s="267"/>
      <c r="GU9" s="267"/>
      <c r="GV9" s="267"/>
      <c r="GW9" s="267"/>
      <c r="GX9" s="267"/>
      <c r="GY9" s="267"/>
      <c r="GZ9" s="267"/>
      <c r="HA9" s="267"/>
      <c r="HB9" s="267"/>
      <c r="HC9" s="267"/>
      <c r="HD9" s="267"/>
      <c r="HE9" s="267"/>
      <c r="HF9" s="267"/>
      <c r="HG9" s="267"/>
      <c r="HH9" s="267"/>
      <c r="HI9" s="267"/>
      <c r="HJ9" s="267"/>
      <c r="HK9" s="267"/>
      <c r="HL9" s="267"/>
      <c r="HM9" s="267"/>
      <c r="HN9" s="267"/>
      <c r="HO9" s="267"/>
      <c r="HP9" s="267"/>
      <c r="HQ9" s="267"/>
      <c r="HR9" s="267"/>
      <c r="HS9" s="267"/>
      <c r="HT9" s="267"/>
      <c r="HU9" s="267"/>
      <c r="HV9" s="267"/>
      <c r="HW9" s="267"/>
      <c r="HX9" s="267"/>
      <c r="HY9" s="267"/>
      <c r="HZ9" s="267"/>
      <c r="IA9" s="267"/>
      <c r="IB9" s="267"/>
      <c r="IC9" s="267"/>
      <c r="ID9" s="267"/>
      <c r="IE9" s="267"/>
      <c r="IF9" s="267"/>
      <c r="IG9" s="267"/>
      <c r="IH9" s="267"/>
      <c r="II9" s="267"/>
      <c r="IJ9" s="267"/>
      <c r="IK9" s="267"/>
      <c r="IL9" s="267"/>
      <c r="IM9" s="267"/>
      <c r="IN9" s="267"/>
      <c r="IO9" s="267"/>
      <c r="IP9" s="267"/>
      <c r="IQ9" s="267"/>
      <c r="IR9" s="267"/>
      <c r="IS9" s="267"/>
      <c r="IT9" s="267"/>
      <c r="IU9" s="267"/>
      <c r="IV9" s="267"/>
    </row>
    <row r="10" spans="1:256" s="433" customFormat="1" ht="24.75" customHeight="1">
      <c r="A10" s="447">
        <v>2</v>
      </c>
      <c r="B10" s="431"/>
      <c r="C10" s="556">
        <v>1</v>
      </c>
      <c r="D10" s="553" t="s">
        <v>533</v>
      </c>
      <c r="E10" s="274"/>
      <c r="F10" s="272"/>
      <c r="G10" s="273"/>
      <c r="H10" s="525" t="s">
        <v>24</v>
      </c>
      <c r="I10" s="434"/>
      <c r="J10" s="434"/>
      <c r="K10" s="434"/>
      <c r="L10" s="434"/>
      <c r="M10" s="434"/>
      <c r="N10" s="434"/>
      <c r="O10" s="434"/>
      <c r="P10" s="442"/>
      <c r="Q10" s="435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  <c r="CJ10" s="267"/>
      <c r="CK10" s="267"/>
      <c r="CL10" s="267"/>
      <c r="CM10" s="267"/>
      <c r="CN10" s="267"/>
      <c r="CO10" s="267"/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267"/>
      <c r="DA10" s="267"/>
      <c r="DB10" s="267"/>
      <c r="DC10" s="267"/>
      <c r="DD10" s="267"/>
      <c r="DE10" s="267"/>
      <c r="DF10" s="267"/>
      <c r="DG10" s="267"/>
      <c r="DH10" s="267"/>
      <c r="DI10" s="267"/>
      <c r="DJ10" s="267"/>
      <c r="DK10" s="267"/>
      <c r="DL10" s="267"/>
      <c r="DM10" s="267"/>
      <c r="DN10" s="267"/>
      <c r="DO10" s="267"/>
      <c r="DP10" s="267"/>
      <c r="DQ10" s="267"/>
      <c r="DR10" s="267"/>
      <c r="DS10" s="267"/>
      <c r="DT10" s="267"/>
      <c r="DU10" s="267"/>
      <c r="DV10" s="267"/>
      <c r="DW10" s="267"/>
      <c r="DX10" s="267"/>
      <c r="DY10" s="267"/>
      <c r="DZ10" s="267"/>
      <c r="EA10" s="267"/>
      <c r="EB10" s="267"/>
      <c r="EC10" s="267"/>
      <c r="ED10" s="267"/>
      <c r="EE10" s="267"/>
      <c r="EF10" s="267"/>
      <c r="EG10" s="267"/>
      <c r="EH10" s="267"/>
      <c r="EI10" s="267"/>
      <c r="EJ10" s="267"/>
      <c r="EK10" s="267"/>
      <c r="EL10" s="267"/>
      <c r="EM10" s="267"/>
      <c r="EN10" s="267"/>
      <c r="EO10" s="267"/>
      <c r="EP10" s="267"/>
      <c r="EQ10" s="267"/>
      <c r="ER10" s="267"/>
      <c r="ES10" s="267"/>
      <c r="ET10" s="267"/>
      <c r="EU10" s="267"/>
      <c r="EV10" s="267"/>
      <c r="EW10" s="267"/>
      <c r="EX10" s="267"/>
      <c r="EY10" s="267"/>
      <c r="EZ10" s="267"/>
      <c r="FA10" s="267"/>
      <c r="FB10" s="267"/>
      <c r="FC10" s="267"/>
      <c r="FD10" s="267"/>
      <c r="FE10" s="267"/>
      <c r="FF10" s="267"/>
      <c r="FG10" s="267"/>
      <c r="FH10" s="267"/>
      <c r="FI10" s="267"/>
      <c r="FJ10" s="267"/>
      <c r="FK10" s="267"/>
      <c r="FL10" s="267"/>
      <c r="FM10" s="267"/>
      <c r="FN10" s="267"/>
      <c r="FO10" s="267"/>
      <c r="FP10" s="267"/>
      <c r="FQ10" s="267"/>
      <c r="FR10" s="267"/>
      <c r="FS10" s="267"/>
      <c r="FT10" s="267"/>
      <c r="FU10" s="267"/>
      <c r="FV10" s="267"/>
      <c r="FW10" s="267"/>
      <c r="FX10" s="267"/>
      <c r="FY10" s="267"/>
      <c r="FZ10" s="267"/>
      <c r="GA10" s="267"/>
      <c r="GB10" s="267"/>
      <c r="GC10" s="267"/>
      <c r="GD10" s="267"/>
      <c r="GE10" s="267"/>
      <c r="GF10" s="267"/>
      <c r="GG10" s="267"/>
      <c r="GH10" s="267"/>
      <c r="GI10" s="267"/>
      <c r="GJ10" s="267"/>
      <c r="GK10" s="267"/>
      <c r="GL10" s="267"/>
      <c r="GM10" s="267"/>
      <c r="GN10" s="267"/>
      <c r="GO10" s="267"/>
      <c r="GP10" s="267"/>
      <c r="GQ10" s="267"/>
      <c r="GR10" s="267"/>
      <c r="GS10" s="267"/>
      <c r="GT10" s="267"/>
      <c r="GU10" s="267"/>
      <c r="GV10" s="267"/>
      <c r="GW10" s="267"/>
      <c r="GX10" s="267"/>
      <c r="GY10" s="267"/>
      <c r="GZ10" s="267"/>
      <c r="HA10" s="267"/>
      <c r="HB10" s="267"/>
      <c r="HC10" s="267"/>
      <c r="HD10" s="267"/>
      <c r="HE10" s="267"/>
      <c r="HF10" s="267"/>
      <c r="HG10" s="267"/>
      <c r="HH10" s="267"/>
      <c r="HI10" s="267"/>
      <c r="HJ10" s="267"/>
      <c r="HK10" s="267"/>
      <c r="HL10" s="267"/>
      <c r="HM10" s="267"/>
      <c r="HN10" s="267"/>
      <c r="HO10" s="267"/>
      <c r="HP10" s="267"/>
      <c r="HQ10" s="267"/>
      <c r="HR10" s="267"/>
      <c r="HS10" s="267"/>
      <c r="HT10" s="267"/>
      <c r="HU10" s="267"/>
      <c r="HV10" s="267"/>
      <c r="HW10" s="267"/>
      <c r="HX10" s="267"/>
      <c r="HY10" s="267"/>
      <c r="HZ10" s="267"/>
      <c r="IA10" s="267"/>
      <c r="IB10" s="267"/>
      <c r="IC10" s="267"/>
      <c r="ID10" s="267"/>
      <c r="IE10" s="267"/>
      <c r="IF10" s="267"/>
      <c r="IG10" s="267"/>
      <c r="IH10" s="267"/>
      <c r="II10" s="267"/>
      <c r="IJ10" s="267"/>
      <c r="IK10" s="267"/>
      <c r="IL10" s="267"/>
      <c r="IM10" s="267"/>
      <c r="IN10" s="267"/>
      <c r="IO10" s="267"/>
      <c r="IP10" s="267"/>
      <c r="IQ10" s="267"/>
      <c r="IR10" s="267"/>
      <c r="IS10" s="267"/>
      <c r="IT10" s="267"/>
      <c r="IU10" s="267"/>
      <c r="IV10" s="267"/>
    </row>
    <row r="11" spans="1:256" s="433" customFormat="1" ht="22.5" customHeight="1">
      <c r="A11" s="447">
        <v>3</v>
      </c>
      <c r="B11" s="441"/>
      <c r="C11" s="285"/>
      <c r="D11" s="548" t="s">
        <v>446</v>
      </c>
      <c r="E11" s="276"/>
      <c r="F11" s="437"/>
      <c r="G11" s="277"/>
      <c r="H11" s="526"/>
      <c r="I11" s="523"/>
      <c r="J11" s="434"/>
      <c r="K11" s="434"/>
      <c r="L11" s="434"/>
      <c r="M11" s="434"/>
      <c r="N11" s="434"/>
      <c r="O11" s="434"/>
      <c r="P11" s="442"/>
      <c r="Q11" s="438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267"/>
      <c r="BW11" s="267"/>
      <c r="BX11" s="267"/>
      <c r="BY11" s="267"/>
      <c r="BZ11" s="267"/>
      <c r="CA11" s="267"/>
      <c r="CB11" s="267"/>
      <c r="CC11" s="267"/>
      <c r="CD11" s="267"/>
      <c r="CE11" s="267"/>
      <c r="CF11" s="267"/>
      <c r="CG11" s="267"/>
      <c r="CH11" s="267"/>
      <c r="CI11" s="267"/>
      <c r="CJ11" s="267"/>
      <c r="CK11" s="267"/>
      <c r="CL11" s="267"/>
      <c r="CM11" s="267"/>
      <c r="CN11" s="267"/>
      <c r="CO11" s="267"/>
      <c r="CP11" s="267"/>
      <c r="CQ11" s="267"/>
      <c r="CR11" s="267"/>
      <c r="CS11" s="267"/>
      <c r="CT11" s="267"/>
      <c r="CU11" s="267"/>
      <c r="CV11" s="267"/>
      <c r="CW11" s="267"/>
      <c r="CX11" s="267"/>
      <c r="CY11" s="267"/>
      <c r="CZ11" s="267"/>
      <c r="DA11" s="267"/>
      <c r="DB11" s="267"/>
      <c r="DC11" s="267"/>
      <c r="DD11" s="267"/>
      <c r="DE11" s="267"/>
      <c r="DF11" s="267"/>
      <c r="DG11" s="267"/>
      <c r="DH11" s="267"/>
      <c r="DI11" s="267"/>
      <c r="DJ11" s="267"/>
      <c r="DK11" s="267"/>
      <c r="DL11" s="267"/>
      <c r="DM11" s="267"/>
      <c r="DN11" s="267"/>
      <c r="DO11" s="267"/>
      <c r="DP11" s="267"/>
      <c r="DQ11" s="267"/>
      <c r="DR11" s="267"/>
      <c r="DS11" s="267"/>
      <c r="DT11" s="267"/>
      <c r="DU11" s="267"/>
      <c r="DV11" s="267"/>
      <c r="DW11" s="267"/>
      <c r="DX11" s="267"/>
      <c r="DY11" s="267"/>
      <c r="DZ11" s="267"/>
      <c r="EA11" s="267"/>
      <c r="EB11" s="267"/>
      <c r="EC11" s="267"/>
      <c r="ED11" s="267"/>
      <c r="EE11" s="267"/>
      <c r="EF11" s="267"/>
      <c r="EG11" s="267"/>
      <c r="EH11" s="267"/>
      <c r="EI11" s="267"/>
      <c r="EJ11" s="267"/>
      <c r="EK11" s="267"/>
      <c r="EL11" s="267"/>
      <c r="EM11" s="267"/>
      <c r="EN11" s="267"/>
      <c r="EO11" s="267"/>
      <c r="EP11" s="267"/>
      <c r="EQ11" s="267"/>
      <c r="ER11" s="267"/>
      <c r="ES11" s="267"/>
      <c r="ET11" s="267"/>
      <c r="EU11" s="267"/>
      <c r="EV11" s="267"/>
      <c r="EW11" s="267"/>
      <c r="EX11" s="267"/>
      <c r="EY11" s="267"/>
      <c r="EZ11" s="267"/>
      <c r="FA11" s="267"/>
      <c r="FB11" s="267"/>
      <c r="FC11" s="267"/>
      <c r="FD11" s="267"/>
      <c r="FE11" s="267"/>
      <c r="FF11" s="267"/>
      <c r="FG11" s="267"/>
      <c r="FH11" s="267"/>
      <c r="FI11" s="267"/>
      <c r="FJ11" s="267"/>
      <c r="FK11" s="267"/>
      <c r="FL11" s="267"/>
      <c r="FM11" s="267"/>
      <c r="FN11" s="267"/>
      <c r="FO11" s="267"/>
      <c r="FP11" s="267"/>
      <c r="FQ11" s="267"/>
      <c r="FR11" s="267"/>
      <c r="FS11" s="267"/>
      <c r="FT11" s="267"/>
      <c r="FU11" s="267"/>
      <c r="FV11" s="267"/>
      <c r="FW11" s="267"/>
      <c r="FX11" s="267"/>
      <c r="FY11" s="267"/>
      <c r="FZ11" s="267"/>
      <c r="GA11" s="267"/>
      <c r="GB11" s="267"/>
      <c r="GC11" s="267"/>
      <c r="GD11" s="267"/>
      <c r="GE11" s="267"/>
      <c r="GF11" s="267"/>
      <c r="GG11" s="267"/>
      <c r="GH11" s="267"/>
      <c r="GI11" s="267"/>
      <c r="GJ11" s="267"/>
      <c r="GK11" s="267"/>
      <c r="GL11" s="267"/>
      <c r="GM11" s="267"/>
      <c r="GN11" s="267"/>
      <c r="GO11" s="267"/>
      <c r="GP11" s="267"/>
      <c r="GQ11" s="267"/>
      <c r="GR11" s="267"/>
      <c r="GS11" s="267"/>
      <c r="GT11" s="267"/>
      <c r="GU11" s="267"/>
      <c r="GV11" s="267"/>
      <c r="GW11" s="267"/>
      <c r="GX11" s="267"/>
      <c r="GY11" s="267"/>
      <c r="GZ11" s="267"/>
      <c r="HA11" s="267"/>
      <c r="HB11" s="267"/>
      <c r="HC11" s="267"/>
      <c r="HD11" s="267"/>
      <c r="HE11" s="267"/>
      <c r="HF11" s="267"/>
      <c r="HG11" s="267"/>
      <c r="HH11" s="267"/>
      <c r="HI11" s="267"/>
      <c r="HJ11" s="267"/>
      <c r="HK11" s="267"/>
      <c r="HL11" s="267"/>
      <c r="HM11" s="267"/>
      <c r="HN11" s="267"/>
      <c r="HO11" s="267"/>
      <c r="HP11" s="267"/>
      <c r="HQ11" s="267"/>
      <c r="HR11" s="267"/>
      <c r="HS11" s="267"/>
      <c r="HT11" s="267"/>
      <c r="HU11" s="267"/>
      <c r="HV11" s="267"/>
      <c r="HW11" s="267"/>
      <c r="HX11" s="267"/>
      <c r="HY11" s="267"/>
      <c r="HZ11" s="267"/>
      <c r="IA11" s="267"/>
      <c r="IB11" s="267"/>
      <c r="IC11" s="267"/>
      <c r="ID11" s="267"/>
      <c r="IE11" s="267"/>
      <c r="IF11" s="267"/>
      <c r="IG11" s="267"/>
      <c r="IH11" s="267"/>
      <c r="II11" s="267"/>
      <c r="IJ11" s="267"/>
      <c r="IK11" s="267"/>
      <c r="IL11" s="267"/>
      <c r="IM11" s="267"/>
      <c r="IN11" s="267"/>
      <c r="IO11" s="267"/>
      <c r="IP11" s="267"/>
      <c r="IQ11" s="267"/>
      <c r="IR11" s="267"/>
      <c r="IS11" s="267"/>
      <c r="IT11" s="267"/>
      <c r="IU11" s="267"/>
      <c r="IV11" s="267"/>
    </row>
    <row r="12" spans="1:17" s="519" customFormat="1" ht="18" customHeight="1" thickBot="1">
      <c r="A12" s="447">
        <v>4</v>
      </c>
      <c r="B12" s="511"/>
      <c r="C12" s="285"/>
      <c r="D12" s="513" t="s">
        <v>283</v>
      </c>
      <c r="E12" s="276">
        <f>F12+G12+P12+64</f>
        <v>380582</v>
      </c>
      <c r="F12" s="550"/>
      <c r="G12" s="277">
        <f>329009+35483</f>
        <v>364492</v>
      </c>
      <c r="H12" s="527"/>
      <c r="I12" s="542">
        <v>32</v>
      </c>
      <c r="J12" s="538">
        <v>24</v>
      </c>
      <c r="K12" s="538">
        <v>15970</v>
      </c>
      <c r="L12" s="517"/>
      <c r="M12" s="538"/>
      <c r="N12" s="538"/>
      <c r="O12" s="517"/>
      <c r="P12" s="510">
        <f>SUM(I12:O12)</f>
        <v>16026</v>
      </c>
      <c r="Q12" s="518"/>
    </row>
    <row r="13" spans="1:17" s="519" customFormat="1" ht="24.75" customHeight="1" thickBot="1" thickTop="1">
      <c r="A13" s="447">
        <v>5</v>
      </c>
      <c r="B13" s="511"/>
      <c r="C13" s="575"/>
      <c r="D13" s="576" t="s">
        <v>534</v>
      </c>
      <c r="E13" s="836">
        <f>+E12</f>
        <v>380582</v>
      </c>
      <c r="F13" s="836">
        <f>+F12+F11</f>
        <v>0</v>
      </c>
      <c r="G13" s="836">
        <f>+G12</f>
        <v>364492</v>
      </c>
      <c r="H13" s="582"/>
      <c r="I13" s="583">
        <f>+I12</f>
        <v>32</v>
      </c>
      <c r="J13" s="583">
        <f aca="true" t="shared" si="0" ref="J13:O13">+J12</f>
        <v>24</v>
      </c>
      <c r="K13" s="583">
        <f t="shared" si="0"/>
        <v>15970</v>
      </c>
      <c r="L13" s="583">
        <f t="shared" si="0"/>
        <v>0</v>
      </c>
      <c r="M13" s="583">
        <f t="shared" si="0"/>
        <v>0</v>
      </c>
      <c r="N13" s="583">
        <f t="shared" si="0"/>
        <v>0</v>
      </c>
      <c r="O13" s="583">
        <f t="shared" si="0"/>
        <v>0</v>
      </c>
      <c r="P13" s="583">
        <f>SUM(I13:O13)</f>
        <v>16026</v>
      </c>
      <c r="Q13" s="577"/>
    </row>
    <row r="14" spans="1:17" s="519" customFormat="1" ht="24.75" customHeight="1" thickTop="1">
      <c r="A14" s="447">
        <v>6</v>
      </c>
      <c r="B14" s="511"/>
      <c r="C14" s="556">
        <v>2</v>
      </c>
      <c r="D14" s="564" t="s">
        <v>558</v>
      </c>
      <c r="E14" s="557"/>
      <c r="F14" s="558"/>
      <c r="G14" s="559"/>
      <c r="H14" s="525" t="s">
        <v>24</v>
      </c>
      <c r="I14" s="560"/>
      <c r="J14" s="561"/>
      <c r="K14" s="562"/>
      <c r="L14" s="561"/>
      <c r="M14" s="561"/>
      <c r="N14" s="561"/>
      <c r="O14" s="561"/>
      <c r="P14" s="563"/>
      <c r="Q14" s="566"/>
    </row>
    <row r="15" spans="1:256" s="433" customFormat="1" ht="22.5" customHeight="1">
      <c r="A15" s="447">
        <v>7</v>
      </c>
      <c r="B15" s="441"/>
      <c r="C15" s="285"/>
      <c r="D15" s="548" t="s">
        <v>446</v>
      </c>
      <c r="E15" s="276"/>
      <c r="F15" s="437"/>
      <c r="G15" s="277"/>
      <c r="H15" s="526"/>
      <c r="I15" s="523"/>
      <c r="J15" s="434"/>
      <c r="K15" s="434"/>
      <c r="L15" s="434"/>
      <c r="M15" s="434"/>
      <c r="N15" s="434"/>
      <c r="O15" s="434"/>
      <c r="P15" s="442"/>
      <c r="Q15" s="438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  <c r="BN15" s="267"/>
      <c r="BO15" s="267"/>
      <c r="BP15" s="267"/>
      <c r="BQ15" s="267"/>
      <c r="BR15" s="267"/>
      <c r="BS15" s="267"/>
      <c r="BT15" s="267"/>
      <c r="BU15" s="267"/>
      <c r="BV15" s="267"/>
      <c r="BW15" s="267"/>
      <c r="BX15" s="267"/>
      <c r="BY15" s="267"/>
      <c r="BZ15" s="267"/>
      <c r="CA15" s="267"/>
      <c r="CB15" s="267"/>
      <c r="CC15" s="267"/>
      <c r="CD15" s="267"/>
      <c r="CE15" s="267"/>
      <c r="CF15" s="267"/>
      <c r="CG15" s="267"/>
      <c r="CH15" s="267"/>
      <c r="CI15" s="267"/>
      <c r="CJ15" s="267"/>
      <c r="CK15" s="267"/>
      <c r="CL15" s="267"/>
      <c r="CM15" s="267"/>
      <c r="CN15" s="267"/>
      <c r="CO15" s="267"/>
      <c r="CP15" s="267"/>
      <c r="CQ15" s="267"/>
      <c r="CR15" s="267"/>
      <c r="CS15" s="267"/>
      <c r="CT15" s="267"/>
      <c r="CU15" s="267"/>
      <c r="CV15" s="267"/>
      <c r="CW15" s="267"/>
      <c r="CX15" s="267"/>
      <c r="CY15" s="267"/>
      <c r="CZ15" s="267"/>
      <c r="DA15" s="267"/>
      <c r="DB15" s="267"/>
      <c r="DC15" s="267"/>
      <c r="DD15" s="267"/>
      <c r="DE15" s="267"/>
      <c r="DF15" s="267"/>
      <c r="DG15" s="267"/>
      <c r="DH15" s="267"/>
      <c r="DI15" s="267"/>
      <c r="DJ15" s="267"/>
      <c r="DK15" s="267"/>
      <c r="DL15" s="267"/>
      <c r="DM15" s="267"/>
      <c r="DN15" s="267"/>
      <c r="DO15" s="267"/>
      <c r="DP15" s="267"/>
      <c r="DQ15" s="267"/>
      <c r="DR15" s="267"/>
      <c r="DS15" s="267"/>
      <c r="DT15" s="267"/>
      <c r="DU15" s="267"/>
      <c r="DV15" s="267"/>
      <c r="DW15" s="267"/>
      <c r="DX15" s="267"/>
      <c r="DY15" s="267"/>
      <c r="DZ15" s="267"/>
      <c r="EA15" s="267"/>
      <c r="EB15" s="267"/>
      <c r="EC15" s="267"/>
      <c r="ED15" s="267"/>
      <c r="EE15" s="267"/>
      <c r="EF15" s="267"/>
      <c r="EG15" s="267"/>
      <c r="EH15" s="267"/>
      <c r="EI15" s="267"/>
      <c r="EJ15" s="267"/>
      <c r="EK15" s="267"/>
      <c r="EL15" s="267"/>
      <c r="EM15" s="267"/>
      <c r="EN15" s="267"/>
      <c r="EO15" s="267"/>
      <c r="EP15" s="267"/>
      <c r="EQ15" s="267"/>
      <c r="ER15" s="267"/>
      <c r="ES15" s="267"/>
      <c r="ET15" s="267"/>
      <c r="EU15" s="267"/>
      <c r="EV15" s="267"/>
      <c r="EW15" s="267"/>
      <c r="EX15" s="267"/>
      <c r="EY15" s="267"/>
      <c r="EZ15" s="267"/>
      <c r="FA15" s="267"/>
      <c r="FB15" s="267"/>
      <c r="FC15" s="267"/>
      <c r="FD15" s="267"/>
      <c r="FE15" s="267"/>
      <c r="FF15" s="267"/>
      <c r="FG15" s="267"/>
      <c r="FH15" s="267"/>
      <c r="FI15" s="267"/>
      <c r="FJ15" s="267"/>
      <c r="FK15" s="267"/>
      <c r="FL15" s="267"/>
      <c r="FM15" s="267"/>
      <c r="FN15" s="267"/>
      <c r="FO15" s="267"/>
      <c r="FP15" s="267"/>
      <c r="FQ15" s="267"/>
      <c r="FR15" s="267"/>
      <c r="FS15" s="267"/>
      <c r="FT15" s="267"/>
      <c r="FU15" s="267"/>
      <c r="FV15" s="267"/>
      <c r="FW15" s="267"/>
      <c r="FX15" s="267"/>
      <c r="FY15" s="267"/>
      <c r="FZ15" s="267"/>
      <c r="GA15" s="267"/>
      <c r="GB15" s="267"/>
      <c r="GC15" s="267"/>
      <c r="GD15" s="267"/>
      <c r="GE15" s="267"/>
      <c r="GF15" s="267"/>
      <c r="GG15" s="267"/>
      <c r="GH15" s="267"/>
      <c r="GI15" s="267"/>
      <c r="GJ15" s="267"/>
      <c r="GK15" s="267"/>
      <c r="GL15" s="267"/>
      <c r="GM15" s="267"/>
      <c r="GN15" s="267"/>
      <c r="GO15" s="267"/>
      <c r="GP15" s="267"/>
      <c r="GQ15" s="267"/>
      <c r="GR15" s="267"/>
      <c r="GS15" s="267"/>
      <c r="GT15" s="267"/>
      <c r="GU15" s="267"/>
      <c r="GV15" s="267"/>
      <c r="GW15" s="267"/>
      <c r="GX15" s="267"/>
      <c r="GY15" s="267"/>
      <c r="GZ15" s="267"/>
      <c r="HA15" s="267"/>
      <c r="HB15" s="267"/>
      <c r="HC15" s="267"/>
      <c r="HD15" s="267"/>
      <c r="HE15" s="267"/>
      <c r="HF15" s="267"/>
      <c r="HG15" s="267"/>
      <c r="HH15" s="267"/>
      <c r="HI15" s="267"/>
      <c r="HJ15" s="267"/>
      <c r="HK15" s="267"/>
      <c r="HL15" s="267"/>
      <c r="HM15" s="267"/>
      <c r="HN15" s="267"/>
      <c r="HO15" s="267"/>
      <c r="HP15" s="267"/>
      <c r="HQ15" s="267"/>
      <c r="HR15" s="267"/>
      <c r="HS15" s="267"/>
      <c r="HT15" s="267"/>
      <c r="HU15" s="267"/>
      <c r="HV15" s="267"/>
      <c r="HW15" s="267"/>
      <c r="HX15" s="267"/>
      <c r="HY15" s="267"/>
      <c r="HZ15" s="267"/>
      <c r="IA15" s="267"/>
      <c r="IB15" s="267"/>
      <c r="IC15" s="267"/>
      <c r="ID15" s="267"/>
      <c r="IE15" s="267"/>
      <c r="IF15" s="267"/>
      <c r="IG15" s="267"/>
      <c r="IH15" s="267"/>
      <c r="II15" s="267"/>
      <c r="IJ15" s="267"/>
      <c r="IK15" s="267"/>
      <c r="IL15" s="267"/>
      <c r="IM15" s="267"/>
      <c r="IN15" s="267"/>
      <c r="IO15" s="267"/>
      <c r="IP15" s="267"/>
      <c r="IQ15" s="267"/>
      <c r="IR15" s="267"/>
      <c r="IS15" s="267"/>
      <c r="IT15" s="267"/>
      <c r="IU15" s="267"/>
      <c r="IV15" s="267"/>
    </row>
    <row r="16" spans="1:17" s="519" customFormat="1" ht="18" customHeight="1">
      <c r="A16" s="447">
        <v>8</v>
      </c>
      <c r="B16" s="511"/>
      <c r="C16" s="285"/>
      <c r="D16" s="513" t="s">
        <v>283</v>
      </c>
      <c r="E16" s="276">
        <f>F16+G16+P16</f>
        <v>183569</v>
      </c>
      <c r="F16" s="515"/>
      <c r="G16" s="277">
        <f>10046+94596</f>
        <v>104642</v>
      </c>
      <c r="H16" s="527"/>
      <c r="I16" s="542">
        <v>104</v>
      </c>
      <c r="J16" s="538">
        <v>48</v>
      </c>
      <c r="K16" s="538">
        <v>78775</v>
      </c>
      <c r="L16" s="538"/>
      <c r="M16" s="517"/>
      <c r="N16" s="517"/>
      <c r="O16" s="517"/>
      <c r="P16" s="510">
        <f>SUM(I16:O16)</f>
        <v>78927</v>
      </c>
      <c r="Q16" s="518"/>
    </row>
    <row r="17" spans="1:17" s="519" customFormat="1" ht="18" customHeight="1">
      <c r="A17" s="447">
        <v>9</v>
      </c>
      <c r="B17" s="511"/>
      <c r="C17" s="285"/>
      <c r="D17" s="436" t="s">
        <v>629</v>
      </c>
      <c r="E17" s="276"/>
      <c r="F17" s="515"/>
      <c r="G17" s="277"/>
      <c r="H17" s="527"/>
      <c r="I17" s="542"/>
      <c r="J17" s="538"/>
      <c r="K17" s="538"/>
      <c r="L17" s="538"/>
      <c r="M17" s="517"/>
      <c r="N17" s="517"/>
      <c r="O17" s="517"/>
      <c r="P17" s="510"/>
      <c r="Q17" s="518"/>
    </row>
    <row r="18" spans="1:17" s="519" customFormat="1" ht="18" customHeight="1">
      <c r="A18" s="447">
        <v>10</v>
      </c>
      <c r="B18" s="511"/>
      <c r="C18" s="285"/>
      <c r="D18" s="513" t="s">
        <v>283</v>
      </c>
      <c r="E18" s="276">
        <f>F18+G18+P18</f>
        <v>74663</v>
      </c>
      <c r="F18" s="515"/>
      <c r="G18" s="277">
        <v>55997</v>
      </c>
      <c r="H18" s="527"/>
      <c r="I18" s="542"/>
      <c r="J18" s="538"/>
      <c r="K18" s="538"/>
      <c r="L18" s="538"/>
      <c r="M18" s="538">
        <v>18666</v>
      </c>
      <c r="N18" s="517"/>
      <c r="O18" s="517"/>
      <c r="P18" s="510">
        <f>SUM(I18:O18)</f>
        <v>18666</v>
      </c>
      <c r="Q18" s="518"/>
    </row>
    <row r="19" spans="1:17" s="519" customFormat="1" ht="18" customHeight="1">
      <c r="A19" s="447">
        <v>11</v>
      </c>
      <c r="B19" s="511"/>
      <c r="C19" s="285"/>
      <c r="D19" s="436" t="s">
        <v>630</v>
      </c>
      <c r="E19" s="276"/>
      <c r="F19" s="515"/>
      <c r="G19" s="277"/>
      <c r="H19" s="527"/>
      <c r="I19" s="542"/>
      <c r="J19" s="538"/>
      <c r="K19" s="538"/>
      <c r="L19" s="538"/>
      <c r="M19" s="538"/>
      <c r="N19" s="517"/>
      <c r="O19" s="517"/>
      <c r="P19" s="510"/>
      <c r="Q19" s="518"/>
    </row>
    <row r="20" spans="1:17" s="519" customFormat="1" ht="18" customHeight="1">
      <c r="A20" s="447">
        <v>12</v>
      </c>
      <c r="B20" s="511"/>
      <c r="C20" s="285"/>
      <c r="D20" s="513" t="s">
        <v>283</v>
      </c>
      <c r="E20" s="276">
        <f>F20+G20+P20</f>
        <v>47371</v>
      </c>
      <c r="F20" s="515"/>
      <c r="G20" s="277">
        <v>22225</v>
      </c>
      <c r="H20" s="527"/>
      <c r="I20" s="542"/>
      <c r="J20" s="538"/>
      <c r="K20" s="538"/>
      <c r="L20" s="538"/>
      <c r="M20" s="538">
        <v>25146</v>
      </c>
      <c r="N20" s="517"/>
      <c r="O20" s="517"/>
      <c r="P20" s="510">
        <f>SUM(I20:O20)</f>
        <v>25146</v>
      </c>
      <c r="Q20" s="518"/>
    </row>
    <row r="21" spans="1:17" s="519" customFormat="1" ht="18" customHeight="1">
      <c r="A21" s="447">
        <v>13</v>
      </c>
      <c r="B21" s="511"/>
      <c r="C21" s="285"/>
      <c r="D21" s="436" t="s">
        <v>631</v>
      </c>
      <c r="E21" s="276"/>
      <c r="F21" s="515"/>
      <c r="G21" s="277"/>
      <c r="H21" s="527"/>
      <c r="I21" s="542"/>
      <c r="J21" s="538"/>
      <c r="K21" s="538"/>
      <c r="L21" s="538"/>
      <c r="M21" s="538"/>
      <c r="N21" s="517"/>
      <c r="O21" s="517"/>
      <c r="P21" s="510"/>
      <c r="Q21" s="518"/>
    </row>
    <row r="22" spans="1:17" s="519" customFormat="1" ht="18" customHeight="1">
      <c r="A22" s="447">
        <v>14</v>
      </c>
      <c r="B22" s="511"/>
      <c r="C22" s="285"/>
      <c r="D22" s="513" t="s">
        <v>283</v>
      </c>
      <c r="E22" s="276">
        <f>F22+G22+P22</f>
        <v>50248</v>
      </c>
      <c r="F22" s="515"/>
      <c r="G22" s="277">
        <v>6920</v>
      </c>
      <c r="H22" s="527"/>
      <c r="I22" s="542"/>
      <c r="J22" s="538"/>
      <c r="K22" s="538"/>
      <c r="L22" s="538"/>
      <c r="M22" s="538">
        <v>43328</v>
      </c>
      <c r="N22" s="517"/>
      <c r="O22" s="517"/>
      <c r="P22" s="510">
        <f>SUM(I22:O22)</f>
        <v>43328</v>
      </c>
      <c r="Q22" s="518"/>
    </row>
    <row r="23" spans="1:17" s="519" customFormat="1" ht="18" customHeight="1">
      <c r="A23" s="447">
        <v>15</v>
      </c>
      <c r="B23" s="511"/>
      <c r="C23" s="285"/>
      <c r="D23" s="436" t="s">
        <v>632</v>
      </c>
      <c r="E23" s="514"/>
      <c r="F23" s="515"/>
      <c r="G23" s="516"/>
      <c r="H23" s="527"/>
      <c r="I23" s="524"/>
      <c r="J23" s="517"/>
      <c r="K23" s="538"/>
      <c r="L23" s="538"/>
      <c r="M23" s="538"/>
      <c r="N23" s="517"/>
      <c r="O23" s="517"/>
      <c r="P23" s="510"/>
      <c r="Q23" s="518"/>
    </row>
    <row r="24" spans="1:17" s="519" customFormat="1" ht="18" customHeight="1" thickBot="1">
      <c r="A24" s="447">
        <v>16</v>
      </c>
      <c r="B24" s="511"/>
      <c r="C24" s="568"/>
      <c r="D24" s="569" t="s">
        <v>283</v>
      </c>
      <c r="E24" s="276">
        <f>F24+G24+P24</f>
        <v>38100</v>
      </c>
      <c r="F24" s="722"/>
      <c r="G24" s="580">
        <v>19050</v>
      </c>
      <c r="H24" s="570"/>
      <c r="I24" s="571"/>
      <c r="J24" s="572"/>
      <c r="K24" s="573"/>
      <c r="L24" s="573"/>
      <c r="M24" s="573">
        <v>19050</v>
      </c>
      <c r="N24" s="573"/>
      <c r="O24" s="572"/>
      <c r="P24" s="574">
        <f>SUM(I24:O24)</f>
        <v>19050</v>
      </c>
      <c r="Q24" s="565"/>
    </row>
    <row r="25" spans="1:17" s="519" customFormat="1" ht="24.75" customHeight="1" thickBot="1" thickTop="1">
      <c r="A25" s="447">
        <v>17</v>
      </c>
      <c r="B25" s="511"/>
      <c r="C25" s="575"/>
      <c r="D25" s="576" t="s">
        <v>646</v>
      </c>
      <c r="E25" s="727">
        <f>E24+E16+E18+E20+E22</f>
        <v>393951</v>
      </c>
      <c r="F25" s="727">
        <f>F24+F16</f>
        <v>0</v>
      </c>
      <c r="G25" s="727">
        <f>G24+G16</f>
        <v>123692</v>
      </c>
      <c r="H25" s="726"/>
      <c r="I25" s="583">
        <f>I24+I16+I22+I20+I18</f>
        <v>104</v>
      </c>
      <c r="J25" s="583">
        <f aca="true" t="shared" si="1" ref="J25:O25">J24+J16+J22+J20+J18</f>
        <v>48</v>
      </c>
      <c r="K25" s="583">
        <f t="shared" si="1"/>
        <v>78775</v>
      </c>
      <c r="L25" s="583">
        <f t="shared" si="1"/>
        <v>0</v>
      </c>
      <c r="M25" s="583">
        <f t="shared" si="1"/>
        <v>106190</v>
      </c>
      <c r="N25" s="583">
        <f t="shared" si="1"/>
        <v>0</v>
      </c>
      <c r="O25" s="583">
        <f t="shared" si="1"/>
        <v>0</v>
      </c>
      <c r="P25" s="583">
        <f>SUM(I25:O25)</f>
        <v>185117</v>
      </c>
      <c r="Q25" s="577"/>
    </row>
    <row r="26" spans="1:256" s="433" customFormat="1" ht="22.5" customHeight="1" thickTop="1">
      <c r="A26" s="447">
        <v>18</v>
      </c>
      <c r="B26" s="441"/>
      <c r="C26" s="556">
        <v>3</v>
      </c>
      <c r="D26" s="564" t="s">
        <v>561</v>
      </c>
      <c r="E26" s="274"/>
      <c r="F26" s="272"/>
      <c r="G26" s="273"/>
      <c r="H26" s="525" t="s">
        <v>24</v>
      </c>
      <c r="I26" s="723"/>
      <c r="J26" s="724"/>
      <c r="K26" s="724"/>
      <c r="L26" s="724"/>
      <c r="M26" s="724"/>
      <c r="N26" s="724"/>
      <c r="O26" s="724"/>
      <c r="P26" s="725"/>
      <c r="Q26" s="435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  <c r="BN26" s="267"/>
      <c r="BO26" s="267"/>
      <c r="BP26" s="267"/>
      <c r="BQ26" s="267"/>
      <c r="BR26" s="267"/>
      <c r="BS26" s="267"/>
      <c r="BT26" s="267"/>
      <c r="BU26" s="267"/>
      <c r="BV26" s="267"/>
      <c r="BW26" s="267"/>
      <c r="BX26" s="267"/>
      <c r="BY26" s="267"/>
      <c r="BZ26" s="267"/>
      <c r="CA26" s="267"/>
      <c r="CB26" s="267"/>
      <c r="CC26" s="267"/>
      <c r="CD26" s="267"/>
      <c r="CE26" s="267"/>
      <c r="CF26" s="267"/>
      <c r="CG26" s="267"/>
      <c r="CH26" s="267"/>
      <c r="CI26" s="267"/>
      <c r="CJ26" s="267"/>
      <c r="CK26" s="267"/>
      <c r="CL26" s="267"/>
      <c r="CM26" s="267"/>
      <c r="CN26" s="267"/>
      <c r="CO26" s="267"/>
      <c r="CP26" s="267"/>
      <c r="CQ26" s="267"/>
      <c r="CR26" s="267"/>
      <c r="CS26" s="267"/>
      <c r="CT26" s="267"/>
      <c r="CU26" s="267"/>
      <c r="CV26" s="267"/>
      <c r="CW26" s="267"/>
      <c r="CX26" s="267"/>
      <c r="CY26" s="267"/>
      <c r="CZ26" s="267"/>
      <c r="DA26" s="267"/>
      <c r="DB26" s="267"/>
      <c r="DC26" s="267"/>
      <c r="DD26" s="267"/>
      <c r="DE26" s="267"/>
      <c r="DF26" s="267"/>
      <c r="DG26" s="267"/>
      <c r="DH26" s="267"/>
      <c r="DI26" s="267"/>
      <c r="DJ26" s="267"/>
      <c r="DK26" s="267"/>
      <c r="DL26" s="267"/>
      <c r="DM26" s="267"/>
      <c r="DN26" s="267"/>
      <c r="DO26" s="267"/>
      <c r="DP26" s="267"/>
      <c r="DQ26" s="267"/>
      <c r="DR26" s="267"/>
      <c r="DS26" s="267"/>
      <c r="DT26" s="267"/>
      <c r="DU26" s="267"/>
      <c r="DV26" s="267"/>
      <c r="DW26" s="267"/>
      <c r="DX26" s="267"/>
      <c r="DY26" s="267"/>
      <c r="DZ26" s="267"/>
      <c r="EA26" s="267"/>
      <c r="EB26" s="267"/>
      <c r="EC26" s="267"/>
      <c r="ED26" s="267"/>
      <c r="EE26" s="267"/>
      <c r="EF26" s="267"/>
      <c r="EG26" s="267"/>
      <c r="EH26" s="267"/>
      <c r="EI26" s="267"/>
      <c r="EJ26" s="267"/>
      <c r="EK26" s="267"/>
      <c r="EL26" s="267"/>
      <c r="EM26" s="267"/>
      <c r="EN26" s="267"/>
      <c r="EO26" s="267"/>
      <c r="EP26" s="267"/>
      <c r="EQ26" s="267"/>
      <c r="ER26" s="267"/>
      <c r="ES26" s="267"/>
      <c r="ET26" s="267"/>
      <c r="EU26" s="267"/>
      <c r="EV26" s="267"/>
      <c r="EW26" s="267"/>
      <c r="EX26" s="267"/>
      <c r="EY26" s="267"/>
      <c r="EZ26" s="267"/>
      <c r="FA26" s="267"/>
      <c r="FB26" s="267"/>
      <c r="FC26" s="267"/>
      <c r="FD26" s="267"/>
      <c r="FE26" s="267"/>
      <c r="FF26" s="267"/>
      <c r="FG26" s="267"/>
      <c r="FH26" s="267"/>
      <c r="FI26" s="267"/>
      <c r="FJ26" s="267"/>
      <c r="FK26" s="267"/>
      <c r="FL26" s="267"/>
      <c r="FM26" s="267"/>
      <c r="FN26" s="267"/>
      <c r="FO26" s="267"/>
      <c r="FP26" s="267"/>
      <c r="FQ26" s="267"/>
      <c r="FR26" s="267"/>
      <c r="FS26" s="267"/>
      <c r="FT26" s="267"/>
      <c r="FU26" s="267"/>
      <c r="FV26" s="267"/>
      <c r="FW26" s="267"/>
      <c r="FX26" s="267"/>
      <c r="FY26" s="267"/>
      <c r="FZ26" s="267"/>
      <c r="GA26" s="267"/>
      <c r="GB26" s="267"/>
      <c r="GC26" s="267"/>
      <c r="GD26" s="267"/>
      <c r="GE26" s="267"/>
      <c r="GF26" s="267"/>
      <c r="GG26" s="267"/>
      <c r="GH26" s="267"/>
      <c r="GI26" s="267"/>
      <c r="GJ26" s="267"/>
      <c r="GK26" s="267"/>
      <c r="GL26" s="267"/>
      <c r="GM26" s="267"/>
      <c r="GN26" s="267"/>
      <c r="GO26" s="267"/>
      <c r="GP26" s="267"/>
      <c r="GQ26" s="267"/>
      <c r="GR26" s="267"/>
      <c r="GS26" s="267"/>
      <c r="GT26" s="267"/>
      <c r="GU26" s="267"/>
      <c r="GV26" s="267"/>
      <c r="GW26" s="267"/>
      <c r="GX26" s="267"/>
      <c r="GY26" s="267"/>
      <c r="GZ26" s="267"/>
      <c r="HA26" s="267"/>
      <c r="HB26" s="267"/>
      <c r="HC26" s="267"/>
      <c r="HD26" s="267"/>
      <c r="HE26" s="267"/>
      <c r="HF26" s="267"/>
      <c r="HG26" s="267"/>
      <c r="HH26" s="267"/>
      <c r="HI26" s="267"/>
      <c r="HJ26" s="267"/>
      <c r="HK26" s="267"/>
      <c r="HL26" s="267"/>
      <c r="HM26" s="267"/>
      <c r="HN26" s="267"/>
      <c r="HO26" s="267"/>
      <c r="HP26" s="267"/>
      <c r="HQ26" s="267"/>
      <c r="HR26" s="267"/>
      <c r="HS26" s="267"/>
      <c r="HT26" s="267"/>
      <c r="HU26" s="267"/>
      <c r="HV26" s="267"/>
      <c r="HW26" s="267"/>
      <c r="HX26" s="267"/>
      <c r="HY26" s="267"/>
      <c r="HZ26" s="267"/>
      <c r="IA26" s="267"/>
      <c r="IB26" s="267"/>
      <c r="IC26" s="267"/>
      <c r="ID26" s="267"/>
      <c r="IE26" s="267"/>
      <c r="IF26" s="267"/>
      <c r="IG26" s="267"/>
      <c r="IH26" s="267"/>
      <c r="II26" s="267"/>
      <c r="IJ26" s="267"/>
      <c r="IK26" s="267"/>
      <c r="IL26" s="267"/>
      <c r="IM26" s="267"/>
      <c r="IN26" s="267"/>
      <c r="IO26" s="267"/>
      <c r="IP26" s="267"/>
      <c r="IQ26" s="267"/>
      <c r="IR26" s="267"/>
      <c r="IS26" s="267"/>
      <c r="IT26" s="267"/>
      <c r="IU26" s="267"/>
      <c r="IV26" s="267"/>
    </row>
    <row r="27" spans="1:256" s="433" customFormat="1" ht="18" customHeight="1">
      <c r="A27" s="447">
        <v>19</v>
      </c>
      <c r="B27" s="441"/>
      <c r="C27" s="285"/>
      <c r="D27" s="269" t="s">
        <v>446</v>
      </c>
      <c r="E27" s="276"/>
      <c r="F27" s="437"/>
      <c r="G27" s="277"/>
      <c r="H27" s="526"/>
      <c r="I27" s="523"/>
      <c r="J27" s="434"/>
      <c r="K27" s="434"/>
      <c r="L27" s="434"/>
      <c r="M27" s="434"/>
      <c r="N27" s="434"/>
      <c r="O27" s="434"/>
      <c r="P27" s="442"/>
      <c r="Q27" s="438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67"/>
      <c r="BK27" s="267"/>
      <c r="BL27" s="267"/>
      <c r="BM27" s="267"/>
      <c r="BN27" s="267"/>
      <c r="BO27" s="267"/>
      <c r="BP27" s="267"/>
      <c r="BQ27" s="267"/>
      <c r="BR27" s="267"/>
      <c r="BS27" s="267"/>
      <c r="BT27" s="267"/>
      <c r="BU27" s="267"/>
      <c r="BV27" s="267"/>
      <c r="BW27" s="267"/>
      <c r="BX27" s="267"/>
      <c r="BY27" s="267"/>
      <c r="BZ27" s="267"/>
      <c r="CA27" s="267"/>
      <c r="CB27" s="267"/>
      <c r="CC27" s="267"/>
      <c r="CD27" s="267"/>
      <c r="CE27" s="267"/>
      <c r="CF27" s="267"/>
      <c r="CG27" s="267"/>
      <c r="CH27" s="267"/>
      <c r="CI27" s="267"/>
      <c r="CJ27" s="267"/>
      <c r="CK27" s="267"/>
      <c r="CL27" s="267"/>
      <c r="CM27" s="267"/>
      <c r="CN27" s="267"/>
      <c r="CO27" s="267"/>
      <c r="CP27" s="267"/>
      <c r="CQ27" s="267"/>
      <c r="CR27" s="267"/>
      <c r="CS27" s="267"/>
      <c r="CT27" s="267"/>
      <c r="CU27" s="267"/>
      <c r="CV27" s="267"/>
      <c r="CW27" s="267"/>
      <c r="CX27" s="267"/>
      <c r="CY27" s="267"/>
      <c r="CZ27" s="267"/>
      <c r="DA27" s="267"/>
      <c r="DB27" s="267"/>
      <c r="DC27" s="267"/>
      <c r="DD27" s="267"/>
      <c r="DE27" s="267"/>
      <c r="DF27" s="267"/>
      <c r="DG27" s="267"/>
      <c r="DH27" s="267"/>
      <c r="DI27" s="267"/>
      <c r="DJ27" s="267"/>
      <c r="DK27" s="267"/>
      <c r="DL27" s="267"/>
      <c r="DM27" s="267"/>
      <c r="DN27" s="267"/>
      <c r="DO27" s="267"/>
      <c r="DP27" s="267"/>
      <c r="DQ27" s="267"/>
      <c r="DR27" s="267"/>
      <c r="DS27" s="267"/>
      <c r="DT27" s="267"/>
      <c r="DU27" s="267"/>
      <c r="DV27" s="267"/>
      <c r="DW27" s="267"/>
      <c r="DX27" s="267"/>
      <c r="DY27" s="267"/>
      <c r="DZ27" s="267"/>
      <c r="EA27" s="267"/>
      <c r="EB27" s="267"/>
      <c r="EC27" s="267"/>
      <c r="ED27" s="267"/>
      <c r="EE27" s="267"/>
      <c r="EF27" s="267"/>
      <c r="EG27" s="267"/>
      <c r="EH27" s="267"/>
      <c r="EI27" s="267"/>
      <c r="EJ27" s="267"/>
      <c r="EK27" s="267"/>
      <c r="EL27" s="267"/>
      <c r="EM27" s="267"/>
      <c r="EN27" s="267"/>
      <c r="EO27" s="267"/>
      <c r="EP27" s="267"/>
      <c r="EQ27" s="267"/>
      <c r="ER27" s="267"/>
      <c r="ES27" s="267"/>
      <c r="ET27" s="267"/>
      <c r="EU27" s="267"/>
      <c r="EV27" s="267"/>
      <c r="EW27" s="267"/>
      <c r="EX27" s="267"/>
      <c r="EY27" s="267"/>
      <c r="EZ27" s="267"/>
      <c r="FA27" s="267"/>
      <c r="FB27" s="267"/>
      <c r="FC27" s="267"/>
      <c r="FD27" s="267"/>
      <c r="FE27" s="267"/>
      <c r="FF27" s="267"/>
      <c r="FG27" s="267"/>
      <c r="FH27" s="267"/>
      <c r="FI27" s="267"/>
      <c r="FJ27" s="267"/>
      <c r="FK27" s="267"/>
      <c r="FL27" s="267"/>
      <c r="FM27" s="267"/>
      <c r="FN27" s="267"/>
      <c r="FO27" s="267"/>
      <c r="FP27" s="267"/>
      <c r="FQ27" s="267"/>
      <c r="FR27" s="267"/>
      <c r="FS27" s="267"/>
      <c r="FT27" s="267"/>
      <c r="FU27" s="267"/>
      <c r="FV27" s="267"/>
      <c r="FW27" s="267"/>
      <c r="FX27" s="267"/>
      <c r="FY27" s="267"/>
      <c r="FZ27" s="267"/>
      <c r="GA27" s="267"/>
      <c r="GB27" s="267"/>
      <c r="GC27" s="267"/>
      <c r="GD27" s="267"/>
      <c r="GE27" s="267"/>
      <c r="GF27" s="267"/>
      <c r="GG27" s="267"/>
      <c r="GH27" s="267"/>
      <c r="GI27" s="267"/>
      <c r="GJ27" s="267"/>
      <c r="GK27" s="267"/>
      <c r="GL27" s="267"/>
      <c r="GM27" s="267"/>
      <c r="GN27" s="267"/>
      <c r="GO27" s="267"/>
      <c r="GP27" s="267"/>
      <c r="GQ27" s="267"/>
      <c r="GR27" s="267"/>
      <c r="GS27" s="267"/>
      <c r="GT27" s="267"/>
      <c r="GU27" s="267"/>
      <c r="GV27" s="267"/>
      <c r="GW27" s="267"/>
      <c r="GX27" s="267"/>
      <c r="GY27" s="267"/>
      <c r="GZ27" s="267"/>
      <c r="HA27" s="267"/>
      <c r="HB27" s="267"/>
      <c r="HC27" s="267"/>
      <c r="HD27" s="267"/>
      <c r="HE27" s="267"/>
      <c r="HF27" s="267"/>
      <c r="HG27" s="267"/>
      <c r="HH27" s="267"/>
      <c r="HI27" s="267"/>
      <c r="HJ27" s="267"/>
      <c r="HK27" s="267"/>
      <c r="HL27" s="267"/>
      <c r="HM27" s="267"/>
      <c r="HN27" s="267"/>
      <c r="HO27" s="267"/>
      <c r="HP27" s="267"/>
      <c r="HQ27" s="267"/>
      <c r="HR27" s="267"/>
      <c r="HS27" s="267"/>
      <c r="HT27" s="267"/>
      <c r="HU27" s="267"/>
      <c r="HV27" s="267"/>
      <c r="HW27" s="267"/>
      <c r="HX27" s="267"/>
      <c r="HY27" s="267"/>
      <c r="HZ27" s="267"/>
      <c r="IA27" s="267"/>
      <c r="IB27" s="267"/>
      <c r="IC27" s="267"/>
      <c r="ID27" s="267"/>
      <c r="IE27" s="267"/>
      <c r="IF27" s="267"/>
      <c r="IG27" s="267"/>
      <c r="IH27" s="267"/>
      <c r="II27" s="267"/>
      <c r="IJ27" s="267"/>
      <c r="IK27" s="267"/>
      <c r="IL27" s="267"/>
      <c r="IM27" s="267"/>
      <c r="IN27" s="267"/>
      <c r="IO27" s="267"/>
      <c r="IP27" s="267"/>
      <c r="IQ27" s="267"/>
      <c r="IR27" s="267"/>
      <c r="IS27" s="267"/>
      <c r="IT27" s="267"/>
      <c r="IU27" s="267"/>
      <c r="IV27" s="267"/>
    </row>
    <row r="28" spans="1:256" s="433" customFormat="1" ht="19.5" customHeight="1">
      <c r="A28" s="447">
        <v>20</v>
      </c>
      <c r="B28" s="441"/>
      <c r="C28" s="268"/>
      <c r="D28" s="513" t="s">
        <v>283</v>
      </c>
      <c r="E28" s="276">
        <f>F28+G28+P28+7325</f>
        <v>49992</v>
      </c>
      <c r="F28" s="437"/>
      <c r="G28" s="277">
        <f>688+12278</f>
        <v>12966</v>
      </c>
      <c r="H28" s="526"/>
      <c r="I28" s="523"/>
      <c r="J28" s="434"/>
      <c r="K28" s="538">
        <v>29701</v>
      </c>
      <c r="L28" s="434"/>
      <c r="M28" s="538"/>
      <c r="N28" s="434"/>
      <c r="O28" s="434"/>
      <c r="P28" s="510">
        <f>SUM(I28:O28)</f>
        <v>29701</v>
      </c>
      <c r="Q28" s="438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267"/>
      <c r="BR28" s="267"/>
      <c r="BS28" s="267"/>
      <c r="BT28" s="267"/>
      <c r="BU28" s="267"/>
      <c r="BV28" s="267"/>
      <c r="BW28" s="267"/>
      <c r="BX28" s="267"/>
      <c r="BY28" s="267"/>
      <c r="BZ28" s="267"/>
      <c r="CA28" s="267"/>
      <c r="CB28" s="267"/>
      <c r="CC28" s="267"/>
      <c r="CD28" s="267"/>
      <c r="CE28" s="267"/>
      <c r="CF28" s="267"/>
      <c r="CG28" s="267"/>
      <c r="CH28" s="267"/>
      <c r="CI28" s="267"/>
      <c r="CJ28" s="267"/>
      <c r="CK28" s="267"/>
      <c r="CL28" s="267"/>
      <c r="CM28" s="267"/>
      <c r="CN28" s="267"/>
      <c r="CO28" s="267"/>
      <c r="CP28" s="267"/>
      <c r="CQ28" s="267"/>
      <c r="CR28" s="267"/>
      <c r="CS28" s="267"/>
      <c r="CT28" s="267"/>
      <c r="CU28" s="267"/>
      <c r="CV28" s="267"/>
      <c r="CW28" s="267"/>
      <c r="CX28" s="267"/>
      <c r="CY28" s="267"/>
      <c r="CZ28" s="267"/>
      <c r="DA28" s="267"/>
      <c r="DB28" s="267"/>
      <c r="DC28" s="267"/>
      <c r="DD28" s="267"/>
      <c r="DE28" s="267"/>
      <c r="DF28" s="267"/>
      <c r="DG28" s="267"/>
      <c r="DH28" s="267"/>
      <c r="DI28" s="267"/>
      <c r="DJ28" s="267"/>
      <c r="DK28" s="267"/>
      <c r="DL28" s="267"/>
      <c r="DM28" s="267"/>
      <c r="DN28" s="267"/>
      <c r="DO28" s="267"/>
      <c r="DP28" s="267"/>
      <c r="DQ28" s="267"/>
      <c r="DR28" s="267"/>
      <c r="DS28" s="267"/>
      <c r="DT28" s="267"/>
      <c r="DU28" s="267"/>
      <c r="DV28" s="267"/>
      <c r="DW28" s="267"/>
      <c r="DX28" s="267"/>
      <c r="DY28" s="267"/>
      <c r="DZ28" s="267"/>
      <c r="EA28" s="267"/>
      <c r="EB28" s="267"/>
      <c r="EC28" s="267"/>
      <c r="ED28" s="267"/>
      <c r="EE28" s="267"/>
      <c r="EF28" s="267"/>
      <c r="EG28" s="267"/>
      <c r="EH28" s="267"/>
      <c r="EI28" s="267"/>
      <c r="EJ28" s="267"/>
      <c r="EK28" s="267"/>
      <c r="EL28" s="267"/>
      <c r="EM28" s="267"/>
      <c r="EN28" s="267"/>
      <c r="EO28" s="267"/>
      <c r="EP28" s="267"/>
      <c r="EQ28" s="267"/>
      <c r="ER28" s="267"/>
      <c r="ES28" s="267"/>
      <c r="ET28" s="267"/>
      <c r="EU28" s="267"/>
      <c r="EV28" s="267"/>
      <c r="EW28" s="267"/>
      <c r="EX28" s="267"/>
      <c r="EY28" s="267"/>
      <c r="EZ28" s="267"/>
      <c r="FA28" s="267"/>
      <c r="FB28" s="267"/>
      <c r="FC28" s="267"/>
      <c r="FD28" s="267"/>
      <c r="FE28" s="267"/>
      <c r="FF28" s="267"/>
      <c r="FG28" s="267"/>
      <c r="FH28" s="267"/>
      <c r="FI28" s="267"/>
      <c r="FJ28" s="267"/>
      <c r="FK28" s="267"/>
      <c r="FL28" s="267"/>
      <c r="FM28" s="267"/>
      <c r="FN28" s="267"/>
      <c r="FO28" s="267"/>
      <c r="FP28" s="267"/>
      <c r="FQ28" s="267"/>
      <c r="FR28" s="267"/>
      <c r="FS28" s="267"/>
      <c r="FT28" s="267"/>
      <c r="FU28" s="267"/>
      <c r="FV28" s="267"/>
      <c r="FW28" s="267"/>
      <c r="FX28" s="267"/>
      <c r="FY28" s="267"/>
      <c r="FZ28" s="267"/>
      <c r="GA28" s="267"/>
      <c r="GB28" s="267"/>
      <c r="GC28" s="267"/>
      <c r="GD28" s="267"/>
      <c r="GE28" s="267"/>
      <c r="GF28" s="267"/>
      <c r="GG28" s="267"/>
      <c r="GH28" s="267"/>
      <c r="GI28" s="267"/>
      <c r="GJ28" s="267"/>
      <c r="GK28" s="267"/>
      <c r="GL28" s="267"/>
      <c r="GM28" s="267"/>
      <c r="GN28" s="267"/>
      <c r="GO28" s="267"/>
      <c r="GP28" s="267"/>
      <c r="GQ28" s="267"/>
      <c r="GR28" s="267"/>
      <c r="GS28" s="267"/>
      <c r="GT28" s="267"/>
      <c r="GU28" s="267"/>
      <c r="GV28" s="267"/>
      <c r="GW28" s="267"/>
      <c r="GX28" s="267"/>
      <c r="GY28" s="267"/>
      <c r="GZ28" s="267"/>
      <c r="HA28" s="267"/>
      <c r="HB28" s="267"/>
      <c r="HC28" s="267"/>
      <c r="HD28" s="267"/>
      <c r="HE28" s="267"/>
      <c r="HF28" s="267"/>
      <c r="HG28" s="267"/>
      <c r="HH28" s="267"/>
      <c r="HI28" s="267"/>
      <c r="HJ28" s="267"/>
      <c r="HK28" s="267"/>
      <c r="HL28" s="267"/>
      <c r="HM28" s="267"/>
      <c r="HN28" s="267"/>
      <c r="HO28" s="267"/>
      <c r="HP28" s="267"/>
      <c r="HQ28" s="267"/>
      <c r="HR28" s="267"/>
      <c r="HS28" s="267"/>
      <c r="HT28" s="267"/>
      <c r="HU28" s="267"/>
      <c r="HV28" s="267"/>
      <c r="HW28" s="267"/>
      <c r="HX28" s="267"/>
      <c r="HY28" s="267"/>
      <c r="HZ28" s="267"/>
      <c r="IA28" s="267"/>
      <c r="IB28" s="267"/>
      <c r="IC28" s="267"/>
      <c r="ID28" s="267"/>
      <c r="IE28" s="267"/>
      <c r="IF28" s="267"/>
      <c r="IG28" s="267"/>
      <c r="IH28" s="267"/>
      <c r="II28" s="267"/>
      <c r="IJ28" s="267"/>
      <c r="IK28" s="267"/>
      <c r="IL28" s="267"/>
      <c r="IM28" s="267"/>
      <c r="IN28" s="267"/>
      <c r="IO28" s="267"/>
      <c r="IP28" s="267"/>
      <c r="IQ28" s="267"/>
      <c r="IR28" s="267"/>
      <c r="IS28" s="267"/>
      <c r="IT28" s="267"/>
      <c r="IU28" s="267"/>
      <c r="IV28" s="267"/>
    </row>
    <row r="29" spans="1:256" s="433" customFormat="1" ht="36.75" customHeight="1">
      <c r="A29" s="447">
        <v>21</v>
      </c>
      <c r="B29" s="441"/>
      <c r="C29" s="268"/>
      <c r="D29" s="269" t="s">
        <v>633</v>
      </c>
      <c r="E29" s="276"/>
      <c r="F29" s="437"/>
      <c r="G29" s="277"/>
      <c r="H29" s="526"/>
      <c r="I29" s="523"/>
      <c r="J29" s="434"/>
      <c r="K29" s="434"/>
      <c r="L29" s="434"/>
      <c r="M29" s="538"/>
      <c r="N29" s="434"/>
      <c r="O29" s="434"/>
      <c r="P29" s="510"/>
      <c r="Q29" s="438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267"/>
      <c r="BF29" s="267"/>
      <c r="BG29" s="267"/>
      <c r="BH29" s="267"/>
      <c r="BI29" s="267"/>
      <c r="BJ29" s="267"/>
      <c r="BK29" s="267"/>
      <c r="BL29" s="267"/>
      <c r="BM29" s="267"/>
      <c r="BN29" s="267"/>
      <c r="BO29" s="267"/>
      <c r="BP29" s="267"/>
      <c r="BQ29" s="267"/>
      <c r="BR29" s="267"/>
      <c r="BS29" s="267"/>
      <c r="BT29" s="267"/>
      <c r="BU29" s="267"/>
      <c r="BV29" s="267"/>
      <c r="BW29" s="267"/>
      <c r="BX29" s="267"/>
      <c r="BY29" s="267"/>
      <c r="BZ29" s="267"/>
      <c r="CA29" s="267"/>
      <c r="CB29" s="267"/>
      <c r="CC29" s="267"/>
      <c r="CD29" s="267"/>
      <c r="CE29" s="267"/>
      <c r="CF29" s="267"/>
      <c r="CG29" s="267"/>
      <c r="CH29" s="267"/>
      <c r="CI29" s="267"/>
      <c r="CJ29" s="267"/>
      <c r="CK29" s="267"/>
      <c r="CL29" s="267"/>
      <c r="CM29" s="267"/>
      <c r="CN29" s="267"/>
      <c r="CO29" s="267"/>
      <c r="CP29" s="267"/>
      <c r="CQ29" s="267"/>
      <c r="CR29" s="267"/>
      <c r="CS29" s="267"/>
      <c r="CT29" s="267"/>
      <c r="CU29" s="267"/>
      <c r="CV29" s="267"/>
      <c r="CW29" s="267"/>
      <c r="CX29" s="267"/>
      <c r="CY29" s="267"/>
      <c r="CZ29" s="267"/>
      <c r="DA29" s="267"/>
      <c r="DB29" s="267"/>
      <c r="DC29" s="267"/>
      <c r="DD29" s="267"/>
      <c r="DE29" s="267"/>
      <c r="DF29" s="267"/>
      <c r="DG29" s="267"/>
      <c r="DH29" s="267"/>
      <c r="DI29" s="267"/>
      <c r="DJ29" s="267"/>
      <c r="DK29" s="267"/>
      <c r="DL29" s="267"/>
      <c r="DM29" s="267"/>
      <c r="DN29" s="267"/>
      <c r="DO29" s="267"/>
      <c r="DP29" s="267"/>
      <c r="DQ29" s="267"/>
      <c r="DR29" s="267"/>
      <c r="DS29" s="267"/>
      <c r="DT29" s="267"/>
      <c r="DU29" s="267"/>
      <c r="DV29" s="267"/>
      <c r="DW29" s="267"/>
      <c r="DX29" s="267"/>
      <c r="DY29" s="267"/>
      <c r="DZ29" s="267"/>
      <c r="EA29" s="267"/>
      <c r="EB29" s="267"/>
      <c r="EC29" s="267"/>
      <c r="ED29" s="267"/>
      <c r="EE29" s="267"/>
      <c r="EF29" s="267"/>
      <c r="EG29" s="267"/>
      <c r="EH29" s="267"/>
      <c r="EI29" s="267"/>
      <c r="EJ29" s="267"/>
      <c r="EK29" s="267"/>
      <c r="EL29" s="267"/>
      <c r="EM29" s="267"/>
      <c r="EN29" s="267"/>
      <c r="EO29" s="267"/>
      <c r="EP29" s="267"/>
      <c r="EQ29" s="267"/>
      <c r="ER29" s="267"/>
      <c r="ES29" s="267"/>
      <c r="ET29" s="267"/>
      <c r="EU29" s="267"/>
      <c r="EV29" s="267"/>
      <c r="EW29" s="267"/>
      <c r="EX29" s="267"/>
      <c r="EY29" s="267"/>
      <c r="EZ29" s="267"/>
      <c r="FA29" s="267"/>
      <c r="FB29" s="267"/>
      <c r="FC29" s="267"/>
      <c r="FD29" s="267"/>
      <c r="FE29" s="267"/>
      <c r="FF29" s="267"/>
      <c r="FG29" s="267"/>
      <c r="FH29" s="267"/>
      <c r="FI29" s="267"/>
      <c r="FJ29" s="267"/>
      <c r="FK29" s="267"/>
      <c r="FL29" s="267"/>
      <c r="FM29" s="267"/>
      <c r="FN29" s="267"/>
      <c r="FO29" s="267"/>
      <c r="FP29" s="267"/>
      <c r="FQ29" s="267"/>
      <c r="FR29" s="267"/>
      <c r="FS29" s="267"/>
      <c r="FT29" s="267"/>
      <c r="FU29" s="267"/>
      <c r="FV29" s="267"/>
      <c r="FW29" s="267"/>
      <c r="FX29" s="267"/>
      <c r="FY29" s="267"/>
      <c r="FZ29" s="267"/>
      <c r="GA29" s="267"/>
      <c r="GB29" s="267"/>
      <c r="GC29" s="267"/>
      <c r="GD29" s="267"/>
      <c r="GE29" s="267"/>
      <c r="GF29" s="267"/>
      <c r="GG29" s="267"/>
      <c r="GH29" s="267"/>
      <c r="GI29" s="267"/>
      <c r="GJ29" s="267"/>
      <c r="GK29" s="267"/>
      <c r="GL29" s="267"/>
      <c r="GM29" s="267"/>
      <c r="GN29" s="267"/>
      <c r="GO29" s="267"/>
      <c r="GP29" s="267"/>
      <c r="GQ29" s="267"/>
      <c r="GR29" s="267"/>
      <c r="GS29" s="267"/>
      <c r="GT29" s="267"/>
      <c r="GU29" s="267"/>
      <c r="GV29" s="267"/>
      <c r="GW29" s="267"/>
      <c r="GX29" s="267"/>
      <c r="GY29" s="267"/>
      <c r="GZ29" s="267"/>
      <c r="HA29" s="267"/>
      <c r="HB29" s="267"/>
      <c r="HC29" s="267"/>
      <c r="HD29" s="267"/>
      <c r="HE29" s="267"/>
      <c r="HF29" s="267"/>
      <c r="HG29" s="267"/>
      <c r="HH29" s="267"/>
      <c r="HI29" s="267"/>
      <c r="HJ29" s="267"/>
      <c r="HK29" s="267"/>
      <c r="HL29" s="267"/>
      <c r="HM29" s="267"/>
      <c r="HN29" s="267"/>
      <c r="HO29" s="267"/>
      <c r="HP29" s="267"/>
      <c r="HQ29" s="267"/>
      <c r="HR29" s="267"/>
      <c r="HS29" s="267"/>
      <c r="HT29" s="267"/>
      <c r="HU29" s="267"/>
      <c r="HV29" s="267"/>
      <c r="HW29" s="267"/>
      <c r="HX29" s="267"/>
      <c r="HY29" s="267"/>
      <c r="HZ29" s="267"/>
      <c r="IA29" s="267"/>
      <c r="IB29" s="267"/>
      <c r="IC29" s="267"/>
      <c r="ID29" s="267"/>
      <c r="IE29" s="267"/>
      <c r="IF29" s="267"/>
      <c r="IG29" s="267"/>
      <c r="IH29" s="267"/>
      <c r="II29" s="267"/>
      <c r="IJ29" s="267"/>
      <c r="IK29" s="267"/>
      <c r="IL29" s="267"/>
      <c r="IM29" s="267"/>
      <c r="IN29" s="267"/>
      <c r="IO29" s="267"/>
      <c r="IP29" s="267"/>
      <c r="IQ29" s="267"/>
      <c r="IR29" s="267"/>
      <c r="IS29" s="267"/>
      <c r="IT29" s="267"/>
      <c r="IU29" s="267"/>
      <c r="IV29" s="267"/>
    </row>
    <row r="30" spans="1:256" s="433" customFormat="1" ht="19.5" customHeight="1">
      <c r="A30" s="447">
        <v>22</v>
      </c>
      <c r="B30" s="441"/>
      <c r="C30" s="268"/>
      <c r="D30" s="513" t="s">
        <v>283</v>
      </c>
      <c r="E30" s="276">
        <f>F30+G30+P30</f>
        <v>32400</v>
      </c>
      <c r="F30" s="437"/>
      <c r="G30" s="277">
        <v>1715</v>
      </c>
      <c r="H30" s="526"/>
      <c r="I30" s="523"/>
      <c r="J30" s="434"/>
      <c r="K30" s="434"/>
      <c r="L30" s="434"/>
      <c r="M30" s="538">
        <v>30685</v>
      </c>
      <c r="N30" s="434"/>
      <c r="O30" s="434"/>
      <c r="P30" s="510">
        <f>SUM(I30:O30)</f>
        <v>30685</v>
      </c>
      <c r="Q30" s="438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  <c r="AQ30" s="267"/>
      <c r="AR30" s="267"/>
      <c r="AS30" s="267"/>
      <c r="AT30" s="267"/>
      <c r="AU30" s="267"/>
      <c r="AV30" s="267"/>
      <c r="AW30" s="267"/>
      <c r="AX30" s="267"/>
      <c r="AY30" s="267"/>
      <c r="AZ30" s="267"/>
      <c r="BA30" s="267"/>
      <c r="BB30" s="267"/>
      <c r="BC30" s="267"/>
      <c r="BD30" s="267"/>
      <c r="BE30" s="267"/>
      <c r="BF30" s="267"/>
      <c r="BG30" s="267"/>
      <c r="BH30" s="267"/>
      <c r="BI30" s="267"/>
      <c r="BJ30" s="267"/>
      <c r="BK30" s="267"/>
      <c r="BL30" s="267"/>
      <c r="BM30" s="267"/>
      <c r="BN30" s="267"/>
      <c r="BO30" s="267"/>
      <c r="BP30" s="267"/>
      <c r="BQ30" s="267"/>
      <c r="BR30" s="267"/>
      <c r="BS30" s="267"/>
      <c r="BT30" s="267"/>
      <c r="BU30" s="267"/>
      <c r="BV30" s="267"/>
      <c r="BW30" s="267"/>
      <c r="BX30" s="267"/>
      <c r="BY30" s="267"/>
      <c r="BZ30" s="267"/>
      <c r="CA30" s="267"/>
      <c r="CB30" s="267"/>
      <c r="CC30" s="267"/>
      <c r="CD30" s="267"/>
      <c r="CE30" s="267"/>
      <c r="CF30" s="267"/>
      <c r="CG30" s="267"/>
      <c r="CH30" s="267"/>
      <c r="CI30" s="267"/>
      <c r="CJ30" s="267"/>
      <c r="CK30" s="267"/>
      <c r="CL30" s="267"/>
      <c r="CM30" s="267"/>
      <c r="CN30" s="267"/>
      <c r="CO30" s="267"/>
      <c r="CP30" s="267"/>
      <c r="CQ30" s="267"/>
      <c r="CR30" s="267"/>
      <c r="CS30" s="267"/>
      <c r="CT30" s="267"/>
      <c r="CU30" s="267"/>
      <c r="CV30" s="267"/>
      <c r="CW30" s="267"/>
      <c r="CX30" s="267"/>
      <c r="CY30" s="267"/>
      <c r="CZ30" s="267"/>
      <c r="DA30" s="267"/>
      <c r="DB30" s="267"/>
      <c r="DC30" s="267"/>
      <c r="DD30" s="267"/>
      <c r="DE30" s="267"/>
      <c r="DF30" s="267"/>
      <c r="DG30" s="267"/>
      <c r="DH30" s="267"/>
      <c r="DI30" s="267"/>
      <c r="DJ30" s="267"/>
      <c r="DK30" s="267"/>
      <c r="DL30" s="267"/>
      <c r="DM30" s="267"/>
      <c r="DN30" s="267"/>
      <c r="DO30" s="267"/>
      <c r="DP30" s="267"/>
      <c r="DQ30" s="267"/>
      <c r="DR30" s="267"/>
      <c r="DS30" s="267"/>
      <c r="DT30" s="267"/>
      <c r="DU30" s="267"/>
      <c r="DV30" s="267"/>
      <c r="DW30" s="267"/>
      <c r="DX30" s="267"/>
      <c r="DY30" s="267"/>
      <c r="DZ30" s="267"/>
      <c r="EA30" s="267"/>
      <c r="EB30" s="267"/>
      <c r="EC30" s="267"/>
      <c r="ED30" s="267"/>
      <c r="EE30" s="267"/>
      <c r="EF30" s="267"/>
      <c r="EG30" s="267"/>
      <c r="EH30" s="267"/>
      <c r="EI30" s="267"/>
      <c r="EJ30" s="267"/>
      <c r="EK30" s="267"/>
      <c r="EL30" s="267"/>
      <c r="EM30" s="267"/>
      <c r="EN30" s="267"/>
      <c r="EO30" s="267"/>
      <c r="EP30" s="267"/>
      <c r="EQ30" s="267"/>
      <c r="ER30" s="267"/>
      <c r="ES30" s="267"/>
      <c r="ET30" s="267"/>
      <c r="EU30" s="267"/>
      <c r="EV30" s="267"/>
      <c r="EW30" s="267"/>
      <c r="EX30" s="267"/>
      <c r="EY30" s="267"/>
      <c r="EZ30" s="267"/>
      <c r="FA30" s="267"/>
      <c r="FB30" s="267"/>
      <c r="FC30" s="267"/>
      <c r="FD30" s="267"/>
      <c r="FE30" s="267"/>
      <c r="FF30" s="267"/>
      <c r="FG30" s="267"/>
      <c r="FH30" s="267"/>
      <c r="FI30" s="267"/>
      <c r="FJ30" s="267"/>
      <c r="FK30" s="267"/>
      <c r="FL30" s="267"/>
      <c r="FM30" s="267"/>
      <c r="FN30" s="267"/>
      <c r="FO30" s="267"/>
      <c r="FP30" s="267"/>
      <c r="FQ30" s="267"/>
      <c r="FR30" s="267"/>
      <c r="FS30" s="267"/>
      <c r="FT30" s="267"/>
      <c r="FU30" s="267"/>
      <c r="FV30" s="267"/>
      <c r="FW30" s="267"/>
      <c r="FX30" s="267"/>
      <c r="FY30" s="267"/>
      <c r="FZ30" s="267"/>
      <c r="GA30" s="267"/>
      <c r="GB30" s="267"/>
      <c r="GC30" s="267"/>
      <c r="GD30" s="267"/>
      <c r="GE30" s="267"/>
      <c r="GF30" s="267"/>
      <c r="GG30" s="267"/>
      <c r="GH30" s="267"/>
      <c r="GI30" s="267"/>
      <c r="GJ30" s="267"/>
      <c r="GK30" s="267"/>
      <c r="GL30" s="267"/>
      <c r="GM30" s="267"/>
      <c r="GN30" s="267"/>
      <c r="GO30" s="267"/>
      <c r="GP30" s="267"/>
      <c r="GQ30" s="267"/>
      <c r="GR30" s="267"/>
      <c r="GS30" s="267"/>
      <c r="GT30" s="267"/>
      <c r="GU30" s="267"/>
      <c r="GV30" s="267"/>
      <c r="GW30" s="267"/>
      <c r="GX30" s="267"/>
      <c r="GY30" s="267"/>
      <c r="GZ30" s="267"/>
      <c r="HA30" s="267"/>
      <c r="HB30" s="267"/>
      <c r="HC30" s="267"/>
      <c r="HD30" s="267"/>
      <c r="HE30" s="267"/>
      <c r="HF30" s="267"/>
      <c r="HG30" s="267"/>
      <c r="HH30" s="267"/>
      <c r="HI30" s="267"/>
      <c r="HJ30" s="267"/>
      <c r="HK30" s="267"/>
      <c r="HL30" s="267"/>
      <c r="HM30" s="267"/>
      <c r="HN30" s="267"/>
      <c r="HO30" s="267"/>
      <c r="HP30" s="267"/>
      <c r="HQ30" s="267"/>
      <c r="HR30" s="267"/>
      <c r="HS30" s="267"/>
      <c r="HT30" s="267"/>
      <c r="HU30" s="267"/>
      <c r="HV30" s="267"/>
      <c r="HW30" s="267"/>
      <c r="HX30" s="267"/>
      <c r="HY30" s="267"/>
      <c r="HZ30" s="267"/>
      <c r="IA30" s="267"/>
      <c r="IB30" s="267"/>
      <c r="IC30" s="267"/>
      <c r="ID30" s="267"/>
      <c r="IE30" s="267"/>
      <c r="IF30" s="267"/>
      <c r="IG30" s="267"/>
      <c r="IH30" s="267"/>
      <c r="II30" s="267"/>
      <c r="IJ30" s="267"/>
      <c r="IK30" s="267"/>
      <c r="IL30" s="267"/>
      <c r="IM30" s="267"/>
      <c r="IN30" s="267"/>
      <c r="IO30" s="267"/>
      <c r="IP30" s="267"/>
      <c r="IQ30" s="267"/>
      <c r="IR30" s="267"/>
      <c r="IS30" s="267"/>
      <c r="IT30" s="267"/>
      <c r="IU30" s="267"/>
      <c r="IV30" s="267"/>
    </row>
    <row r="31" spans="1:256" s="433" customFormat="1" ht="19.5" customHeight="1">
      <c r="A31" s="447">
        <v>23</v>
      </c>
      <c r="B31" s="441"/>
      <c r="C31" s="268"/>
      <c r="D31" s="269" t="s">
        <v>634</v>
      </c>
      <c r="E31" s="276"/>
      <c r="F31" s="437"/>
      <c r="G31" s="277"/>
      <c r="H31" s="526"/>
      <c r="I31" s="523"/>
      <c r="J31" s="434"/>
      <c r="K31" s="434"/>
      <c r="L31" s="434"/>
      <c r="M31" s="538"/>
      <c r="N31" s="434"/>
      <c r="O31" s="434"/>
      <c r="P31" s="510"/>
      <c r="Q31" s="438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  <c r="BF31" s="267"/>
      <c r="BG31" s="267"/>
      <c r="BH31" s="267"/>
      <c r="BI31" s="267"/>
      <c r="BJ31" s="267"/>
      <c r="BK31" s="267"/>
      <c r="BL31" s="267"/>
      <c r="BM31" s="267"/>
      <c r="BN31" s="267"/>
      <c r="BO31" s="267"/>
      <c r="BP31" s="267"/>
      <c r="BQ31" s="267"/>
      <c r="BR31" s="267"/>
      <c r="BS31" s="267"/>
      <c r="BT31" s="267"/>
      <c r="BU31" s="267"/>
      <c r="BV31" s="267"/>
      <c r="BW31" s="267"/>
      <c r="BX31" s="267"/>
      <c r="BY31" s="267"/>
      <c r="BZ31" s="267"/>
      <c r="CA31" s="267"/>
      <c r="CB31" s="267"/>
      <c r="CC31" s="267"/>
      <c r="CD31" s="267"/>
      <c r="CE31" s="267"/>
      <c r="CF31" s="267"/>
      <c r="CG31" s="267"/>
      <c r="CH31" s="267"/>
      <c r="CI31" s="267"/>
      <c r="CJ31" s="267"/>
      <c r="CK31" s="267"/>
      <c r="CL31" s="267"/>
      <c r="CM31" s="267"/>
      <c r="CN31" s="267"/>
      <c r="CO31" s="267"/>
      <c r="CP31" s="267"/>
      <c r="CQ31" s="267"/>
      <c r="CR31" s="267"/>
      <c r="CS31" s="267"/>
      <c r="CT31" s="267"/>
      <c r="CU31" s="267"/>
      <c r="CV31" s="267"/>
      <c r="CW31" s="267"/>
      <c r="CX31" s="267"/>
      <c r="CY31" s="267"/>
      <c r="CZ31" s="267"/>
      <c r="DA31" s="267"/>
      <c r="DB31" s="267"/>
      <c r="DC31" s="267"/>
      <c r="DD31" s="267"/>
      <c r="DE31" s="267"/>
      <c r="DF31" s="267"/>
      <c r="DG31" s="267"/>
      <c r="DH31" s="267"/>
      <c r="DI31" s="267"/>
      <c r="DJ31" s="267"/>
      <c r="DK31" s="267"/>
      <c r="DL31" s="267"/>
      <c r="DM31" s="267"/>
      <c r="DN31" s="267"/>
      <c r="DO31" s="267"/>
      <c r="DP31" s="267"/>
      <c r="DQ31" s="267"/>
      <c r="DR31" s="267"/>
      <c r="DS31" s="267"/>
      <c r="DT31" s="267"/>
      <c r="DU31" s="267"/>
      <c r="DV31" s="267"/>
      <c r="DW31" s="267"/>
      <c r="DX31" s="267"/>
      <c r="DY31" s="267"/>
      <c r="DZ31" s="267"/>
      <c r="EA31" s="267"/>
      <c r="EB31" s="267"/>
      <c r="EC31" s="267"/>
      <c r="ED31" s="267"/>
      <c r="EE31" s="267"/>
      <c r="EF31" s="267"/>
      <c r="EG31" s="267"/>
      <c r="EH31" s="267"/>
      <c r="EI31" s="267"/>
      <c r="EJ31" s="267"/>
      <c r="EK31" s="267"/>
      <c r="EL31" s="267"/>
      <c r="EM31" s="267"/>
      <c r="EN31" s="267"/>
      <c r="EO31" s="267"/>
      <c r="EP31" s="267"/>
      <c r="EQ31" s="267"/>
      <c r="ER31" s="267"/>
      <c r="ES31" s="267"/>
      <c r="ET31" s="267"/>
      <c r="EU31" s="267"/>
      <c r="EV31" s="267"/>
      <c r="EW31" s="267"/>
      <c r="EX31" s="267"/>
      <c r="EY31" s="267"/>
      <c r="EZ31" s="267"/>
      <c r="FA31" s="267"/>
      <c r="FB31" s="267"/>
      <c r="FC31" s="267"/>
      <c r="FD31" s="267"/>
      <c r="FE31" s="267"/>
      <c r="FF31" s="267"/>
      <c r="FG31" s="267"/>
      <c r="FH31" s="267"/>
      <c r="FI31" s="267"/>
      <c r="FJ31" s="267"/>
      <c r="FK31" s="267"/>
      <c r="FL31" s="267"/>
      <c r="FM31" s="267"/>
      <c r="FN31" s="267"/>
      <c r="FO31" s="267"/>
      <c r="FP31" s="267"/>
      <c r="FQ31" s="267"/>
      <c r="FR31" s="267"/>
      <c r="FS31" s="267"/>
      <c r="FT31" s="267"/>
      <c r="FU31" s="267"/>
      <c r="FV31" s="267"/>
      <c r="FW31" s="267"/>
      <c r="FX31" s="267"/>
      <c r="FY31" s="267"/>
      <c r="FZ31" s="267"/>
      <c r="GA31" s="267"/>
      <c r="GB31" s="267"/>
      <c r="GC31" s="267"/>
      <c r="GD31" s="267"/>
      <c r="GE31" s="267"/>
      <c r="GF31" s="267"/>
      <c r="GG31" s="267"/>
      <c r="GH31" s="267"/>
      <c r="GI31" s="267"/>
      <c r="GJ31" s="267"/>
      <c r="GK31" s="267"/>
      <c r="GL31" s="267"/>
      <c r="GM31" s="267"/>
      <c r="GN31" s="267"/>
      <c r="GO31" s="267"/>
      <c r="GP31" s="267"/>
      <c r="GQ31" s="267"/>
      <c r="GR31" s="267"/>
      <c r="GS31" s="267"/>
      <c r="GT31" s="267"/>
      <c r="GU31" s="267"/>
      <c r="GV31" s="267"/>
      <c r="GW31" s="267"/>
      <c r="GX31" s="267"/>
      <c r="GY31" s="267"/>
      <c r="GZ31" s="267"/>
      <c r="HA31" s="267"/>
      <c r="HB31" s="267"/>
      <c r="HC31" s="267"/>
      <c r="HD31" s="267"/>
      <c r="HE31" s="267"/>
      <c r="HF31" s="267"/>
      <c r="HG31" s="267"/>
      <c r="HH31" s="267"/>
      <c r="HI31" s="267"/>
      <c r="HJ31" s="267"/>
      <c r="HK31" s="267"/>
      <c r="HL31" s="267"/>
      <c r="HM31" s="267"/>
      <c r="HN31" s="267"/>
      <c r="HO31" s="267"/>
      <c r="HP31" s="267"/>
      <c r="HQ31" s="267"/>
      <c r="HR31" s="267"/>
      <c r="HS31" s="267"/>
      <c r="HT31" s="267"/>
      <c r="HU31" s="267"/>
      <c r="HV31" s="267"/>
      <c r="HW31" s="267"/>
      <c r="HX31" s="267"/>
      <c r="HY31" s="267"/>
      <c r="HZ31" s="267"/>
      <c r="IA31" s="267"/>
      <c r="IB31" s="267"/>
      <c r="IC31" s="267"/>
      <c r="ID31" s="267"/>
      <c r="IE31" s="267"/>
      <c r="IF31" s="267"/>
      <c r="IG31" s="267"/>
      <c r="IH31" s="267"/>
      <c r="II31" s="267"/>
      <c r="IJ31" s="267"/>
      <c r="IK31" s="267"/>
      <c r="IL31" s="267"/>
      <c r="IM31" s="267"/>
      <c r="IN31" s="267"/>
      <c r="IO31" s="267"/>
      <c r="IP31" s="267"/>
      <c r="IQ31" s="267"/>
      <c r="IR31" s="267"/>
      <c r="IS31" s="267"/>
      <c r="IT31" s="267"/>
      <c r="IU31" s="267"/>
      <c r="IV31" s="267"/>
    </row>
    <row r="32" spans="1:256" s="433" customFormat="1" ht="19.5" customHeight="1">
      <c r="A32" s="447">
        <v>24</v>
      </c>
      <c r="B32" s="441"/>
      <c r="C32" s="268"/>
      <c r="D32" s="513" t="s">
        <v>283</v>
      </c>
      <c r="E32" s="276">
        <f>F32+G32+P32</f>
        <v>1729000</v>
      </c>
      <c r="F32" s="437"/>
      <c r="G32" s="277">
        <v>20955</v>
      </c>
      <c r="H32" s="526"/>
      <c r="I32" s="523"/>
      <c r="J32" s="434"/>
      <c r="K32" s="434"/>
      <c r="L32" s="434"/>
      <c r="M32" s="538">
        <v>1708045</v>
      </c>
      <c r="N32" s="434"/>
      <c r="O32" s="434"/>
      <c r="P32" s="510">
        <f>SUM(I32:O32)</f>
        <v>1708045</v>
      </c>
      <c r="Q32" s="438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267"/>
      <c r="BD32" s="267"/>
      <c r="BE32" s="267"/>
      <c r="BF32" s="267"/>
      <c r="BG32" s="267"/>
      <c r="BH32" s="267"/>
      <c r="BI32" s="267"/>
      <c r="BJ32" s="267"/>
      <c r="BK32" s="267"/>
      <c r="BL32" s="267"/>
      <c r="BM32" s="267"/>
      <c r="BN32" s="267"/>
      <c r="BO32" s="267"/>
      <c r="BP32" s="267"/>
      <c r="BQ32" s="267"/>
      <c r="BR32" s="267"/>
      <c r="BS32" s="267"/>
      <c r="BT32" s="267"/>
      <c r="BU32" s="267"/>
      <c r="BV32" s="267"/>
      <c r="BW32" s="267"/>
      <c r="BX32" s="267"/>
      <c r="BY32" s="267"/>
      <c r="BZ32" s="267"/>
      <c r="CA32" s="267"/>
      <c r="CB32" s="267"/>
      <c r="CC32" s="267"/>
      <c r="CD32" s="267"/>
      <c r="CE32" s="267"/>
      <c r="CF32" s="267"/>
      <c r="CG32" s="267"/>
      <c r="CH32" s="267"/>
      <c r="CI32" s="267"/>
      <c r="CJ32" s="267"/>
      <c r="CK32" s="267"/>
      <c r="CL32" s="267"/>
      <c r="CM32" s="267"/>
      <c r="CN32" s="267"/>
      <c r="CO32" s="267"/>
      <c r="CP32" s="267"/>
      <c r="CQ32" s="267"/>
      <c r="CR32" s="267"/>
      <c r="CS32" s="267"/>
      <c r="CT32" s="267"/>
      <c r="CU32" s="267"/>
      <c r="CV32" s="267"/>
      <c r="CW32" s="267"/>
      <c r="CX32" s="267"/>
      <c r="CY32" s="267"/>
      <c r="CZ32" s="267"/>
      <c r="DA32" s="267"/>
      <c r="DB32" s="267"/>
      <c r="DC32" s="267"/>
      <c r="DD32" s="267"/>
      <c r="DE32" s="267"/>
      <c r="DF32" s="267"/>
      <c r="DG32" s="267"/>
      <c r="DH32" s="267"/>
      <c r="DI32" s="267"/>
      <c r="DJ32" s="267"/>
      <c r="DK32" s="267"/>
      <c r="DL32" s="267"/>
      <c r="DM32" s="267"/>
      <c r="DN32" s="267"/>
      <c r="DO32" s="267"/>
      <c r="DP32" s="267"/>
      <c r="DQ32" s="267"/>
      <c r="DR32" s="267"/>
      <c r="DS32" s="267"/>
      <c r="DT32" s="267"/>
      <c r="DU32" s="267"/>
      <c r="DV32" s="267"/>
      <c r="DW32" s="267"/>
      <c r="DX32" s="267"/>
      <c r="DY32" s="267"/>
      <c r="DZ32" s="267"/>
      <c r="EA32" s="267"/>
      <c r="EB32" s="267"/>
      <c r="EC32" s="267"/>
      <c r="ED32" s="267"/>
      <c r="EE32" s="267"/>
      <c r="EF32" s="267"/>
      <c r="EG32" s="267"/>
      <c r="EH32" s="267"/>
      <c r="EI32" s="267"/>
      <c r="EJ32" s="267"/>
      <c r="EK32" s="267"/>
      <c r="EL32" s="267"/>
      <c r="EM32" s="267"/>
      <c r="EN32" s="267"/>
      <c r="EO32" s="267"/>
      <c r="EP32" s="267"/>
      <c r="EQ32" s="267"/>
      <c r="ER32" s="267"/>
      <c r="ES32" s="267"/>
      <c r="ET32" s="267"/>
      <c r="EU32" s="267"/>
      <c r="EV32" s="267"/>
      <c r="EW32" s="267"/>
      <c r="EX32" s="267"/>
      <c r="EY32" s="267"/>
      <c r="EZ32" s="267"/>
      <c r="FA32" s="267"/>
      <c r="FB32" s="267"/>
      <c r="FC32" s="267"/>
      <c r="FD32" s="267"/>
      <c r="FE32" s="267"/>
      <c r="FF32" s="267"/>
      <c r="FG32" s="267"/>
      <c r="FH32" s="267"/>
      <c r="FI32" s="267"/>
      <c r="FJ32" s="267"/>
      <c r="FK32" s="267"/>
      <c r="FL32" s="267"/>
      <c r="FM32" s="267"/>
      <c r="FN32" s="267"/>
      <c r="FO32" s="267"/>
      <c r="FP32" s="267"/>
      <c r="FQ32" s="267"/>
      <c r="FR32" s="267"/>
      <c r="FS32" s="267"/>
      <c r="FT32" s="267"/>
      <c r="FU32" s="267"/>
      <c r="FV32" s="267"/>
      <c r="FW32" s="267"/>
      <c r="FX32" s="267"/>
      <c r="FY32" s="267"/>
      <c r="FZ32" s="267"/>
      <c r="GA32" s="267"/>
      <c r="GB32" s="267"/>
      <c r="GC32" s="267"/>
      <c r="GD32" s="267"/>
      <c r="GE32" s="267"/>
      <c r="GF32" s="267"/>
      <c r="GG32" s="267"/>
      <c r="GH32" s="267"/>
      <c r="GI32" s="267"/>
      <c r="GJ32" s="267"/>
      <c r="GK32" s="267"/>
      <c r="GL32" s="267"/>
      <c r="GM32" s="267"/>
      <c r="GN32" s="267"/>
      <c r="GO32" s="267"/>
      <c r="GP32" s="267"/>
      <c r="GQ32" s="267"/>
      <c r="GR32" s="267"/>
      <c r="GS32" s="267"/>
      <c r="GT32" s="267"/>
      <c r="GU32" s="267"/>
      <c r="GV32" s="267"/>
      <c r="GW32" s="267"/>
      <c r="GX32" s="267"/>
      <c r="GY32" s="267"/>
      <c r="GZ32" s="267"/>
      <c r="HA32" s="267"/>
      <c r="HB32" s="267"/>
      <c r="HC32" s="267"/>
      <c r="HD32" s="267"/>
      <c r="HE32" s="267"/>
      <c r="HF32" s="267"/>
      <c r="HG32" s="267"/>
      <c r="HH32" s="267"/>
      <c r="HI32" s="267"/>
      <c r="HJ32" s="267"/>
      <c r="HK32" s="267"/>
      <c r="HL32" s="267"/>
      <c r="HM32" s="267"/>
      <c r="HN32" s="267"/>
      <c r="HO32" s="267"/>
      <c r="HP32" s="267"/>
      <c r="HQ32" s="267"/>
      <c r="HR32" s="267"/>
      <c r="HS32" s="267"/>
      <c r="HT32" s="267"/>
      <c r="HU32" s="267"/>
      <c r="HV32" s="267"/>
      <c r="HW32" s="267"/>
      <c r="HX32" s="267"/>
      <c r="HY32" s="267"/>
      <c r="HZ32" s="267"/>
      <c r="IA32" s="267"/>
      <c r="IB32" s="267"/>
      <c r="IC32" s="267"/>
      <c r="ID32" s="267"/>
      <c r="IE32" s="267"/>
      <c r="IF32" s="267"/>
      <c r="IG32" s="267"/>
      <c r="IH32" s="267"/>
      <c r="II32" s="267"/>
      <c r="IJ32" s="267"/>
      <c r="IK32" s="267"/>
      <c r="IL32" s="267"/>
      <c r="IM32" s="267"/>
      <c r="IN32" s="267"/>
      <c r="IO32" s="267"/>
      <c r="IP32" s="267"/>
      <c r="IQ32" s="267"/>
      <c r="IR32" s="267"/>
      <c r="IS32" s="267"/>
      <c r="IT32" s="267"/>
      <c r="IU32" s="267"/>
      <c r="IV32" s="267"/>
    </row>
    <row r="33" spans="1:17" s="519" customFormat="1" ht="18" customHeight="1">
      <c r="A33" s="447">
        <v>25</v>
      </c>
      <c r="B33" s="511"/>
      <c r="C33" s="285"/>
      <c r="D33" s="269" t="s">
        <v>635</v>
      </c>
      <c r="E33" s="514"/>
      <c r="F33" s="515"/>
      <c r="G33" s="516"/>
      <c r="H33" s="527"/>
      <c r="I33" s="524"/>
      <c r="J33" s="517"/>
      <c r="K33" s="517"/>
      <c r="L33" s="517"/>
      <c r="M33" s="538"/>
      <c r="N33" s="517"/>
      <c r="O33" s="517"/>
      <c r="P33" s="510"/>
      <c r="Q33" s="518"/>
    </row>
    <row r="34" spans="1:256" s="433" customFormat="1" ht="18" customHeight="1" thickBot="1">
      <c r="A34" s="447">
        <v>26</v>
      </c>
      <c r="B34" s="441"/>
      <c r="C34" s="568"/>
      <c r="D34" s="569" t="s">
        <v>283</v>
      </c>
      <c r="E34" s="276">
        <f>F34+G34+P34</f>
        <v>183275</v>
      </c>
      <c r="F34" s="579"/>
      <c r="G34" s="580"/>
      <c r="H34" s="581"/>
      <c r="I34" s="728"/>
      <c r="J34" s="579"/>
      <c r="K34" s="579"/>
      <c r="L34" s="579"/>
      <c r="M34" s="573">
        <v>183275</v>
      </c>
      <c r="N34" s="579"/>
      <c r="O34" s="579"/>
      <c r="P34" s="574">
        <f>SUM(I34:O34)</f>
        <v>183275</v>
      </c>
      <c r="Q34" s="5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267"/>
      <c r="BF34" s="267"/>
      <c r="BG34" s="267"/>
      <c r="BH34" s="267"/>
      <c r="BI34" s="267"/>
      <c r="BJ34" s="267"/>
      <c r="BK34" s="267"/>
      <c r="BL34" s="267"/>
      <c r="BM34" s="267"/>
      <c r="BN34" s="267"/>
      <c r="BO34" s="267"/>
      <c r="BP34" s="267"/>
      <c r="BQ34" s="267"/>
      <c r="BR34" s="267"/>
      <c r="BS34" s="267"/>
      <c r="BT34" s="267"/>
      <c r="BU34" s="267"/>
      <c r="BV34" s="267"/>
      <c r="BW34" s="267"/>
      <c r="BX34" s="267"/>
      <c r="BY34" s="267"/>
      <c r="BZ34" s="267"/>
      <c r="CA34" s="267"/>
      <c r="CB34" s="267"/>
      <c r="CC34" s="267"/>
      <c r="CD34" s="267"/>
      <c r="CE34" s="267"/>
      <c r="CF34" s="267"/>
      <c r="CG34" s="267"/>
      <c r="CH34" s="267"/>
      <c r="CI34" s="267"/>
      <c r="CJ34" s="267"/>
      <c r="CK34" s="267"/>
      <c r="CL34" s="267"/>
      <c r="CM34" s="267"/>
      <c r="CN34" s="267"/>
      <c r="CO34" s="267"/>
      <c r="CP34" s="267"/>
      <c r="CQ34" s="267"/>
      <c r="CR34" s="267"/>
      <c r="CS34" s="267"/>
      <c r="CT34" s="267"/>
      <c r="CU34" s="267"/>
      <c r="CV34" s="267"/>
      <c r="CW34" s="267"/>
      <c r="CX34" s="267"/>
      <c r="CY34" s="267"/>
      <c r="CZ34" s="267"/>
      <c r="DA34" s="267"/>
      <c r="DB34" s="267"/>
      <c r="DC34" s="267"/>
      <c r="DD34" s="267"/>
      <c r="DE34" s="267"/>
      <c r="DF34" s="267"/>
      <c r="DG34" s="267"/>
      <c r="DH34" s="267"/>
      <c r="DI34" s="267"/>
      <c r="DJ34" s="267"/>
      <c r="DK34" s="267"/>
      <c r="DL34" s="267"/>
      <c r="DM34" s="267"/>
      <c r="DN34" s="267"/>
      <c r="DO34" s="267"/>
      <c r="DP34" s="267"/>
      <c r="DQ34" s="267"/>
      <c r="DR34" s="267"/>
      <c r="DS34" s="267"/>
      <c r="DT34" s="267"/>
      <c r="DU34" s="267"/>
      <c r="DV34" s="267"/>
      <c r="DW34" s="267"/>
      <c r="DX34" s="267"/>
      <c r="DY34" s="267"/>
      <c r="DZ34" s="267"/>
      <c r="EA34" s="267"/>
      <c r="EB34" s="267"/>
      <c r="EC34" s="267"/>
      <c r="ED34" s="267"/>
      <c r="EE34" s="267"/>
      <c r="EF34" s="267"/>
      <c r="EG34" s="267"/>
      <c r="EH34" s="267"/>
      <c r="EI34" s="267"/>
      <c r="EJ34" s="267"/>
      <c r="EK34" s="267"/>
      <c r="EL34" s="267"/>
      <c r="EM34" s="267"/>
      <c r="EN34" s="267"/>
      <c r="EO34" s="267"/>
      <c r="EP34" s="267"/>
      <c r="EQ34" s="267"/>
      <c r="ER34" s="267"/>
      <c r="ES34" s="267"/>
      <c r="ET34" s="267"/>
      <c r="EU34" s="267"/>
      <c r="EV34" s="267"/>
      <c r="EW34" s="267"/>
      <c r="EX34" s="267"/>
      <c r="EY34" s="267"/>
      <c r="EZ34" s="267"/>
      <c r="FA34" s="267"/>
      <c r="FB34" s="267"/>
      <c r="FC34" s="267"/>
      <c r="FD34" s="267"/>
      <c r="FE34" s="267"/>
      <c r="FF34" s="267"/>
      <c r="FG34" s="267"/>
      <c r="FH34" s="267"/>
      <c r="FI34" s="267"/>
      <c r="FJ34" s="267"/>
      <c r="FK34" s="267"/>
      <c r="FL34" s="267"/>
      <c r="FM34" s="267"/>
      <c r="FN34" s="267"/>
      <c r="FO34" s="267"/>
      <c r="FP34" s="267"/>
      <c r="FQ34" s="267"/>
      <c r="FR34" s="267"/>
      <c r="FS34" s="267"/>
      <c r="FT34" s="267"/>
      <c r="FU34" s="267"/>
      <c r="FV34" s="267"/>
      <c r="FW34" s="267"/>
      <c r="FX34" s="267"/>
      <c r="FY34" s="267"/>
      <c r="FZ34" s="267"/>
      <c r="GA34" s="267"/>
      <c r="GB34" s="267"/>
      <c r="GC34" s="267"/>
      <c r="GD34" s="267"/>
      <c r="GE34" s="267"/>
      <c r="GF34" s="267"/>
      <c r="GG34" s="267"/>
      <c r="GH34" s="267"/>
      <c r="GI34" s="267"/>
      <c r="GJ34" s="267"/>
      <c r="GK34" s="267"/>
      <c r="GL34" s="267"/>
      <c r="GM34" s="267"/>
      <c r="GN34" s="267"/>
      <c r="GO34" s="267"/>
      <c r="GP34" s="267"/>
      <c r="GQ34" s="267"/>
      <c r="GR34" s="267"/>
      <c r="GS34" s="267"/>
      <c r="GT34" s="267"/>
      <c r="GU34" s="267"/>
      <c r="GV34" s="267"/>
      <c r="GW34" s="267"/>
      <c r="GX34" s="267"/>
      <c r="GY34" s="267"/>
      <c r="GZ34" s="267"/>
      <c r="HA34" s="267"/>
      <c r="HB34" s="267"/>
      <c r="HC34" s="267"/>
      <c r="HD34" s="267"/>
      <c r="HE34" s="267"/>
      <c r="HF34" s="267"/>
      <c r="HG34" s="267"/>
      <c r="HH34" s="267"/>
      <c r="HI34" s="267"/>
      <c r="HJ34" s="267"/>
      <c r="HK34" s="267"/>
      <c r="HL34" s="267"/>
      <c r="HM34" s="267"/>
      <c r="HN34" s="267"/>
      <c r="HO34" s="267"/>
      <c r="HP34" s="267"/>
      <c r="HQ34" s="267"/>
      <c r="HR34" s="267"/>
      <c r="HS34" s="267"/>
      <c r="HT34" s="267"/>
      <c r="HU34" s="267"/>
      <c r="HV34" s="267"/>
      <c r="HW34" s="267"/>
      <c r="HX34" s="267"/>
      <c r="HY34" s="267"/>
      <c r="HZ34" s="267"/>
      <c r="IA34" s="267"/>
      <c r="IB34" s="267"/>
      <c r="IC34" s="267"/>
      <c r="ID34" s="267"/>
      <c r="IE34" s="267"/>
      <c r="IF34" s="267"/>
      <c r="IG34" s="267"/>
      <c r="IH34" s="267"/>
      <c r="II34" s="267"/>
      <c r="IJ34" s="267"/>
      <c r="IK34" s="267"/>
      <c r="IL34" s="267"/>
      <c r="IM34" s="267"/>
      <c r="IN34" s="267"/>
      <c r="IO34" s="267"/>
      <c r="IP34" s="267"/>
      <c r="IQ34" s="267"/>
      <c r="IR34" s="267"/>
      <c r="IS34" s="267"/>
      <c r="IT34" s="267"/>
      <c r="IU34" s="267"/>
      <c r="IV34" s="267"/>
    </row>
    <row r="35" spans="1:256" s="433" customFormat="1" ht="24.75" customHeight="1" thickBot="1" thickTop="1">
      <c r="A35" s="447">
        <v>27</v>
      </c>
      <c r="B35" s="760"/>
      <c r="C35" s="575"/>
      <c r="D35" s="576" t="s">
        <v>645</v>
      </c>
      <c r="E35" s="727">
        <f>E34+E28+E30+E32</f>
        <v>1994667</v>
      </c>
      <c r="F35" s="727">
        <f>F34+F28</f>
        <v>0</v>
      </c>
      <c r="G35" s="732">
        <f>G34+G28</f>
        <v>12966</v>
      </c>
      <c r="H35" s="733"/>
      <c r="I35" s="727">
        <f>I34+I28+I30+I32</f>
        <v>0</v>
      </c>
      <c r="J35" s="727">
        <f aca="true" t="shared" si="2" ref="J35:O35">J34+J28+J30+J32</f>
        <v>0</v>
      </c>
      <c r="K35" s="727">
        <f t="shared" si="2"/>
        <v>29701</v>
      </c>
      <c r="L35" s="727">
        <f t="shared" si="2"/>
        <v>0</v>
      </c>
      <c r="M35" s="727">
        <f t="shared" si="2"/>
        <v>1922005</v>
      </c>
      <c r="N35" s="727">
        <f t="shared" si="2"/>
        <v>0</v>
      </c>
      <c r="O35" s="727">
        <f t="shared" si="2"/>
        <v>0</v>
      </c>
      <c r="P35" s="727">
        <f>SUM(I35:O35)</f>
        <v>1951706</v>
      </c>
      <c r="Q35" s="731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  <c r="BB35" s="267"/>
      <c r="BC35" s="267"/>
      <c r="BD35" s="267"/>
      <c r="BE35" s="267"/>
      <c r="BF35" s="267"/>
      <c r="BG35" s="267"/>
      <c r="BH35" s="267"/>
      <c r="BI35" s="267"/>
      <c r="BJ35" s="267"/>
      <c r="BK35" s="267"/>
      <c r="BL35" s="267"/>
      <c r="BM35" s="267"/>
      <c r="BN35" s="267"/>
      <c r="BO35" s="267"/>
      <c r="BP35" s="267"/>
      <c r="BQ35" s="267"/>
      <c r="BR35" s="267"/>
      <c r="BS35" s="267"/>
      <c r="BT35" s="267"/>
      <c r="BU35" s="267"/>
      <c r="BV35" s="267"/>
      <c r="BW35" s="267"/>
      <c r="BX35" s="267"/>
      <c r="BY35" s="267"/>
      <c r="BZ35" s="267"/>
      <c r="CA35" s="267"/>
      <c r="CB35" s="267"/>
      <c r="CC35" s="267"/>
      <c r="CD35" s="267"/>
      <c r="CE35" s="267"/>
      <c r="CF35" s="267"/>
      <c r="CG35" s="267"/>
      <c r="CH35" s="267"/>
      <c r="CI35" s="267"/>
      <c r="CJ35" s="267"/>
      <c r="CK35" s="267"/>
      <c r="CL35" s="267"/>
      <c r="CM35" s="267"/>
      <c r="CN35" s="267"/>
      <c r="CO35" s="267"/>
      <c r="CP35" s="267"/>
      <c r="CQ35" s="267"/>
      <c r="CR35" s="267"/>
      <c r="CS35" s="267"/>
      <c r="CT35" s="267"/>
      <c r="CU35" s="267"/>
      <c r="CV35" s="267"/>
      <c r="CW35" s="267"/>
      <c r="CX35" s="267"/>
      <c r="CY35" s="267"/>
      <c r="CZ35" s="267"/>
      <c r="DA35" s="267"/>
      <c r="DB35" s="267"/>
      <c r="DC35" s="267"/>
      <c r="DD35" s="267"/>
      <c r="DE35" s="267"/>
      <c r="DF35" s="267"/>
      <c r="DG35" s="267"/>
      <c r="DH35" s="267"/>
      <c r="DI35" s="267"/>
      <c r="DJ35" s="267"/>
      <c r="DK35" s="267"/>
      <c r="DL35" s="267"/>
      <c r="DM35" s="267"/>
      <c r="DN35" s="267"/>
      <c r="DO35" s="267"/>
      <c r="DP35" s="267"/>
      <c r="DQ35" s="267"/>
      <c r="DR35" s="267"/>
      <c r="DS35" s="267"/>
      <c r="DT35" s="267"/>
      <c r="DU35" s="267"/>
      <c r="DV35" s="267"/>
      <c r="DW35" s="267"/>
      <c r="DX35" s="267"/>
      <c r="DY35" s="267"/>
      <c r="DZ35" s="267"/>
      <c r="EA35" s="267"/>
      <c r="EB35" s="267"/>
      <c r="EC35" s="267"/>
      <c r="ED35" s="267"/>
      <c r="EE35" s="267"/>
      <c r="EF35" s="267"/>
      <c r="EG35" s="267"/>
      <c r="EH35" s="267"/>
      <c r="EI35" s="267"/>
      <c r="EJ35" s="267"/>
      <c r="EK35" s="267"/>
      <c r="EL35" s="267"/>
      <c r="EM35" s="267"/>
      <c r="EN35" s="267"/>
      <c r="EO35" s="267"/>
      <c r="EP35" s="267"/>
      <c r="EQ35" s="267"/>
      <c r="ER35" s="267"/>
      <c r="ES35" s="267"/>
      <c r="ET35" s="267"/>
      <c r="EU35" s="267"/>
      <c r="EV35" s="267"/>
      <c r="EW35" s="267"/>
      <c r="EX35" s="267"/>
      <c r="EY35" s="267"/>
      <c r="EZ35" s="267"/>
      <c r="FA35" s="267"/>
      <c r="FB35" s="267"/>
      <c r="FC35" s="267"/>
      <c r="FD35" s="267"/>
      <c r="FE35" s="267"/>
      <c r="FF35" s="267"/>
      <c r="FG35" s="267"/>
      <c r="FH35" s="267"/>
      <c r="FI35" s="267"/>
      <c r="FJ35" s="267"/>
      <c r="FK35" s="267"/>
      <c r="FL35" s="267"/>
      <c r="FM35" s="267"/>
      <c r="FN35" s="267"/>
      <c r="FO35" s="267"/>
      <c r="FP35" s="267"/>
      <c r="FQ35" s="267"/>
      <c r="FR35" s="267"/>
      <c r="FS35" s="267"/>
      <c r="FT35" s="267"/>
      <c r="FU35" s="267"/>
      <c r="FV35" s="267"/>
      <c r="FW35" s="267"/>
      <c r="FX35" s="267"/>
      <c r="FY35" s="267"/>
      <c r="FZ35" s="267"/>
      <c r="GA35" s="267"/>
      <c r="GB35" s="267"/>
      <c r="GC35" s="267"/>
      <c r="GD35" s="267"/>
      <c r="GE35" s="267"/>
      <c r="GF35" s="267"/>
      <c r="GG35" s="267"/>
      <c r="GH35" s="267"/>
      <c r="GI35" s="267"/>
      <c r="GJ35" s="267"/>
      <c r="GK35" s="267"/>
      <c r="GL35" s="267"/>
      <c r="GM35" s="267"/>
      <c r="GN35" s="267"/>
      <c r="GO35" s="267"/>
      <c r="GP35" s="267"/>
      <c r="GQ35" s="267"/>
      <c r="GR35" s="267"/>
      <c r="GS35" s="267"/>
      <c r="GT35" s="267"/>
      <c r="GU35" s="267"/>
      <c r="GV35" s="267"/>
      <c r="GW35" s="267"/>
      <c r="GX35" s="267"/>
      <c r="GY35" s="267"/>
      <c r="GZ35" s="267"/>
      <c r="HA35" s="267"/>
      <c r="HB35" s="267"/>
      <c r="HC35" s="267"/>
      <c r="HD35" s="267"/>
      <c r="HE35" s="267"/>
      <c r="HF35" s="267"/>
      <c r="HG35" s="267"/>
      <c r="HH35" s="267"/>
      <c r="HI35" s="267"/>
      <c r="HJ35" s="267"/>
      <c r="HK35" s="267"/>
      <c r="HL35" s="267"/>
      <c r="HM35" s="267"/>
      <c r="HN35" s="267"/>
      <c r="HO35" s="267"/>
      <c r="HP35" s="267"/>
      <c r="HQ35" s="267"/>
      <c r="HR35" s="267"/>
      <c r="HS35" s="267"/>
      <c r="HT35" s="267"/>
      <c r="HU35" s="267"/>
      <c r="HV35" s="267"/>
      <c r="HW35" s="267"/>
      <c r="HX35" s="267"/>
      <c r="HY35" s="267"/>
      <c r="HZ35" s="267"/>
      <c r="IA35" s="267"/>
      <c r="IB35" s="267"/>
      <c r="IC35" s="267"/>
      <c r="ID35" s="267"/>
      <c r="IE35" s="267"/>
      <c r="IF35" s="267"/>
      <c r="IG35" s="267"/>
      <c r="IH35" s="267"/>
      <c r="II35" s="267"/>
      <c r="IJ35" s="267"/>
      <c r="IK35" s="267"/>
      <c r="IL35" s="267"/>
      <c r="IM35" s="267"/>
      <c r="IN35" s="267"/>
      <c r="IO35" s="267"/>
      <c r="IP35" s="267"/>
      <c r="IQ35" s="267"/>
      <c r="IR35" s="267"/>
      <c r="IS35" s="267"/>
      <c r="IT35" s="267"/>
      <c r="IU35" s="267"/>
      <c r="IV35" s="267"/>
    </row>
    <row r="36" spans="1:256" s="433" customFormat="1" ht="24.75" customHeight="1" thickTop="1">
      <c r="A36" s="447">
        <v>28</v>
      </c>
      <c r="B36" s="441"/>
      <c r="C36" s="556">
        <v>4</v>
      </c>
      <c r="D36" s="564" t="s">
        <v>636</v>
      </c>
      <c r="E36" s="772"/>
      <c r="F36" s="772"/>
      <c r="G36" s="730"/>
      <c r="H36" s="801" t="s">
        <v>24</v>
      </c>
      <c r="I36" s="772"/>
      <c r="J36" s="772"/>
      <c r="K36" s="772"/>
      <c r="L36" s="772"/>
      <c r="M36" s="772"/>
      <c r="N36" s="772"/>
      <c r="O36" s="772"/>
      <c r="P36" s="730"/>
      <c r="Q36" s="768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7"/>
      <c r="BD36" s="267"/>
      <c r="BE36" s="267"/>
      <c r="BF36" s="267"/>
      <c r="BG36" s="267"/>
      <c r="BH36" s="267"/>
      <c r="BI36" s="267"/>
      <c r="BJ36" s="267"/>
      <c r="BK36" s="267"/>
      <c r="BL36" s="267"/>
      <c r="BM36" s="267"/>
      <c r="BN36" s="267"/>
      <c r="BO36" s="267"/>
      <c r="BP36" s="267"/>
      <c r="BQ36" s="267"/>
      <c r="BR36" s="267"/>
      <c r="BS36" s="267"/>
      <c r="BT36" s="267"/>
      <c r="BU36" s="267"/>
      <c r="BV36" s="267"/>
      <c r="BW36" s="267"/>
      <c r="BX36" s="267"/>
      <c r="BY36" s="267"/>
      <c r="BZ36" s="267"/>
      <c r="CA36" s="267"/>
      <c r="CB36" s="267"/>
      <c r="CC36" s="267"/>
      <c r="CD36" s="267"/>
      <c r="CE36" s="267"/>
      <c r="CF36" s="267"/>
      <c r="CG36" s="267"/>
      <c r="CH36" s="267"/>
      <c r="CI36" s="267"/>
      <c r="CJ36" s="267"/>
      <c r="CK36" s="267"/>
      <c r="CL36" s="267"/>
      <c r="CM36" s="267"/>
      <c r="CN36" s="267"/>
      <c r="CO36" s="267"/>
      <c r="CP36" s="267"/>
      <c r="CQ36" s="267"/>
      <c r="CR36" s="267"/>
      <c r="CS36" s="267"/>
      <c r="CT36" s="267"/>
      <c r="CU36" s="267"/>
      <c r="CV36" s="267"/>
      <c r="CW36" s="267"/>
      <c r="CX36" s="267"/>
      <c r="CY36" s="267"/>
      <c r="CZ36" s="267"/>
      <c r="DA36" s="267"/>
      <c r="DB36" s="267"/>
      <c r="DC36" s="267"/>
      <c r="DD36" s="267"/>
      <c r="DE36" s="267"/>
      <c r="DF36" s="267"/>
      <c r="DG36" s="267"/>
      <c r="DH36" s="267"/>
      <c r="DI36" s="267"/>
      <c r="DJ36" s="267"/>
      <c r="DK36" s="267"/>
      <c r="DL36" s="267"/>
      <c r="DM36" s="267"/>
      <c r="DN36" s="267"/>
      <c r="DO36" s="267"/>
      <c r="DP36" s="267"/>
      <c r="DQ36" s="267"/>
      <c r="DR36" s="267"/>
      <c r="DS36" s="267"/>
      <c r="DT36" s="267"/>
      <c r="DU36" s="267"/>
      <c r="DV36" s="267"/>
      <c r="DW36" s="267"/>
      <c r="DX36" s="267"/>
      <c r="DY36" s="267"/>
      <c r="DZ36" s="267"/>
      <c r="EA36" s="267"/>
      <c r="EB36" s="267"/>
      <c r="EC36" s="267"/>
      <c r="ED36" s="267"/>
      <c r="EE36" s="267"/>
      <c r="EF36" s="267"/>
      <c r="EG36" s="267"/>
      <c r="EH36" s="267"/>
      <c r="EI36" s="267"/>
      <c r="EJ36" s="267"/>
      <c r="EK36" s="267"/>
      <c r="EL36" s="267"/>
      <c r="EM36" s="267"/>
      <c r="EN36" s="267"/>
      <c r="EO36" s="267"/>
      <c r="EP36" s="267"/>
      <c r="EQ36" s="267"/>
      <c r="ER36" s="267"/>
      <c r="ES36" s="267"/>
      <c r="ET36" s="267"/>
      <c r="EU36" s="267"/>
      <c r="EV36" s="267"/>
      <c r="EW36" s="267"/>
      <c r="EX36" s="267"/>
      <c r="EY36" s="267"/>
      <c r="EZ36" s="267"/>
      <c r="FA36" s="267"/>
      <c r="FB36" s="267"/>
      <c r="FC36" s="267"/>
      <c r="FD36" s="267"/>
      <c r="FE36" s="267"/>
      <c r="FF36" s="267"/>
      <c r="FG36" s="267"/>
      <c r="FH36" s="267"/>
      <c r="FI36" s="267"/>
      <c r="FJ36" s="267"/>
      <c r="FK36" s="267"/>
      <c r="FL36" s="267"/>
      <c r="FM36" s="267"/>
      <c r="FN36" s="267"/>
      <c r="FO36" s="267"/>
      <c r="FP36" s="267"/>
      <c r="FQ36" s="267"/>
      <c r="FR36" s="267"/>
      <c r="FS36" s="267"/>
      <c r="FT36" s="267"/>
      <c r="FU36" s="267"/>
      <c r="FV36" s="267"/>
      <c r="FW36" s="267"/>
      <c r="FX36" s="267"/>
      <c r="FY36" s="267"/>
      <c r="FZ36" s="267"/>
      <c r="GA36" s="267"/>
      <c r="GB36" s="267"/>
      <c r="GC36" s="267"/>
      <c r="GD36" s="267"/>
      <c r="GE36" s="267"/>
      <c r="GF36" s="267"/>
      <c r="GG36" s="267"/>
      <c r="GH36" s="267"/>
      <c r="GI36" s="267"/>
      <c r="GJ36" s="267"/>
      <c r="GK36" s="267"/>
      <c r="GL36" s="267"/>
      <c r="GM36" s="267"/>
      <c r="GN36" s="267"/>
      <c r="GO36" s="267"/>
      <c r="GP36" s="267"/>
      <c r="GQ36" s="267"/>
      <c r="GR36" s="267"/>
      <c r="GS36" s="267"/>
      <c r="GT36" s="267"/>
      <c r="GU36" s="267"/>
      <c r="GV36" s="267"/>
      <c r="GW36" s="267"/>
      <c r="GX36" s="267"/>
      <c r="GY36" s="267"/>
      <c r="GZ36" s="267"/>
      <c r="HA36" s="267"/>
      <c r="HB36" s="267"/>
      <c r="HC36" s="267"/>
      <c r="HD36" s="267"/>
      <c r="HE36" s="267"/>
      <c r="HF36" s="267"/>
      <c r="HG36" s="267"/>
      <c r="HH36" s="267"/>
      <c r="HI36" s="267"/>
      <c r="HJ36" s="267"/>
      <c r="HK36" s="267"/>
      <c r="HL36" s="267"/>
      <c r="HM36" s="267"/>
      <c r="HN36" s="267"/>
      <c r="HO36" s="267"/>
      <c r="HP36" s="267"/>
      <c r="HQ36" s="267"/>
      <c r="HR36" s="267"/>
      <c r="HS36" s="267"/>
      <c r="HT36" s="267"/>
      <c r="HU36" s="267"/>
      <c r="HV36" s="267"/>
      <c r="HW36" s="267"/>
      <c r="HX36" s="267"/>
      <c r="HY36" s="267"/>
      <c r="HZ36" s="267"/>
      <c r="IA36" s="267"/>
      <c r="IB36" s="267"/>
      <c r="IC36" s="267"/>
      <c r="ID36" s="267"/>
      <c r="IE36" s="267"/>
      <c r="IF36" s="267"/>
      <c r="IG36" s="267"/>
      <c r="IH36" s="267"/>
      <c r="II36" s="267"/>
      <c r="IJ36" s="267"/>
      <c r="IK36" s="267"/>
      <c r="IL36" s="267"/>
      <c r="IM36" s="267"/>
      <c r="IN36" s="267"/>
      <c r="IO36" s="267"/>
      <c r="IP36" s="267"/>
      <c r="IQ36" s="267"/>
      <c r="IR36" s="267"/>
      <c r="IS36" s="267"/>
      <c r="IT36" s="267"/>
      <c r="IU36" s="267"/>
      <c r="IV36" s="267"/>
    </row>
    <row r="37" spans="1:256" s="433" customFormat="1" ht="33.75" customHeight="1">
      <c r="A37" s="447">
        <v>29</v>
      </c>
      <c r="B37" s="441"/>
      <c r="C37" s="285"/>
      <c r="D37" s="269" t="s">
        <v>637</v>
      </c>
      <c r="E37" s="761"/>
      <c r="F37" s="761"/>
      <c r="G37" s="446"/>
      <c r="H37" s="763"/>
      <c r="I37" s="761"/>
      <c r="J37" s="761"/>
      <c r="K37" s="761"/>
      <c r="L37" s="761"/>
      <c r="M37" s="761"/>
      <c r="N37" s="761"/>
      <c r="O37" s="761"/>
      <c r="P37" s="446"/>
      <c r="Q37" s="762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7"/>
      <c r="BQ37" s="267"/>
      <c r="BR37" s="267"/>
      <c r="BS37" s="267"/>
      <c r="BT37" s="267"/>
      <c r="BU37" s="267"/>
      <c r="BV37" s="267"/>
      <c r="BW37" s="267"/>
      <c r="BX37" s="267"/>
      <c r="BY37" s="267"/>
      <c r="BZ37" s="267"/>
      <c r="CA37" s="267"/>
      <c r="CB37" s="267"/>
      <c r="CC37" s="267"/>
      <c r="CD37" s="267"/>
      <c r="CE37" s="267"/>
      <c r="CF37" s="267"/>
      <c r="CG37" s="267"/>
      <c r="CH37" s="267"/>
      <c r="CI37" s="267"/>
      <c r="CJ37" s="267"/>
      <c r="CK37" s="267"/>
      <c r="CL37" s="267"/>
      <c r="CM37" s="267"/>
      <c r="CN37" s="267"/>
      <c r="CO37" s="267"/>
      <c r="CP37" s="267"/>
      <c r="CQ37" s="267"/>
      <c r="CR37" s="267"/>
      <c r="CS37" s="267"/>
      <c r="CT37" s="267"/>
      <c r="CU37" s="267"/>
      <c r="CV37" s="267"/>
      <c r="CW37" s="267"/>
      <c r="CX37" s="267"/>
      <c r="CY37" s="267"/>
      <c r="CZ37" s="267"/>
      <c r="DA37" s="267"/>
      <c r="DB37" s="267"/>
      <c r="DC37" s="267"/>
      <c r="DD37" s="267"/>
      <c r="DE37" s="267"/>
      <c r="DF37" s="267"/>
      <c r="DG37" s="267"/>
      <c r="DH37" s="267"/>
      <c r="DI37" s="267"/>
      <c r="DJ37" s="267"/>
      <c r="DK37" s="267"/>
      <c r="DL37" s="267"/>
      <c r="DM37" s="267"/>
      <c r="DN37" s="267"/>
      <c r="DO37" s="267"/>
      <c r="DP37" s="267"/>
      <c r="DQ37" s="267"/>
      <c r="DR37" s="267"/>
      <c r="DS37" s="267"/>
      <c r="DT37" s="267"/>
      <c r="DU37" s="267"/>
      <c r="DV37" s="267"/>
      <c r="DW37" s="267"/>
      <c r="DX37" s="267"/>
      <c r="DY37" s="267"/>
      <c r="DZ37" s="267"/>
      <c r="EA37" s="267"/>
      <c r="EB37" s="267"/>
      <c r="EC37" s="267"/>
      <c r="ED37" s="267"/>
      <c r="EE37" s="267"/>
      <c r="EF37" s="267"/>
      <c r="EG37" s="267"/>
      <c r="EH37" s="267"/>
      <c r="EI37" s="267"/>
      <c r="EJ37" s="267"/>
      <c r="EK37" s="267"/>
      <c r="EL37" s="267"/>
      <c r="EM37" s="267"/>
      <c r="EN37" s="267"/>
      <c r="EO37" s="267"/>
      <c r="EP37" s="267"/>
      <c r="EQ37" s="267"/>
      <c r="ER37" s="267"/>
      <c r="ES37" s="267"/>
      <c r="ET37" s="267"/>
      <c r="EU37" s="267"/>
      <c r="EV37" s="267"/>
      <c r="EW37" s="267"/>
      <c r="EX37" s="267"/>
      <c r="EY37" s="267"/>
      <c r="EZ37" s="267"/>
      <c r="FA37" s="267"/>
      <c r="FB37" s="267"/>
      <c r="FC37" s="267"/>
      <c r="FD37" s="267"/>
      <c r="FE37" s="267"/>
      <c r="FF37" s="267"/>
      <c r="FG37" s="267"/>
      <c r="FH37" s="267"/>
      <c r="FI37" s="267"/>
      <c r="FJ37" s="267"/>
      <c r="FK37" s="267"/>
      <c r="FL37" s="267"/>
      <c r="FM37" s="267"/>
      <c r="FN37" s="267"/>
      <c r="FO37" s="267"/>
      <c r="FP37" s="267"/>
      <c r="FQ37" s="267"/>
      <c r="FR37" s="267"/>
      <c r="FS37" s="267"/>
      <c r="FT37" s="267"/>
      <c r="FU37" s="267"/>
      <c r="FV37" s="267"/>
      <c r="FW37" s="267"/>
      <c r="FX37" s="267"/>
      <c r="FY37" s="267"/>
      <c r="FZ37" s="267"/>
      <c r="GA37" s="267"/>
      <c r="GB37" s="267"/>
      <c r="GC37" s="267"/>
      <c r="GD37" s="267"/>
      <c r="GE37" s="267"/>
      <c r="GF37" s="267"/>
      <c r="GG37" s="267"/>
      <c r="GH37" s="267"/>
      <c r="GI37" s="267"/>
      <c r="GJ37" s="267"/>
      <c r="GK37" s="267"/>
      <c r="GL37" s="267"/>
      <c r="GM37" s="267"/>
      <c r="GN37" s="267"/>
      <c r="GO37" s="267"/>
      <c r="GP37" s="267"/>
      <c r="GQ37" s="267"/>
      <c r="GR37" s="267"/>
      <c r="GS37" s="267"/>
      <c r="GT37" s="267"/>
      <c r="GU37" s="267"/>
      <c r="GV37" s="267"/>
      <c r="GW37" s="267"/>
      <c r="GX37" s="267"/>
      <c r="GY37" s="267"/>
      <c r="GZ37" s="267"/>
      <c r="HA37" s="267"/>
      <c r="HB37" s="267"/>
      <c r="HC37" s="267"/>
      <c r="HD37" s="267"/>
      <c r="HE37" s="267"/>
      <c r="HF37" s="267"/>
      <c r="HG37" s="267"/>
      <c r="HH37" s="267"/>
      <c r="HI37" s="267"/>
      <c r="HJ37" s="267"/>
      <c r="HK37" s="267"/>
      <c r="HL37" s="267"/>
      <c r="HM37" s="267"/>
      <c r="HN37" s="267"/>
      <c r="HO37" s="267"/>
      <c r="HP37" s="267"/>
      <c r="HQ37" s="267"/>
      <c r="HR37" s="267"/>
      <c r="HS37" s="267"/>
      <c r="HT37" s="267"/>
      <c r="HU37" s="267"/>
      <c r="HV37" s="267"/>
      <c r="HW37" s="267"/>
      <c r="HX37" s="267"/>
      <c r="HY37" s="267"/>
      <c r="HZ37" s="267"/>
      <c r="IA37" s="267"/>
      <c r="IB37" s="267"/>
      <c r="IC37" s="267"/>
      <c r="ID37" s="267"/>
      <c r="IE37" s="267"/>
      <c r="IF37" s="267"/>
      <c r="IG37" s="267"/>
      <c r="IH37" s="267"/>
      <c r="II37" s="267"/>
      <c r="IJ37" s="267"/>
      <c r="IK37" s="267"/>
      <c r="IL37" s="267"/>
      <c r="IM37" s="267"/>
      <c r="IN37" s="267"/>
      <c r="IO37" s="267"/>
      <c r="IP37" s="267"/>
      <c r="IQ37" s="267"/>
      <c r="IR37" s="267"/>
      <c r="IS37" s="267"/>
      <c r="IT37" s="267"/>
      <c r="IU37" s="267"/>
      <c r="IV37" s="267"/>
    </row>
    <row r="38" spans="1:256" s="433" customFormat="1" ht="18" customHeight="1" thickBot="1">
      <c r="A38" s="447">
        <v>30</v>
      </c>
      <c r="B38" s="441"/>
      <c r="C38" s="757"/>
      <c r="D38" s="513" t="s">
        <v>283</v>
      </c>
      <c r="E38" s="276">
        <f>F38+G38+P38</f>
        <v>16788</v>
      </c>
      <c r="F38" s="758"/>
      <c r="G38" s="837">
        <v>6745</v>
      </c>
      <c r="H38" s="759"/>
      <c r="I38" s="758"/>
      <c r="J38" s="758"/>
      <c r="K38" s="538">
        <v>531</v>
      </c>
      <c r="L38" s="758"/>
      <c r="M38" s="538">
        <v>9512</v>
      </c>
      <c r="N38" s="758"/>
      <c r="O38" s="758"/>
      <c r="P38" s="510">
        <f>SUM(I38:O38)</f>
        <v>10043</v>
      </c>
      <c r="Q38" s="774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267"/>
      <c r="AR38" s="267"/>
      <c r="AS38" s="267"/>
      <c r="AT38" s="267"/>
      <c r="AU38" s="267"/>
      <c r="AV38" s="267"/>
      <c r="AW38" s="267"/>
      <c r="AX38" s="267"/>
      <c r="AY38" s="267"/>
      <c r="AZ38" s="267"/>
      <c r="BA38" s="267"/>
      <c r="BB38" s="267"/>
      <c r="BC38" s="267"/>
      <c r="BD38" s="267"/>
      <c r="BE38" s="267"/>
      <c r="BF38" s="267"/>
      <c r="BG38" s="267"/>
      <c r="BH38" s="267"/>
      <c r="BI38" s="267"/>
      <c r="BJ38" s="267"/>
      <c r="BK38" s="267"/>
      <c r="BL38" s="267"/>
      <c r="BM38" s="267"/>
      <c r="BN38" s="267"/>
      <c r="BO38" s="267"/>
      <c r="BP38" s="267"/>
      <c r="BQ38" s="267"/>
      <c r="BR38" s="267"/>
      <c r="BS38" s="267"/>
      <c r="BT38" s="267"/>
      <c r="BU38" s="267"/>
      <c r="BV38" s="267"/>
      <c r="BW38" s="267"/>
      <c r="BX38" s="267"/>
      <c r="BY38" s="267"/>
      <c r="BZ38" s="267"/>
      <c r="CA38" s="267"/>
      <c r="CB38" s="267"/>
      <c r="CC38" s="267"/>
      <c r="CD38" s="267"/>
      <c r="CE38" s="267"/>
      <c r="CF38" s="267"/>
      <c r="CG38" s="267"/>
      <c r="CH38" s="267"/>
      <c r="CI38" s="267"/>
      <c r="CJ38" s="267"/>
      <c r="CK38" s="267"/>
      <c r="CL38" s="267"/>
      <c r="CM38" s="267"/>
      <c r="CN38" s="267"/>
      <c r="CO38" s="267"/>
      <c r="CP38" s="267"/>
      <c r="CQ38" s="267"/>
      <c r="CR38" s="267"/>
      <c r="CS38" s="267"/>
      <c r="CT38" s="267"/>
      <c r="CU38" s="267"/>
      <c r="CV38" s="267"/>
      <c r="CW38" s="267"/>
      <c r="CX38" s="267"/>
      <c r="CY38" s="267"/>
      <c r="CZ38" s="267"/>
      <c r="DA38" s="267"/>
      <c r="DB38" s="267"/>
      <c r="DC38" s="267"/>
      <c r="DD38" s="267"/>
      <c r="DE38" s="267"/>
      <c r="DF38" s="267"/>
      <c r="DG38" s="267"/>
      <c r="DH38" s="267"/>
      <c r="DI38" s="267"/>
      <c r="DJ38" s="267"/>
      <c r="DK38" s="267"/>
      <c r="DL38" s="267"/>
      <c r="DM38" s="267"/>
      <c r="DN38" s="267"/>
      <c r="DO38" s="267"/>
      <c r="DP38" s="267"/>
      <c r="DQ38" s="267"/>
      <c r="DR38" s="267"/>
      <c r="DS38" s="267"/>
      <c r="DT38" s="267"/>
      <c r="DU38" s="267"/>
      <c r="DV38" s="267"/>
      <c r="DW38" s="267"/>
      <c r="DX38" s="267"/>
      <c r="DY38" s="267"/>
      <c r="DZ38" s="267"/>
      <c r="EA38" s="267"/>
      <c r="EB38" s="267"/>
      <c r="EC38" s="267"/>
      <c r="ED38" s="267"/>
      <c r="EE38" s="267"/>
      <c r="EF38" s="267"/>
      <c r="EG38" s="267"/>
      <c r="EH38" s="267"/>
      <c r="EI38" s="267"/>
      <c r="EJ38" s="267"/>
      <c r="EK38" s="267"/>
      <c r="EL38" s="267"/>
      <c r="EM38" s="267"/>
      <c r="EN38" s="267"/>
      <c r="EO38" s="267"/>
      <c r="EP38" s="267"/>
      <c r="EQ38" s="267"/>
      <c r="ER38" s="267"/>
      <c r="ES38" s="267"/>
      <c r="ET38" s="267"/>
      <c r="EU38" s="267"/>
      <c r="EV38" s="267"/>
      <c r="EW38" s="267"/>
      <c r="EX38" s="267"/>
      <c r="EY38" s="267"/>
      <c r="EZ38" s="267"/>
      <c r="FA38" s="267"/>
      <c r="FB38" s="267"/>
      <c r="FC38" s="267"/>
      <c r="FD38" s="267"/>
      <c r="FE38" s="267"/>
      <c r="FF38" s="267"/>
      <c r="FG38" s="267"/>
      <c r="FH38" s="267"/>
      <c r="FI38" s="267"/>
      <c r="FJ38" s="267"/>
      <c r="FK38" s="267"/>
      <c r="FL38" s="267"/>
      <c r="FM38" s="267"/>
      <c r="FN38" s="267"/>
      <c r="FO38" s="267"/>
      <c r="FP38" s="267"/>
      <c r="FQ38" s="267"/>
      <c r="FR38" s="267"/>
      <c r="FS38" s="267"/>
      <c r="FT38" s="267"/>
      <c r="FU38" s="267"/>
      <c r="FV38" s="267"/>
      <c r="FW38" s="267"/>
      <c r="FX38" s="267"/>
      <c r="FY38" s="267"/>
      <c r="FZ38" s="267"/>
      <c r="GA38" s="267"/>
      <c r="GB38" s="267"/>
      <c r="GC38" s="267"/>
      <c r="GD38" s="267"/>
      <c r="GE38" s="267"/>
      <c r="GF38" s="267"/>
      <c r="GG38" s="267"/>
      <c r="GH38" s="267"/>
      <c r="GI38" s="267"/>
      <c r="GJ38" s="267"/>
      <c r="GK38" s="267"/>
      <c r="GL38" s="267"/>
      <c r="GM38" s="267"/>
      <c r="GN38" s="267"/>
      <c r="GO38" s="267"/>
      <c r="GP38" s="267"/>
      <c r="GQ38" s="267"/>
      <c r="GR38" s="267"/>
      <c r="GS38" s="267"/>
      <c r="GT38" s="267"/>
      <c r="GU38" s="267"/>
      <c r="GV38" s="267"/>
      <c r="GW38" s="267"/>
      <c r="GX38" s="267"/>
      <c r="GY38" s="267"/>
      <c r="GZ38" s="267"/>
      <c r="HA38" s="267"/>
      <c r="HB38" s="267"/>
      <c r="HC38" s="267"/>
      <c r="HD38" s="267"/>
      <c r="HE38" s="267"/>
      <c r="HF38" s="267"/>
      <c r="HG38" s="267"/>
      <c r="HH38" s="267"/>
      <c r="HI38" s="267"/>
      <c r="HJ38" s="267"/>
      <c r="HK38" s="267"/>
      <c r="HL38" s="267"/>
      <c r="HM38" s="267"/>
      <c r="HN38" s="267"/>
      <c r="HO38" s="267"/>
      <c r="HP38" s="267"/>
      <c r="HQ38" s="267"/>
      <c r="HR38" s="267"/>
      <c r="HS38" s="267"/>
      <c r="HT38" s="267"/>
      <c r="HU38" s="267"/>
      <c r="HV38" s="267"/>
      <c r="HW38" s="267"/>
      <c r="HX38" s="267"/>
      <c r="HY38" s="267"/>
      <c r="HZ38" s="267"/>
      <c r="IA38" s="267"/>
      <c r="IB38" s="267"/>
      <c r="IC38" s="267"/>
      <c r="ID38" s="267"/>
      <c r="IE38" s="267"/>
      <c r="IF38" s="267"/>
      <c r="IG38" s="267"/>
      <c r="IH38" s="267"/>
      <c r="II38" s="267"/>
      <c r="IJ38" s="267"/>
      <c r="IK38" s="267"/>
      <c r="IL38" s="267"/>
      <c r="IM38" s="267"/>
      <c r="IN38" s="267"/>
      <c r="IO38" s="267"/>
      <c r="IP38" s="267"/>
      <c r="IQ38" s="267"/>
      <c r="IR38" s="267"/>
      <c r="IS38" s="267"/>
      <c r="IT38" s="267"/>
      <c r="IU38" s="267"/>
      <c r="IV38" s="267"/>
    </row>
    <row r="39" spans="1:256" s="433" customFormat="1" ht="24.75" customHeight="1" thickBot="1" thickTop="1">
      <c r="A39" s="447">
        <v>31</v>
      </c>
      <c r="B39" s="441"/>
      <c r="C39" s="575"/>
      <c r="D39" s="576" t="s">
        <v>644</v>
      </c>
      <c r="E39" s="727">
        <f>SUM(E38)</f>
        <v>16788</v>
      </c>
      <c r="F39" s="727">
        <f>SUM(F38)</f>
        <v>0</v>
      </c>
      <c r="G39" s="769">
        <f>SUM(G38)</f>
        <v>6745</v>
      </c>
      <c r="H39" s="770"/>
      <c r="I39" s="727">
        <f>I38</f>
        <v>0</v>
      </c>
      <c r="J39" s="727">
        <f aca="true" t="shared" si="3" ref="J39:O39">J38</f>
        <v>0</v>
      </c>
      <c r="K39" s="727">
        <f t="shared" si="3"/>
        <v>531</v>
      </c>
      <c r="L39" s="727">
        <f t="shared" si="3"/>
        <v>0</v>
      </c>
      <c r="M39" s="727">
        <f t="shared" si="3"/>
        <v>9512</v>
      </c>
      <c r="N39" s="727">
        <f t="shared" si="3"/>
        <v>0</v>
      </c>
      <c r="O39" s="727">
        <f t="shared" si="3"/>
        <v>0</v>
      </c>
      <c r="P39" s="769">
        <f>SUM(I39:O39)</f>
        <v>10043</v>
      </c>
      <c r="Q39" s="771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  <c r="BF39" s="267"/>
      <c r="BG39" s="267"/>
      <c r="BH39" s="267"/>
      <c r="BI39" s="267"/>
      <c r="BJ39" s="267"/>
      <c r="BK39" s="267"/>
      <c r="BL39" s="267"/>
      <c r="BM39" s="267"/>
      <c r="BN39" s="267"/>
      <c r="BO39" s="267"/>
      <c r="BP39" s="267"/>
      <c r="BQ39" s="267"/>
      <c r="BR39" s="267"/>
      <c r="BS39" s="267"/>
      <c r="BT39" s="267"/>
      <c r="BU39" s="267"/>
      <c r="BV39" s="267"/>
      <c r="BW39" s="267"/>
      <c r="BX39" s="267"/>
      <c r="BY39" s="267"/>
      <c r="BZ39" s="267"/>
      <c r="CA39" s="267"/>
      <c r="CB39" s="267"/>
      <c r="CC39" s="267"/>
      <c r="CD39" s="267"/>
      <c r="CE39" s="267"/>
      <c r="CF39" s="267"/>
      <c r="CG39" s="267"/>
      <c r="CH39" s="267"/>
      <c r="CI39" s="267"/>
      <c r="CJ39" s="267"/>
      <c r="CK39" s="267"/>
      <c r="CL39" s="267"/>
      <c r="CM39" s="267"/>
      <c r="CN39" s="267"/>
      <c r="CO39" s="267"/>
      <c r="CP39" s="267"/>
      <c r="CQ39" s="267"/>
      <c r="CR39" s="267"/>
      <c r="CS39" s="267"/>
      <c r="CT39" s="267"/>
      <c r="CU39" s="267"/>
      <c r="CV39" s="267"/>
      <c r="CW39" s="267"/>
      <c r="CX39" s="267"/>
      <c r="CY39" s="267"/>
      <c r="CZ39" s="267"/>
      <c r="DA39" s="267"/>
      <c r="DB39" s="267"/>
      <c r="DC39" s="267"/>
      <c r="DD39" s="267"/>
      <c r="DE39" s="267"/>
      <c r="DF39" s="267"/>
      <c r="DG39" s="267"/>
      <c r="DH39" s="267"/>
      <c r="DI39" s="267"/>
      <c r="DJ39" s="267"/>
      <c r="DK39" s="267"/>
      <c r="DL39" s="267"/>
      <c r="DM39" s="267"/>
      <c r="DN39" s="267"/>
      <c r="DO39" s="267"/>
      <c r="DP39" s="267"/>
      <c r="DQ39" s="267"/>
      <c r="DR39" s="267"/>
      <c r="DS39" s="267"/>
      <c r="DT39" s="267"/>
      <c r="DU39" s="267"/>
      <c r="DV39" s="267"/>
      <c r="DW39" s="267"/>
      <c r="DX39" s="267"/>
      <c r="DY39" s="267"/>
      <c r="DZ39" s="267"/>
      <c r="EA39" s="267"/>
      <c r="EB39" s="267"/>
      <c r="EC39" s="267"/>
      <c r="ED39" s="267"/>
      <c r="EE39" s="267"/>
      <c r="EF39" s="267"/>
      <c r="EG39" s="267"/>
      <c r="EH39" s="267"/>
      <c r="EI39" s="267"/>
      <c r="EJ39" s="267"/>
      <c r="EK39" s="267"/>
      <c r="EL39" s="267"/>
      <c r="EM39" s="267"/>
      <c r="EN39" s="267"/>
      <c r="EO39" s="267"/>
      <c r="EP39" s="267"/>
      <c r="EQ39" s="267"/>
      <c r="ER39" s="267"/>
      <c r="ES39" s="267"/>
      <c r="ET39" s="267"/>
      <c r="EU39" s="267"/>
      <c r="EV39" s="267"/>
      <c r="EW39" s="267"/>
      <c r="EX39" s="267"/>
      <c r="EY39" s="267"/>
      <c r="EZ39" s="267"/>
      <c r="FA39" s="267"/>
      <c r="FB39" s="267"/>
      <c r="FC39" s="267"/>
      <c r="FD39" s="267"/>
      <c r="FE39" s="267"/>
      <c r="FF39" s="267"/>
      <c r="FG39" s="267"/>
      <c r="FH39" s="267"/>
      <c r="FI39" s="267"/>
      <c r="FJ39" s="267"/>
      <c r="FK39" s="267"/>
      <c r="FL39" s="267"/>
      <c r="FM39" s="267"/>
      <c r="FN39" s="267"/>
      <c r="FO39" s="267"/>
      <c r="FP39" s="267"/>
      <c r="FQ39" s="267"/>
      <c r="FR39" s="267"/>
      <c r="FS39" s="267"/>
      <c r="FT39" s="267"/>
      <c r="FU39" s="267"/>
      <c r="FV39" s="267"/>
      <c r="FW39" s="267"/>
      <c r="FX39" s="267"/>
      <c r="FY39" s="267"/>
      <c r="FZ39" s="267"/>
      <c r="GA39" s="267"/>
      <c r="GB39" s="267"/>
      <c r="GC39" s="267"/>
      <c r="GD39" s="267"/>
      <c r="GE39" s="267"/>
      <c r="GF39" s="267"/>
      <c r="GG39" s="267"/>
      <c r="GH39" s="267"/>
      <c r="GI39" s="267"/>
      <c r="GJ39" s="267"/>
      <c r="GK39" s="267"/>
      <c r="GL39" s="267"/>
      <c r="GM39" s="267"/>
      <c r="GN39" s="267"/>
      <c r="GO39" s="267"/>
      <c r="GP39" s="267"/>
      <c r="GQ39" s="267"/>
      <c r="GR39" s="267"/>
      <c r="GS39" s="267"/>
      <c r="GT39" s="267"/>
      <c r="GU39" s="267"/>
      <c r="GV39" s="267"/>
      <c r="GW39" s="267"/>
      <c r="GX39" s="267"/>
      <c r="GY39" s="267"/>
      <c r="GZ39" s="267"/>
      <c r="HA39" s="267"/>
      <c r="HB39" s="267"/>
      <c r="HC39" s="267"/>
      <c r="HD39" s="267"/>
      <c r="HE39" s="267"/>
      <c r="HF39" s="267"/>
      <c r="HG39" s="267"/>
      <c r="HH39" s="267"/>
      <c r="HI39" s="267"/>
      <c r="HJ39" s="267"/>
      <c r="HK39" s="267"/>
      <c r="HL39" s="267"/>
      <c r="HM39" s="267"/>
      <c r="HN39" s="267"/>
      <c r="HO39" s="267"/>
      <c r="HP39" s="267"/>
      <c r="HQ39" s="267"/>
      <c r="HR39" s="267"/>
      <c r="HS39" s="267"/>
      <c r="HT39" s="267"/>
      <c r="HU39" s="267"/>
      <c r="HV39" s="267"/>
      <c r="HW39" s="267"/>
      <c r="HX39" s="267"/>
      <c r="HY39" s="267"/>
      <c r="HZ39" s="267"/>
      <c r="IA39" s="267"/>
      <c r="IB39" s="267"/>
      <c r="IC39" s="267"/>
      <c r="ID39" s="267"/>
      <c r="IE39" s="267"/>
      <c r="IF39" s="267"/>
      <c r="IG39" s="267"/>
      <c r="IH39" s="267"/>
      <c r="II39" s="267"/>
      <c r="IJ39" s="267"/>
      <c r="IK39" s="267"/>
      <c r="IL39" s="267"/>
      <c r="IM39" s="267"/>
      <c r="IN39" s="267"/>
      <c r="IO39" s="267"/>
      <c r="IP39" s="267"/>
      <c r="IQ39" s="267"/>
      <c r="IR39" s="267"/>
      <c r="IS39" s="267"/>
      <c r="IT39" s="267"/>
      <c r="IU39" s="267"/>
      <c r="IV39" s="267"/>
    </row>
    <row r="40" spans="1:17" ht="22.5" customHeight="1" thickTop="1">
      <c r="A40" s="447">
        <v>32</v>
      </c>
      <c r="B40" s="371"/>
      <c r="C40" s="556">
        <v>5</v>
      </c>
      <c r="D40" s="564" t="s">
        <v>562</v>
      </c>
      <c r="E40" s="274"/>
      <c r="F40" s="274"/>
      <c r="G40" s="766"/>
      <c r="H40" s="767" t="s">
        <v>24</v>
      </c>
      <c r="I40" s="274"/>
      <c r="J40" s="274"/>
      <c r="K40" s="274"/>
      <c r="L40" s="274"/>
      <c r="M40" s="274"/>
      <c r="N40" s="274"/>
      <c r="O40" s="274"/>
      <c r="P40" s="730"/>
      <c r="Q40" s="768"/>
    </row>
    <row r="41" spans="1:17" ht="22.5" customHeight="1">
      <c r="A41" s="447">
        <v>33</v>
      </c>
      <c r="B41" s="371"/>
      <c r="C41" s="556"/>
      <c r="D41" s="548" t="s">
        <v>446</v>
      </c>
      <c r="E41" s="274"/>
      <c r="F41" s="274"/>
      <c r="G41" s="273"/>
      <c r="H41" s="525"/>
      <c r="I41" s="729"/>
      <c r="J41" s="274"/>
      <c r="K41" s="274"/>
      <c r="L41" s="274"/>
      <c r="M41" s="274"/>
      <c r="N41" s="274"/>
      <c r="O41" s="274"/>
      <c r="P41" s="730"/>
      <c r="Q41" s="435"/>
    </row>
    <row r="42" spans="1:256" s="433" customFormat="1" ht="18" customHeight="1">
      <c r="A42" s="447">
        <v>34</v>
      </c>
      <c r="B42" s="441"/>
      <c r="C42" s="285"/>
      <c r="D42" s="520" t="s">
        <v>283</v>
      </c>
      <c r="E42" s="276">
        <f>F42+G42+P42</f>
        <v>8500</v>
      </c>
      <c r="F42" s="437"/>
      <c r="G42" s="277">
        <f>3000</f>
        <v>3000</v>
      </c>
      <c r="H42" s="526"/>
      <c r="I42" s="523"/>
      <c r="J42" s="434"/>
      <c r="K42" s="538">
        <v>5500</v>
      </c>
      <c r="L42" s="538"/>
      <c r="M42" s="538"/>
      <c r="N42" s="434"/>
      <c r="O42" s="434"/>
      <c r="P42" s="510">
        <f>SUM(I42:O42)</f>
        <v>5500</v>
      </c>
      <c r="Q42" s="438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P42" s="267"/>
      <c r="AQ42" s="267"/>
      <c r="AR42" s="267"/>
      <c r="AS42" s="267"/>
      <c r="AT42" s="267"/>
      <c r="AU42" s="267"/>
      <c r="AV42" s="267"/>
      <c r="AW42" s="267"/>
      <c r="AX42" s="267"/>
      <c r="AY42" s="267"/>
      <c r="AZ42" s="267"/>
      <c r="BA42" s="267"/>
      <c r="BB42" s="267"/>
      <c r="BC42" s="267"/>
      <c r="BD42" s="267"/>
      <c r="BE42" s="267"/>
      <c r="BF42" s="267"/>
      <c r="BG42" s="267"/>
      <c r="BH42" s="267"/>
      <c r="BI42" s="267"/>
      <c r="BJ42" s="267"/>
      <c r="BK42" s="267"/>
      <c r="BL42" s="267"/>
      <c r="BM42" s="267"/>
      <c r="BN42" s="267"/>
      <c r="BO42" s="267"/>
      <c r="BP42" s="267"/>
      <c r="BQ42" s="267"/>
      <c r="BR42" s="267"/>
      <c r="BS42" s="267"/>
      <c r="BT42" s="267"/>
      <c r="BU42" s="267"/>
      <c r="BV42" s="267"/>
      <c r="BW42" s="267"/>
      <c r="BX42" s="267"/>
      <c r="BY42" s="267"/>
      <c r="BZ42" s="267"/>
      <c r="CA42" s="267"/>
      <c r="CB42" s="267"/>
      <c r="CC42" s="267"/>
      <c r="CD42" s="267"/>
      <c r="CE42" s="267"/>
      <c r="CF42" s="267"/>
      <c r="CG42" s="267"/>
      <c r="CH42" s="267"/>
      <c r="CI42" s="267"/>
      <c r="CJ42" s="267"/>
      <c r="CK42" s="267"/>
      <c r="CL42" s="267"/>
      <c r="CM42" s="267"/>
      <c r="CN42" s="267"/>
      <c r="CO42" s="267"/>
      <c r="CP42" s="267"/>
      <c r="CQ42" s="267"/>
      <c r="CR42" s="267"/>
      <c r="CS42" s="267"/>
      <c r="CT42" s="267"/>
      <c r="CU42" s="267"/>
      <c r="CV42" s="267"/>
      <c r="CW42" s="267"/>
      <c r="CX42" s="267"/>
      <c r="CY42" s="267"/>
      <c r="CZ42" s="267"/>
      <c r="DA42" s="267"/>
      <c r="DB42" s="267"/>
      <c r="DC42" s="267"/>
      <c r="DD42" s="267"/>
      <c r="DE42" s="267"/>
      <c r="DF42" s="267"/>
      <c r="DG42" s="267"/>
      <c r="DH42" s="267"/>
      <c r="DI42" s="267"/>
      <c r="DJ42" s="267"/>
      <c r="DK42" s="267"/>
      <c r="DL42" s="267"/>
      <c r="DM42" s="267"/>
      <c r="DN42" s="267"/>
      <c r="DO42" s="267"/>
      <c r="DP42" s="267"/>
      <c r="DQ42" s="267"/>
      <c r="DR42" s="267"/>
      <c r="DS42" s="267"/>
      <c r="DT42" s="267"/>
      <c r="DU42" s="267"/>
      <c r="DV42" s="267"/>
      <c r="DW42" s="267"/>
      <c r="DX42" s="267"/>
      <c r="DY42" s="267"/>
      <c r="DZ42" s="267"/>
      <c r="EA42" s="267"/>
      <c r="EB42" s="267"/>
      <c r="EC42" s="267"/>
      <c r="ED42" s="267"/>
      <c r="EE42" s="267"/>
      <c r="EF42" s="267"/>
      <c r="EG42" s="267"/>
      <c r="EH42" s="267"/>
      <c r="EI42" s="267"/>
      <c r="EJ42" s="267"/>
      <c r="EK42" s="267"/>
      <c r="EL42" s="267"/>
      <c r="EM42" s="267"/>
      <c r="EN42" s="267"/>
      <c r="EO42" s="267"/>
      <c r="EP42" s="267"/>
      <c r="EQ42" s="267"/>
      <c r="ER42" s="267"/>
      <c r="ES42" s="267"/>
      <c r="ET42" s="267"/>
      <c r="EU42" s="267"/>
      <c r="EV42" s="267"/>
      <c r="EW42" s="267"/>
      <c r="EX42" s="267"/>
      <c r="EY42" s="267"/>
      <c r="EZ42" s="267"/>
      <c r="FA42" s="267"/>
      <c r="FB42" s="267"/>
      <c r="FC42" s="267"/>
      <c r="FD42" s="267"/>
      <c r="FE42" s="267"/>
      <c r="FF42" s="267"/>
      <c r="FG42" s="267"/>
      <c r="FH42" s="267"/>
      <c r="FI42" s="267"/>
      <c r="FJ42" s="267"/>
      <c r="FK42" s="267"/>
      <c r="FL42" s="267"/>
      <c r="FM42" s="267"/>
      <c r="FN42" s="267"/>
      <c r="FO42" s="267"/>
      <c r="FP42" s="267"/>
      <c r="FQ42" s="267"/>
      <c r="FR42" s="267"/>
      <c r="FS42" s="267"/>
      <c r="FT42" s="267"/>
      <c r="FU42" s="267"/>
      <c r="FV42" s="267"/>
      <c r="FW42" s="267"/>
      <c r="FX42" s="267"/>
      <c r="FY42" s="267"/>
      <c r="FZ42" s="267"/>
      <c r="GA42" s="267"/>
      <c r="GB42" s="267"/>
      <c r="GC42" s="267"/>
      <c r="GD42" s="267"/>
      <c r="GE42" s="267"/>
      <c r="GF42" s="267"/>
      <c r="GG42" s="267"/>
      <c r="GH42" s="267"/>
      <c r="GI42" s="267"/>
      <c r="GJ42" s="267"/>
      <c r="GK42" s="267"/>
      <c r="GL42" s="267"/>
      <c r="GM42" s="267"/>
      <c r="GN42" s="267"/>
      <c r="GO42" s="267"/>
      <c r="GP42" s="267"/>
      <c r="GQ42" s="267"/>
      <c r="GR42" s="267"/>
      <c r="GS42" s="267"/>
      <c r="GT42" s="267"/>
      <c r="GU42" s="267"/>
      <c r="GV42" s="267"/>
      <c r="GW42" s="267"/>
      <c r="GX42" s="267"/>
      <c r="GY42" s="267"/>
      <c r="GZ42" s="267"/>
      <c r="HA42" s="267"/>
      <c r="HB42" s="267"/>
      <c r="HC42" s="267"/>
      <c r="HD42" s="267"/>
      <c r="HE42" s="267"/>
      <c r="HF42" s="267"/>
      <c r="HG42" s="267"/>
      <c r="HH42" s="267"/>
      <c r="HI42" s="267"/>
      <c r="HJ42" s="267"/>
      <c r="HK42" s="267"/>
      <c r="HL42" s="267"/>
      <c r="HM42" s="267"/>
      <c r="HN42" s="267"/>
      <c r="HO42" s="267"/>
      <c r="HP42" s="267"/>
      <c r="HQ42" s="267"/>
      <c r="HR42" s="267"/>
      <c r="HS42" s="267"/>
      <c r="HT42" s="267"/>
      <c r="HU42" s="267"/>
      <c r="HV42" s="267"/>
      <c r="HW42" s="267"/>
      <c r="HX42" s="267"/>
      <c r="HY42" s="267"/>
      <c r="HZ42" s="267"/>
      <c r="IA42" s="267"/>
      <c r="IB42" s="267"/>
      <c r="IC42" s="267"/>
      <c r="ID42" s="267"/>
      <c r="IE42" s="267"/>
      <c r="IF42" s="267"/>
      <c r="IG42" s="267"/>
      <c r="IH42" s="267"/>
      <c r="II42" s="267"/>
      <c r="IJ42" s="267"/>
      <c r="IK42" s="267"/>
      <c r="IL42" s="267"/>
      <c r="IM42" s="267"/>
      <c r="IN42" s="267"/>
      <c r="IO42" s="267"/>
      <c r="IP42" s="267"/>
      <c r="IQ42" s="267"/>
      <c r="IR42" s="267"/>
      <c r="IS42" s="267"/>
      <c r="IT42" s="267"/>
      <c r="IU42" s="267"/>
      <c r="IV42" s="267"/>
    </row>
    <row r="43" spans="1:256" s="433" customFormat="1" ht="18" customHeight="1">
      <c r="A43" s="447">
        <v>35</v>
      </c>
      <c r="B43" s="441"/>
      <c r="C43" s="285"/>
      <c r="D43" s="269" t="s">
        <v>638</v>
      </c>
      <c r="E43" s="276"/>
      <c r="F43" s="437"/>
      <c r="G43" s="277"/>
      <c r="H43" s="526"/>
      <c r="I43" s="523"/>
      <c r="J43" s="523"/>
      <c r="K43" s="542"/>
      <c r="L43" s="542"/>
      <c r="M43" s="542"/>
      <c r="N43" s="523"/>
      <c r="O43" s="523"/>
      <c r="P43" s="838"/>
      <c r="Q43" s="438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7"/>
      <c r="AJ43" s="267"/>
      <c r="AK43" s="267"/>
      <c r="AL43" s="267"/>
      <c r="AM43" s="267"/>
      <c r="AN43" s="267"/>
      <c r="AO43" s="267"/>
      <c r="AP43" s="267"/>
      <c r="AQ43" s="267"/>
      <c r="AR43" s="267"/>
      <c r="AS43" s="267"/>
      <c r="AT43" s="267"/>
      <c r="AU43" s="267"/>
      <c r="AV43" s="267"/>
      <c r="AW43" s="267"/>
      <c r="AX43" s="267"/>
      <c r="AY43" s="267"/>
      <c r="AZ43" s="267"/>
      <c r="BA43" s="267"/>
      <c r="BB43" s="267"/>
      <c r="BC43" s="267"/>
      <c r="BD43" s="267"/>
      <c r="BE43" s="267"/>
      <c r="BF43" s="267"/>
      <c r="BG43" s="267"/>
      <c r="BH43" s="267"/>
      <c r="BI43" s="267"/>
      <c r="BJ43" s="267"/>
      <c r="BK43" s="267"/>
      <c r="BL43" s="267"/>
      <c r="BM43" s="267"/>
      <c r="BN43" s="267"/>
      <c r="BO43" s="267"/>
      <c r="BP43" s="267"/>
      <c r="BQ43" s="267"/>
      <c r="BR43" s="267"/>
      <c r="BS43" s="267"/>
      <c r="BT43" s="267"/>
      <c r="BU43" s="267"/>
      <c r="BV43" s="267"/>
      <c r="BW43" s="267"/>
      <c r="BX43" s="267"/>
      <c r="BY43" s="267"/>
      <c r="BZ43" s="267"/>
      <c r="CA43" s="267"/>
      <c r="CB43" s="267"/>
      <c r="CC43" s="267"/>
      <c r="CD43" s="267"/>
      <c r="CE43" s="267"/>
      <c r="CF43" s="267"/>
      <c r="CG43" s="267"/>
      <c r="CH43" s="267"/>
      <c r="CI43" s="267"/>
      <c r="CJ43" s="267"/>
      <c r="CK43" s="267"/>
      <c r="CL43" s="267"/>
      <c r="CM43" s="267"/>
      <c r="CN43" s="267"/>
      <c r="CO43" s="267"/>
      <c r="CP43" s="267"/>
      <c r="CQ43" s="267"/>
      <c r="CR43" s="267"/>
      <c r="CS43" s="267"/>
      <c r="CT43" s="267"/>
      <c r="CU43" s="267"/>
      <c r="CV43" s="267"/>
      <c r="CW43" s="267"/>
      <c r="CX43" s="267"/>
      <c r="CY43" s="267"/>
      <c r="CZ43" s="267"/>
      <c r="DA43" s="267"/>
      <c r="DB43" s="267"/>
      <c r="DC43" s="267"/>
      <c r="DD43" s="267"/>
      <c r="DE43" s="267"/>
      <c r="DF43" s="267"/>
      <c r="DG43" s="267"/>
      <c r="DH43" s="267"/>
      <c r="DI43" s="267"/>
      <c r="DJ43" s="267"/>
      <c r="DK43" s="267"/>
      <c r="DL43" s="267"/>
      <c r="DM43" s="267"/>
      <c r="DN43" s="267"/>
      <c r="DO43" s="267"/>
      <c r="DP43" s="267"/>
      <c r="DQ43" s="267"/>
      <c r="DR43" s="267"/>
      <c r="DS43" s="267"/>
      <c r="DT43" s="267"/>
      <c r="DU43" s="267"/>
      <c r="DV43" s="267"/>
      <c r="DW43" s="267"/>
      <c r="DX43" s="267"/>
      <c r="DY43" s="267"/>
      <c r="DZ43" s="267"/>
      <c r="EA43" s="267"/>
      <c r="EB43" s="267"/>
      <c r="EC43" s="267"/>
      <c r="ED43" s="267"/>
      <c r="EE43" s="267"/>
      <c r="EF43" s="267"/>
      <c r="EG43" s="267"/>
      <c r="EH43" s="267"/>
      <c r="EI43" s="267"/>
      <c r="EJ43" s="267"/>
      <c r="EK43" s="267"/>
      <c r="EL43" s="267"/>
      <c r="EM43" s="267"/>
      <c r="EN43" s="267"/>
      <c r="EO43" s="267"/>
      <c r="EP43" s="267"/>
      <c r="EQ43" s="267"/>
      <c r="ER43" s="267"/>
      <c r="ES43" s="267"/>
      <c r="ET43" s="267"/>
      <c r="EU43" s="267"/>
      <c r="EV43" s="267"/>
      <c r="EW43" s="267"/>
      <c r="EX43" s="267"/>
      <c r="EY43" s="267"/>
      <c r="EZ43" s="267"/>
      <c r="FA43" s="267"/>
      <c r="FB43" s="267"/>
      <c r="FC43" s="267"/>
      <c r="FD43" s="267"/>
      <c r="FE43" s="267"/>
      <c r="FF43" s="267"/>
      <c r="FG43" s="267"/>
      <c r="FH43" s="267"/>
      <c r="FI43" s="267"/>
      <c r="FJ43" s="267"/>
      <c r="FK43" s="267"/>
      <c r="FL43" s="267"/>
      <c r="FM43" s="267"/>
      <c r="FN43" s="267"/>
      <c r="FO43" s="267"/>
      <c r="FP43" s="267"/>
      <c r="FQ43" s="267"/>
      <c r="FR43" s="267"/>
      <c r="FS43" s="267"/>
      <c r="FT43" s="267"/>
      <c r="FU43" s="267"/>
      <c r="FV43" s="267"/>
      <c r="FW43" s="267"/>
      <c r="FX43" s="267"/>
      <c r="FY43" s="267"/>
      <c r="FZ43" s="267"/>
      <c r="GA43" s="267"/>
      <c r="GB43" s="267"/>
      <c r="GC43" s="267"/>
      <c r="GD43" s="267"/>
      <c r="GE43" s="267"/>
      <c r="GF43" s="267"/>
      <c r="GG43" s="267"/>
      <c r="GH43" s="267"/>
      <c r="GI43" s="267"/>
      <c r="GJ43" s="267"/>
      <c r="GK43" s="267"/>
      <c r="GL43" s="267"/>
      <c r="GM43" s="267"/>
      <c r="GN43" s="267"/>
      <c r="GO43" s="267"/>
      <c r="GP43" s="267"/>
      <c r="GQ43" s="267"/>
      <c r="GR43" s="267"/>
      <c r="GS43" s="267"/>
      <c r="GT43" s="267"/>
      <c r="GU43" s="267"/>
      <c r="GV43" s="267"/>
      <c r="GW43" s="267"/>
      <c r="GX43" s="267"/>
      <c r="GY43" s="267"/>
      <c r="GZ43" s="267"/>
      <c r="HA43" s="267"/>
      <c r="HB43" s="267"/>
      <c r="HC43" s="267"/>
      <c r="HD43" s="267"/>
      <c r="HE43" s="267"/>
      <c r="HF43" s="267"/>
      <c r="HG43" s="267"/>
      <c r="HH43" s="267"/>
      <c r="HI43" s="267"/>
      <c r="HJ43" s="267"/>
      <c r="HK43" s="267"/>
      <c r="HL43" s="267"/>
      <c r="HM43" s="267"/>
      <c r="HN43" s="267"/>
      <c r="HO43" s="267"/>
      <c r="HP43" s="267"/>
      <c r="HQ43" s="267"/>
      <c r="HR43" s="267"/>
      <c r="HS43" s="267"/>
      <c r="HT43" s="267"/>
      <c r="HU43" s="267"/>
      <c r="HV43" s="267"/>
      <c r="HW43" s="267"/>
      <c r="HX43" s="267"/>
      <c r="HY43" s="267"/>
      <c r="HZ43" s="267"/>
      <c r="IA43" s="267"/>
      <c r="IB43" s="267"/>
      <c r="IC43" s="267"/>
      <c r="ID43" s="267"/>
      <c r="IE43" s="267"/>
      <c r="IF43" s="267"/>
      <c r="IG43" s="267"/>
      <c r="IH43" s="267"/>
      <c r="II43" s="267"/>
      <c r="IJ43" s="267"/>
      <c r="IK43" s="267"/>
      <c r="IL43" s="267"/>
      <c r="IM43" s="267"/>
      <c r="IN43" s="267"/>
      <c r="IO43" s="267"/>
      <c r="IP43" s="267"/>
      <c r="IQ43" s="267"/>
      <c r="IR43" s="267"/>
      <c r="IS43" s="267"/>
      <c r="IT43" s="267"/>
      <c r="IU43" s="267"/>
      <c r="IV43" s="267"/>
    </row>
    <row r="44" spans="1:256" s="433" customFormat="1" ht="18" customHeight="1">
      <c r="A44" s="447">
        <v>36</v>
      </c>
      <c r="B44" s="441"/>
      <c r="C44" s="285"/>
      <c r="D44" s="520" t="s">
        <v>283</v>
      </c>
      <c r="E44" s="276">
        <f>F44+G44+P44</f>
        <v>64895</v>
      </c>
      <c r="F44" s="437"/>
      <c r="G44" s="277">
        <v>0</v>
      </c>
      <c r="H44" s="526"/>
      <c r="I44" s="523"/>
      <c r="J44" s="523"/>
      <c r="K44" s="542"/>
      <c r="L44" s="542"/>
      <c r="M44" s="542">
        <v>64895</v>
      </c>
      <c r="N44" s="523"/>
      <c r="O44" s="523"/>
      <c r="P44" s="510">
        <f>SUM(I44:O44)</f>
        <v>64895</v>
      </c>
      <c r="Q44" s="438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  <c r="BI44" s="267"/>
      <c r="BJ44" s="267"/>
      <c r="BK44" s="267"/>
      <c r="BL44" s="267"/>
      <c r="BM44" s="267"/>
      <c r="BN44" s="267"/>
      <c r="BO44" s="267"/>
      <c r="BP44" s="267"/>
      <c r="BQ44" s="267"/>
      <c r="BR44" s="267"/>
      <c r="BS44" s="267"/>
      <c r="BT44" s="267"/>
      <c r="BU44" s="267"/>
      <c r="BV44" s="267"/>
      <c r="BW44" s="267"/>
      <c r="BX44" s="267"/>
      <c r="BY44" s="267"/>
      <c r="BZ44" s="267"/>
      <c r="CA44" s="267"/>
      <c r="CB44" s="267"/>
      <c r="CC44" s="267"/>
      <c r="CD44" s="267"/>
      <c r="CE44" s="267"/>
      <c r="CF44" s="267"/>
      <c r="CG44" s="267"/>
      <c r="CH44" s="267"/>
      <c r="CI44" s="267"/>
      <c r="CJ44" s="267"/>
      <c r="CK44" s="267"/>
      <c r="CL44" s="267"/>
      <c r="CM44" s="267"/>
      <c r="CN44" s="267"/>
      <c r="CO44" s="267"/>
      <c r="CP44" s="267"/>
      <c r="CQ44" s="267"/>
      <c r="CR44" s="267"/>
      <c r="CS44" s="267"/>
      <c r="CT44" s="267"/>
      <c r="CU44" s="267"/>
      <c r="CV44" s="267"/>
      <c r="CW44" s="267"/>
      <c r="CX44" s="267"/>
      <c r="CY44" s="267"/>
      <c r="CZ44" s="267"/>
      <c r="DA44" s="267"/>
      <c r="DB44" s="267"/>
      <c r="DC44" s="267"/>
      <c r="DD44" s="267"/>
      <c r="DE44" s="267"/>
      <c r="DF44" s="267"/>
      <c r="DG44" s="267"/>
      <c r="DH44" s="267"/>
      <c r="DI44" s="267"/>
      <c r="DJ44" s="267"/>
      <c r="DK44" s="267"/>
      <c r="DL44" s="267"/>
      <c r="DM44" s="267"/>
      <c r="DN44" s="267"/>
      <c r="DO44" s="267"/>
      <c r="DP44" s="267"/>
      <c r="DQ44" s="267"/>
      <c r="DR44" s="267"/>
      <c r="DS44" s="267"/>
      <c r="DT44" s="267"/>
      <c r="DU44" s="267"/>
      <c r="DV44" s="267"/>
      <c r="DW44" s="267"/>
      <c r="DX44" s="267"/>
      <c r="DY44" s="267"/>
      <c r="DZ44" s="267"/>
      <c r="EA44" s="267"/>
      <c r="EB44" s="267"/>
      <c r="EC44" s="267"/>
      <c r="ED44" s="267"/>
      <c r="EE44" s="267"/>
      <c r="EF44" s="267"/>
      <c r="EG44" s="267"/>
      <c r="EH44" s="267"/>
      <c r="EI44" s="267"/>
      <c r="EJ44" s="267"/>
      <c r="EK44" s="267"/>
      <c r="EL44" s="267"/>
      <c r="EM44" s="267"/>
      <c r="EN44" s="267"/>
      <c r="EO44" s="267"/>
      <c r="EP44" s="267"/>
      <c r="EQ44" s="267"/>
      <c r="ER44" s="267"/>
      <c r="ES44" s="267"/>
      <c r="ET44" s="267"/>
      <c r="EU44" s="267"/>
      <c r="EV44" s="267"/>
      <c r="EW44" s="267"/>
      <c r="EX44" s="267"/>
      <c r="EY44" s="267"/>
      <c r="EZ44" s="267"/>
      <c r="FA44" s="267"/>
      <c r="FB44" s="267"/>
      <c r="FC44" s="267"/>
      <c r="FD44" s="267"/>
      <c r="FE44" s="267"/>
      <c r="FF44" s="267"/>
      <c r="FG44" s="267"/>
      <c r="FH44" s="267"/>
      <c r="FI44" s="267"/>
      <c r="FJ44" s="267"/>
      <c r="FK44" s="267"/>
      <c r="FL44" s="267"/>
      <c r="FM44" s="267"/>
      <c r="FN44" s="267"/>
      <c r="FO44" s="267"/>
      <c r="FP44" s="267"/>
      <c r="FQ44" s="267"/>
      <c r="FR44" s="267"/>
      <c r="FS44" s="267"/>
      <c r="FT44" s="267"/>
      <c r="FU44" s="267"/>
      <c r="FV44" s="267"/>
      <c r="FW44" s="267"/>
      <c r="FX44" s="267"/>
      <c r="FY44" s="267"/>
      <c r="FZ44" s="267"/>
      <c r="GA44" s="267"/>
      <c r="GB44" s="267"/>
      <c r="GC44" s="267"/>
      <c r="GD44" s="267"/>
      <c r="GE44" s="267"/>
      <c r="GF44" s="267"/>
      <c r="GG44" s="267"/>
      <c r="GH44" s="267"/>
      <c r="GI44" s="267"/>
      <c r="GJ44" s="267"/>
      <c r="GK44" s="267"/>
      <c r="GL44" s="267"/>
      <c r="GM44" s="267"/>
      <c r="GN44" s="267"/>
      <c r="GO44" s="267"/>
      <c r="GP44" s="267"/>
      <c r="GQ44" s="267"/>
      <c r="GR44" s="267"/>
      <c r="GS44" s="267"/>
      <c r="GT44" s="267"/>
      <c r="GU44" s="267"/>
      <c r="GV44" s="267"/>
      <c r="GW44" s="267"/>
      <c r="GX44" s="267"/>
      <c r="GY44" s="267"/>
      <c r="GZ44" s="267"/>
      <c r="HA44" s="267"/>
      <c r="HB44" s="267"/>
      <c r="HC44" s="267"/>
      <c r="HD44" s="267"/>
      <c r="HE44" s="267"/>
      <c r="HF44" s="267"/>
      <c r="HG44" s="267"/>
      <c r="HH44" s="267"/>
      <c r="HI44" s="267"/>
      <c r="HJ44" s="267"/>
      <c r="HK44" s="267"/>
      <c r="HL44" s="267"/>
      <c r="HM44" s="267"/>
      <c r="HN44" s="267"/>
      <c r="HO44" s="267"/>
      <c r="HP44" s="267"/>
      <c r="HQ44" s="267"/>
      <c r="HR44" s="267"/>
      <c r="HS44" s="267"/>
      <c r="HT44" s="267"/>
      <c r="HU44" s="267"/>
      <c r="HV44" s="267"/>
      <c r="HW44" s="267"/>
      <c r="HX44" s="267"/>
      <c r="HY44" s="267"/>
      <c r="HZ44" s="267"/>
      <c r="IA44" s="267"/>
      <c r="IB44" s="267"/>
      <c r="IC44" s="267"/>
      <c r="ID44" s="267"/>
      <c r="IE44" s="267"/>
      <c r="IF44" s="267"/>
      <c r="IG44" s="267"/>
      <c r="IH44" s="267"/>
      <c r="II44" s="267"/>
      <c r="IJ44" s="267"/>
      <c r="IK44" s="267"/>
      <c r="IL44" s="267"/>
      <c r="IM44" s="267"/>
      <c r="IN44" s="267"/>
      <c r="IO44" s="267"/>
      <c r="IP44" s="267"/>
      <c r="IQ44" s="267"/>
      <c r="IR44" s="267"/>
      <c r="IS44" s="267"/>
      <c r="IT44" s="267"/>
      <c r="IU44" s="267"/>
      <c r="IV44" s="267"/>
    </row>
    <row r="45" spans="1:256" s="433" customFormat="1" ht="18" customHeight="1">
      <c r="A45" s="447">
        <v>37</v>
      </c>
      <c r="B45" s="441"/>
      <c r="C45" s="285"/>
      <c r="D45" s="269" t="s">
        <v>639</v>
      </c>
      <c r="E45" s="276"/>
      <c r="F45" s="437"/>
      <c r="G45" s="277"/>
      <c r="H45" s="526"/>
      <c r="I45" s="523"/>
      <c r="J45" s="523"/>
      <c r="K45" s="542"/>
      <c r="L45" s="542"/>
      <c r="M45" s="542"/>
      <c r="N45" s="523"/>
      <c r="O45" s="523"/>
      <c r="P45" s="838"/>
      <c r="Q45" s="438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267"/>
      <c r="BB45" s="267"/>
      <c r="BC45" s="267"/>
      <c r="BD45" s="267"/>
      <c r="BE45" s="267"/>
      <c r="BF45" s="267"/>
      <c r="BG45" s="267"/>
      <c r="BH45" s="267"/>
      <c r="BI45" s="267"/>
      <c r="BJ45" s="267"/>
      <c r="BK45" s="267"/>
      <c r="BL45" s="267"/>
      <c r="BM45" s="267"/>
      <c r="BN45" s="267"/>
      <c r="BO45" s="267"/>
      <c r="BP45" s="267"/>
      <c r="BQ45" s="267"/>
      <c r="BR45" s="267"/>
      <c r="BS45" s="267"/>
      <c r="BT45" s="267"/>
      <c r="BU45" s="267"/>
      <c r="BV45" s="267"/>
      <c r="BW45" s="267"/>
      <c r="BX45" s="267"/>
      <c r="BY45" s="267"/>
      <c r="BZ45" s="267"/>
      <c r="CA45" s="267"/>
      <c r="CB45" s="267"/>
      <c r="CC45" s="267"/>
      <c r="CD45" s="267"/>
      <c r="CE45" s="267"/>
      <c r="CF45" s="267"/>
      <c r="CG45" s="267"/>
      <c r="CH45" s="267"/>
      <c r="CI45" s="267"/>
      <c r="CJ45" s="267"/>
      <c r="CK45" s="267"/>
      <c r="CL45" s="267"/>
      <c r="CM45" s="267"/>
      <c r="CN45" s="267"/>
      <c r="CO45" s="267"/>
      <c r="CP45" s="267"/>
      <c r="CQ45" s="267"/>
      <c r="CR45" s="267"/>
      <c r="CS45" s="267"/>
      <c r="CT45" s="267"/>
      <c r="CU45" s="267"/>
      <c r="CV45" s="267"/>
      <c r="CW45" s="267"/>
      <c r="CX45" s="267"/>
      <c r="CY45" s="267"/>
      <c r="CZ45" s="267"/>
      <c r="DA45" s="267"/>
      <c r="DB45" s="267"/>
      <c r="DC45" s="267"/>
      <c r="DD45" s="267"/>
      <c r="DE45" s="267"/>
      <c r="DF45" s="267"/>
      <c r="DG45" s="267"/>
      <c r="DH45" s="267"/>
      <c r="DI45" s="267"/>
      <c r="DJ45" s="267"/>
      <c r="DK45" s="267"/>
      <c r="DL45" s="267"/>
      <c r="DM45" s="267"/>
      <c r="DN45" s="267"/>
      <c r="DO45" s="267"/>
      <c r="DP45" s="267"/>
      <c r="DQ45" s="267"/>
      <c r="DR45" s="267"/>
      <c r="DS45" s="267"/>
      <c r="DT45" s="267"/>
      <c r="DU45" s="267"/>
      <c r="DV45" s="267"/>
      <c r="DW45" s="267"/>
      <c r="DX45" s="267"/>
      <c r="DY45" s="267"/>
      <c r="DZ45" s="267"/>
      <c r="EA45" s="267"/>
      <c r="EB45" s="267"/>
      <c r="EC45" s="267"/>
      <c r="ED45" s="267"/>
      <c r="EE45" s="267"/>
      <c r="EF45" s="267"/>
      <c r="EG45" s="267"/>
      <c r="EH45" s="267"/>
      <c r="EI45" s="267"/>
      <c r="EJ45" s="267"/>
      <c r="EK45" s="267"/>
      <c r="EL45" s="267"/>
      <c r="EM45" s="267"/>
      <c r="EN45" s="267"/>
      <c r="EO45" s="267"/>
      <c r="EP45" s="267"/>
      <c r="EQ45" s="267"/>
      <c r="ER45" s="267"/>
      <c r="ES45" s="267"/>
      <c r="ET45" s="267"/>
      <c r="EU45" s="267"/>
      <c r="EV45" s="267"/>
      <c r="EW45" s="267"/>
      <c r="EX45" s="267"/>
      <c r="EY45" s="267"/>
      <c r="EZ45" s="267"/>
      <c r="FA45" s="267"/>
      <c r="FB45" s="267"/>
      <c r="FC45" s="267"/>
      <c r="FD45" s="267"/>
      <c r="FE45" s="267"/>
      <c r="FF45" s="267"/>
      <c r="FG45" s="267"/>
      <c r="FH45" s="267"/>
      <c r="FI45" s="267"/>
      <c r="FJ45" s="267"/>
      <c r="FK45" s="267"/>
      <c r="FL45" s="267"/>
      <c r="FM45" s="267"/>
      <c r="FN45" s="267"/>
      <c r="FO45" s="267"/>
      <c r="FP45" s="267"/>
      <c r="FQ45" s="267"/>
      <c r="FR45" s="267"/>
      <c r="FS45" s="267"/>
      <c r="FT45" s="267"/>
      <c r="FU45" s="267"/>
      <c r="FV45" s="267"/>
      <c r="FW45" s="267"/>
      <c r="FX45" s="267"/>
      <c r="FY45" s="267"/>
      <c r="FZ45" s="267"/>
      <c r="GA45" s="267"/>
      <c r="GB45" s="267"/>
      <c r="GC45" s="267"/>
      <c r="GD45" s="267"/>
      <c r="GE45" s="267"/>
      <c r="GF45" s="267"/>
      <c r="GG45" s="267"/>
      <c r="GH45" s="267"/>
      <c r="GI45" s="267"/>
      <c r="GJ45" s="267"/>
      <c r="GK45" s="267"/>
      <c r="GL45" s="267"/>
      <c r="GM45" s="267"/>
      <c r="GN45" s="267"/>
      <c r="GO45" s="267"/>
      <c r="GP45" s="267"/>
      <c r="GQ45" s="267"/>
      <c r="GR45" s="267"/>
      <c r="GS45" s="267"/>
      <c r="GT45" s="267"/>
      <c r="GU45" s="267"/>
      <c r="GV45" s="267"/>
      <c r="GW45" s="267"/>
      <c r="GX45" s="267"/>
      <c r="GY45" s="267"/>
      <c r="GZ45" s="267"/>
      <c r="HA45" s="267"/>
      <c r="HB45" s="267"/>
      <c r="HC45" s="267"/>
      <c r="HD45" s="267"/>
      <c r="HE45" s="267"/>
      <c r="HF45" s="267"/>
      <c r="HG45" s="267"/>
      <c r="HH45" s="267"/>
      <c r="HI45" s="267"/>
      <c r="HJ45" s="267"/>
      <c r="HK45" s="267"/>
      <c r="HL45" s="267"/>
      <c r="HM45" s="267"/>
      <c r="HN45" s="267"/>
      <c r="HO45" s="267"/>
      <c r="HP45" s="267"/>
      <c r="HQ45" s="267"/>
      <c r="HR45" s="267"/>
      <c r="HS45" s="267"/>
      <c r="HT45" s="267"/>
      <c r="HU45" s="267"/>
      <c r="HV45" s="267"/>
      <c r="HW45" s="267"/>
      <c r="HX45" s="267"/>
      <c r="HY45" s="267"/>
      <c r="HZ45" s="267"/>
      <c r="IA45" s="267"/>
      <c r="IB45" s="267"/>
      <c r="IC45" s="267"/>
      <c r="ID45" s="267"/>
      <c r="IE45" s="267"/>
      <c r="IF45" s="267"/>
      <c r="IG45" s="267"/>
      <c r="IH45" s="267"/>
      <c r="II45" s="267"/>
      <c r="IJ45" s="267"/>
      <c r="IK45" s="267"/>
      <c r="IL45" s="267"/>
      <c r="IM45" s="267"/>
      <c r="IN45" s="267"/>
      <c r="IO45" s="267"/>
      <c r="IP45" s="267"/>
      <c r="IQ45" s="267"/>
      <c r="IR45" s="267"/>
      <c r="IS45" s="267"/>
      <c r="IT45" s="267"/>
      <c r="IU45" s="267"/>
      <c r="IV45" s="267"/>
    </row>
    <row r="46" spans="1:256" s="433" customFormat="1" ht="18" customHeight="1">
      <c r="A46" s="447">
        <v>38</v>
      </c>
      <c r="B46" s="441"/>
      <c r="C46" s="285"/>
      <c r="D46" s="520" t="s">
        <v>283</v>
      </c>
      <c r="E46" s="276">
        <f>F46+G46+P46</f>
        <v>20000</v>
      </c>
      <c r="F46" s="437"/>
      <c r="G46" s="277">
        <v>19311</v>
      </c>
      <c r="H46" s="526"/>
      <c r="I46" s="523"/>
      <c r="J46" s="523"/>
      <c r="K46" s="542"/>
      <c r="L46" s="542"/>
      <c r="M46" s="542">
        <v>689</v>
      </c>
      <c r="N46" s="523"/>
      <c r="O46" s="523"/>
      <c r="P46" s="510">
        <f>SUM(I46:O46)</f>
        <v>689</v>
      </c>
      <c r="Q46" s="438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7"/>
      <c r="AK46" s="267"/>
      <c r="AL46" s="267"/>
      <c r="AM46" s="267"/>
      <c r="AN46" s="267"/>
      <c r="AO46" s="267"/>
      <c r="AP46" s="267"/>
      <c r="AQ46" s="267"/>
      <c r="AR46" s="267"/>
      <c r="AS46" s="267"/>
      <c r="AT46" s="267"/>
      <c r="AU46" s="267"/>
      <c r="AV46" s="267"/>
      <c r="AW46" s="267"/>
      <c r="AX46" s="267"/>
      <c r="AY46" s="267"/>
      <c r="AZ46" s="267"/>
      <c r="BA46" s="267"/>
      <c r="BB46" s="267"/>
      <c r="BC46" s="267"/>
      <c r="BD46" s="267"/>
      <c r="BE46" s="267"/>
      <c r="BF46" s="267"/>
      <c r="BG46" s="267"/>
      <c r="BH46" s="267"/>
      <c r="BI46" s="267"/>
      <c r="BJ46" s="267"/>
      <c r="BK46" s="267"/>
      <c r="BL46" s="267"/>
      <c r="BM46" s="267"/>
      <c r="BN46" s="267"/>
      <c r="BO46" s="267"/>
      <c r="BP46" s="267"/>
      <c r="BQ46" s="267"/>
      <c r="BR46" s="267"/>
      <c r="BS46" s="267"/>
      <c r="BT46" s="267"/>
      <c r="BU46" s="267"/>
      <c r="BV46" s="267"/>
      <c r="BW46" s="267"/>
      <c r="BX46" s="267"/>
      <c r="BY46" s="267"/>
      <c r="BZ46" s="267"/>
      <c r="CA46" s="267"/>
      <c r="CB46" s="267"/>
      <c r="CC46" s="267"/>
      <c r="CD46" s="267"/>
      <c r="CE46" s="267"/>
      <c r="CF46" s="267"/>
      <c r="CG46" s="267"/>
      <c r="CH46" s="267"/>
      <c r="CI46" s="267"/>
      <c r="CJ46" s="267"/>
      <c r="CK46" s="267"/>
      <c r="CL46" s="267"/>
      <c r="CM46" s="267"/>
      <c r="CN46" s="267"/>
      <c r="CO46" s="267"/>
      <c r="CP46" s="267"/>
      <c r="CQ46" s="267"/>
      <c r="CR46" s="267"/>
      <c r="CS46" s="267"/>
      <c r="CT46" s="267"/>
      <c r="CU46" s="267"/>
      <c r="CV46" s="267"/>
      <c r="CW46" s="267"/>
      <c r="CX46" s="267"/>
      <c r="CY46" s="267"/>
      <c r="CZ46" s="267"/>
      <c r="DA46" s="267"/>
      <c r="DB46" s="267"/>
      <c r="DC46" s="267"/>
      <c r="DD46" s="267"/>
      <c r="DE46" s="267"/>
      <c r="DF46" s="267"/>
      <c r="DG46" s="267"/>
      <c r="DH46" s="267"/>
      <c r="DI46" s="267"/>
      <c r="DJ46" s="267"/>
      <c r="DK46" s="267"/>
      <c r="DL46" s="267"/>
      <c r="DM46" s="267"/>
      <c r="DN46" s="267"/>
      <c r="DO46" s="267"/>
      <c r="DP46" s="267"/>
      <c r="DQ46" s="267"/>
      <c r="DR46" s="267"/>
      <c r="DS46" s="267"/>
      <c r="DT46" s="267"/>
      <c r="DU46" s="267"/>
      <c r="DV46" s="267"/>
      <c r="DW46" s="267"/>
      <c r="DX46" s="267"/>
      <c r="DY46" s="267"/>
      <c r="DZ46" s="267"/>
      <c r="EA46" s="267"/>
      <c r="EB46" s="267"/>
      <c r="EC46" s="267"/>
      <c r="ED46" s="267"/>
      <c r="EE46" s="267"/>
      <c r="EF46" s="267"/>
      <c r="EG46" s="267"/>
      <c r="EH46" s="267"/>
      <c r="EI46" s="267"/>
      <c r="EJ46" s="267"/>
      <c r="EK46" s="267"/>
      <c r="EL46" s="267"/>
      <c r="EM46" s="267"/>
      <c r="EN46" s="267"/>
      <c r="EO46" s="267"/>
      <c r="EP46" s="267"/>
      <c r="EQ46" s="267"/>
      <c r="ER46" s="267"/>
      <c r="ES46" s="267"/>
      <c r="ET46" s="267"/>
      <c r="EU46" s="267"/>
      <c r="EV46" s="267"/>
      <c r="EW46" s="267"/>
      <c r="EX46" s="267"/>
      <c r="EY46" s="267"/>
      <c r="EZ46" s="267"/>
      <c r="FA46" s="267"/>
      <c r="FB46" s="267"/>
      <c r="FC46" s="267"/>
      <c r="FD46" s="267"/>
      <c r="FE46" s="267"/>
      <c r="FF46" s="267"/>
      <c r="FG46" s="267"/>
      <c r="FH46" s="267"/>
      <c r="FI46" s="267"/>
      <c r="FJ46" s="267"/>
      <c r="FK46" s="267"/>
      <c r="FL46" s="267"/>
      <c r="FM46" s="267"/>
      <c r="FN46" s="267"/>
      <c r="FO46" s="267"/>
      <c r="FP46" s="267"/>
      <c r="FQ46" s="267"/>
      <c r="FR46" s="267"/>
      <c r="FS46" s="267"/>
      <c r="FT46" s="267"/>
      <c r="FU46" s="267"/>
      <c r="FV46" s="267"/>
      <c r="FW46" s="267"/>
      <c r="FX46" s="267"/>
      <c r="FY46" s="267"/>
      <c r="FZ46" s="267"/>
      <c r="GA46" s="267"/>
      <c r="GB46" s="267"/>
      <c r="GC46" s="267"/>
      <c r="GD46" s="267"/>
      <c r="GE46" s="267"/>
      <c r="GF46" s="267"/>
      <c r="GG46" s="267"/>
      <c r="GH46" s="267"/>
      <c r="GI46" s="267"/>
      <c r="GJ46" s="267"/>
      <c r="GK46" s="267"/>
      <c r="GL46" s="267"/>
      <c r="GM46" s="267"/>
      <c r="GN46" s="267"/>
      <c r="GO46" s="267"/>
      <c r="GP46" s="267"/>
      <c r="GQ46" s="267"/>
      <c r="GR46" s="267"/>
      <c r="GS46" s="267"/>
      <c r="GT46" s="267"/>
      <c r="GU46" s="267"/>
      <c r="GV46" s="267"/>
      <c r="GW46" s="267"/>
      <c r="GX46" s="267"/>
      <c r="GY46" s="267"/>
      <c r="GZ46" s="267"/>
      <c r="HA46" s="267"/>
      <c r="HB46" s="267"/>
      <c r="HC46" s="267"/>
      <c r="HD46" s="267"/>
      <c r="HE46" s="267"/>
      <c r="HF46" s="267"/>
      <c r="HG46" s="267"/>
      <c r="HH46" s="267"/>
      <c r="HI46" s="267"/>
      <c r="HJ46" s="267"/>
      <c r="HK46" s="267"/>
      <c r="HL46" s="267"/>
      <c r="HM46" s="267"/>
      <c r="HN46" s="267"/>
      <c r="HO46" s="267"/>
      <c r="HP46" s="267"/>
      <c r="HQ46" s="267"/>
      <c r="HR46" s="267"/>
      <c r="HS46" s="267"/>
      <c r="HT46" s="267"/>
      <c r="HU46" s="267"/>
      <c r="HV46" s="267"/>
      <c r="HW46" s="267"/>
      <c r="HX46" s="267"/>
      <c r="HY46" s="267"/>
      <c r="HZ46" s="267"/>
      <c r="IA46" s="267"/>
      <c r="IB46" s="267"/>
      <c r="IC46" s="267"/>
      <c r="ID46" s="267"/>
      <c r="IE46" s="267"/>
      <c r="IF46" s="267"/>
      <c r="IG46" s="267"/>
      <c r="IH46" s="267"/>
      <c r="II46" s="267"/>
      <c r="IJ46" s="267"/>
      <c r="IK46" s="267"/>
      <c r="IL46" s="267"/>
      <c r="IM46" s="267"/>
      <c r="IN46" s="267"/>
      <c r="IO46" s="267"/>
      <c r="IP46" s="267"/>
      <c r="IQ46" s="267"/>
      <c r="IR46" s="267"/>
      <c r="IS46" s="267"/>
      <c r="IT46" s="267"/>
      <c r="IU46" s="267"/>
      <c r="IV46" s="267"/>
    </row>
    <row r="47" spans="1:256" s="433" customFormat="1" ht="18" customHeight="1">
      <c r="A47" s="447">
        <v>39</v>
      </c>
      <c r="B47" s="441"/>
      <c r="C47" s="285"/>
      <c r="D47" s="269" t="s">
        <v>640</v>
      </c>
      <c r="E47" s="276"/>
      <c r="F47" s="437"/>
      <c r="G47" s="277"/>
      <c r="H47" s="526"/>
      <c r="I47" s="523"/>
      <c r="J47" s="523"/>
      <c r="K47" s="542"/>
      <c r="L47" s="542"/>
      <c r="M47" s="542"/>
      <c r="N47" s="523"/>
      <c r="O47" s="523"/>
      <c r="P47" s="838"/>
      <c r="Q47" s="438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7"/>
      <c r="AZ47" s="267"/>
      <c r="BA47" s="267"/>
      <c r="BB47" s="267"/>
      <c r="BC47" s="267"/>
      <c r="BD47" s="267"/>
      <c r="BE47" s="267"/>
      <c r="BF47" s="267"/>
      <c r="BG47" s="267"/>
      <c r="BH47" s="267"/>
      <c r="BI47" s="267"/>
      <c r="BJ47" s="267"/>
      <c r="BK47" s="267"/>
      <c r="BL47" s="267"/>
      <c r="BM47" s="267"/>
      <c r="BN47" s="267"/>
      <c r="BO47" s="267"/>
      <c r="BP47" s="267"/>
      <c r="BQ47" s="267"/>
      <c r="BR47" s="267"/>
      <c r="BS47" s="267"/>
      <c r="BT47" s="267"/>
      <c r="BU47" s="267"/>
      <c r="BV47" s="267"/>
      <c r="BW47" s="267"/>
      <c r="BX47" s="267"/>
      <c r="BY47" s="267"/>
      <c r="BZ47" s="267"/>
      <c r="CA47" s="267"/>
      <c r="CB47" s="267"/>
      <c r="CC47" s="267"/>
      <c r="CD47" s="267"/>
      <c r="CE47" s="267"/>
      <c r="CF47" s="267"/>
      <c r="CG47" s="267"/>
      <c r="CH47" s="267"/>
      <c r="CI47" s="267"/>
      <c r="CJ47" s="267"/>
      <c r="CK47" s="267"/>
      <c r="CL47" s="267"/>
      <c r="CM47" s="267"/>
      <c r="CN47" s="267"/>
      <c r="CO47" s="267"/>
      <c r="CP47" s="267"/>
      <c r="CQ47" s="267"/>
      <c r="CR47" s="267"/>
      <c r="CS47" s="267"/>
      <c r="CT47" s="267"/>
      <c r="CU47" s="267"/>
      <c r="CV47" s="267"/>
      <c r="CW47" s="267"/>
      <c r="CX47" s="267"/>
      <c r="CY47" s="267"/>
      <c r="CZ47" s="267"/>
      <c r="DA47" s="267"/>
      <c r="DB47" s="267"/>
      <c r="DC47" s="267"/>
      <c r="DD47" s="267"/>
      <c r="DE47" s="267"/>
      <c r="DF47" s="267"/>
      <c r="DG47" s="267"/>
      <c r="DH47" s="267"/>
      <c r="DI47" s="267"/>
      <c r="DJ47" s="267"/>
      <c r="DK47" s="267"/>
      <c r="DL47" s="267"/>
      <c r="DM47" s="267"/>
      <c r="DN47" s="267"/>
      <c r="DO47" s="267"/>
      <c r="DP47" s="267"/>
      <c r="DQ47" s="267"/>
      <c r="DR47" s="267"/>
      <c r="DS47" s="267"/>
      <c r="DT47" s="267"/>
      <c r="DU47" s="267"/>
      <c r="DV47" s="267"/>
      <c r="DW47" s="267"/>
      <c r="DX47" s="267"/>
      <c r="DY47" s="267"/>
      <c r="DZ47" s="267"/>
      <c r="EA47" s="267"/>
      <c r="EB47" s="267"/>
      <c r="EC47" s="267"/>
      <c r="ED47" s="267"/>
      <c r="EE47" s="267"/>
      <c r="EF47" s="267"/>
      <c r="EG47" s="267"/>
      <c r="EH47" s="267"/>
      <c r="EI47" s="267"/>
      <c r="EJ47" s="267"/>
      <c r="EK47" s="267"/>
      <c r="EL47" s="267"/>
      <c r="EM47" s="267"/>
      <c r="EN47" s="267"/>
      <c r="EO47" s="267"/>
      <c r="EP47" s="267"/>
      <c r="EQ47" s="267"/>
      <c r="ER47" s="267"/>
      <c r="ES47" s="267"/>
      <c r="ET47" s="267"/>
      <c r="EU47" s="267"/>
      <c r="EV47" s="267"/>
      <c r="EW47" s="267"/>
      <c r="EX47" s="267"/>
      <c r="EY47" s="267"/>
      <c r="EZ47" s="267"/>
      <c r="FA47" s="267"/>
      <c r="FB47" s="267"/>
      <c r="FC47" s="267"/>
      <c r="FD47" s="267"/>
      <c r="FE47" s="267"/>
      <c r="FF47" s="267"/>
      <c r="FG47" s="267"/>
      <c r="FH47" s="267"/>
      <c r="FI47" s="267"/>
      <c r="FJ47" s="267"/>
      <c r="FK47" s="267"/>
      <c r="FL47" s="267"/>
      <c r="FM47" s="267"/>
      <c r="FN47" s="267"/>
      <c r="FO47" s="267"/>
      <c r="FP47" s="267"/>
      <c r="FQ47" s="267"/>
      <c r="FR47" s="267"/>
      <c r="FS47" s="267"/>
      <c r="FT47" s="267"/>
      <c r="FU47" s="267"/>
      <c r="FV47" s="267"/>
      <c r="FW47" s="267"/>
      <c r="FX47" s="267"/>
      <c r="FY47" s="267"/>
      <c r="FZ47" s="267"/>
      <c r="GA47" s="267"/>
      <c r="GB47" s="267"/>
      <c r="GC47" s="267"/>
      <c r="GD47" s="267"/>
      <c r="GE47" s="267"/>
      <c r="GF47" s="267"/>
      <c r="GG47" s="267"/>
      <c r="GH47" s="267"/>
      <c r="GI47" s="267"/>
      <c r="GJ47" s="267"/>
      <c r="GK47" s="267"/>
      <c r="GL47" s="267"/>
      <c r="GM47" s="267"/>
      <c r="GN47" s="267"/>
      <c r="GO47" s="267"/>
      <c r="GP47" s="267"/>
      <c r="GQ47" s="267"/>
      <c r="GR47" s="267"/>
      <c r="GS47" s="267"/>
      <c r="GT47" s="267"/>
      <c r="GU47" s="267"/>
      <c r="GV47" s="267"/>
      <c r="GW47" s="267"/>
      <c r="GX47" s="267"/>
      <c r="GY47" s="267"/>
      <c r="GZ47" s="267"/>
      <c r="HA47" s="267"/>
      <c r="HB47" s="267"/>
      <c r="HC47" s="267"/>
      <c r="HD47" s="267"/>
      <c r="HE47" s="267"/>
      <c r="HF47" s="267"/>
      <c r="HG47" s="267"/>
      <c r="HH47" s="267"/>
      <c r="HI47" s="267"/>
      <c r="HJ47" s="267"/>
      <c r="HK47" s="267"/>
      <c r="HL47" s="267"/>
      <c r="HM47" s="267"/>
      <c r="HN47" s="267"/>
      <c r="HO47" s="267"/>
      <c r="HP47" s="267"/>
      <c r="HQ47" s="267"/>
      <c r="HR47" s="267"/>
      <c r="HS47" s="267"/>
      <c r="HT47" s="267"/>
      <c r="HU47" s="267"/>
      <c r="HV47" s="267"/>
      <c r="HW47" s="267"/>
      <c r="HX47" s="267"/>
      <c r="HY47" s="267"/>
      <c r="HZ47" s="267"/>
      <c r="IA47" s="267"/>
      <c r="IB47" s="267"/>
      <c r="IC47" s="267"/>
      <c r="ID47" s="267"/>
      <c r="IE47" s="267"/>
      <c r="IF47" s="267"/>
      <c r="IG47" s="267"/>
      <c r="IH47" s="267"/>
      <c r="II47" s="267"/>
      <c r="IJ47" s="267"/>
      <c r="IK47" s="267"/>
      <c r="IL47" s="267"/>
      <c r="IM47" s="267"/>
      <c r="IN47" s="267"/>
      <c r="IO47" s="267"/>
      <c r="IP47" s="267"/>
      <c r="IQ47" s="267"/>
      <c r="IR47" s="267"/>
      <c r="IS47" s="267"/>
      <c r="IT47" s="267"/>
      <c r="IU47" s="267"/>
      <c r="IV47" s="267"/>
    </row>
    <row r="48" spans="1:256" s="433" customFormat="1" ht="18" customHeight="1">
      <c r="A48" s="447">
        <v>40</v>
      </c>
      <c r="B48" s="441"/>
      <c r="C48" s="285"/>
      <c r="D48" s="520" t="s">
        <v>283</v>
      </c>
      <c r="E48" s="276">
        <f>F48+G48+P48</f>
        <v>10000</v>
      </c>
      <c r="F48" s="437"/>
      <c r="G48" s="277">
        <v>9837</v>
      </c>
      <c r="H48" s="526"/>
      <c r="I48" s="523"/>
      <c r="J48" s="523"/>
      <c r="K48" s="542"/>
      <c r="L48" s="542"/>
      <c r="M48" s="542">
        <v>163</v>
      </c>
      <c r="N48" s="523"/>
      <c r="O48" s="523"/>
      <c r="P48" s="510">
        <f>SUM(I48:O48)</f>
        <v>163</v>
      </c>
      <c r="Q48" s="438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7"/>
      <c r="BA48" s="267"/>
      <c r="BB48" s="267"/>
      <c r="BC48" s="267"/>
      <c r="BD48" s="267"/>
      <c r="BE48" s="267"/>
      <c r="BF48" s="267"/>
      <c r="BG48" s="267"/>
      <c r="BH48" s="267"/>
      <c r="BI48" s="267"/>
      <c r="BJ48" s="267"/>
      <c r="BK48" s="267"/>
      <c r="BL48" s="267"/>
      <c r="BM48" s="267"/>
      <c r="BN48" s="267"/>
      <c r="BO48" s="267"/>
      <c r="BP48" s="267"/>
      <c r="BQ48" s="267"/>
      <c r="BR48" s="267"/>
      <c r="BS48" s="267"/>
      <c r="BT48" s="267"/>
      <c r="BU48" s="267"/>
      <c r="BV48" s="267"/>
      <c r="BW48" s="267"/>
      <c r="BX48" s="267"/>
      <c r="BY48" s="267"/>
      <c r="BZ48" s="267"/>
      <c r="CA48" s="267"/>
      <c r="CB48" s="267"/>
      <c r="CC48" s="267"/>
      <c r="CD48" s="267"/>
      <c r="CE48" s="267"/>
      <c r="CF48" s="267"/>
      <c r="CG48" s="267"/>
      <c r="CH48" s="267"/>
      <c r="CI48" s="267"/>
      <c r="CJ48" s="267"/>
      <c r="CK48" s="267"/>
      <c r="CL48" s="267"/>
      <c r="CM48" s="267"/>
      <c r="CN48" s="267"/>
      <c r="CO48" s="267"/>
      <c r="CP48" s="267"/>
      <c r="CQ48" s="267"/>
      <c r="CR48" s="267"/>
      <c r="CS48" s="267"/>
      <c r="CT48" s="267"/>
      <c r="CU48" s="267"/>
      <c r="CV48" s="267"/>
      <c r="CW48" s="267"/>
      <c r="CX48" s="267"/>
      <c r="CY48" s="267"/>
      <c r="CZ48" s="267"/>
      <c r="DA48" s="267"/>
      <c r="DB48" s="267"/>
      <c r="DC48" s="267"/>
      <c r="DD48" s="267"/>
      <c r="DE48" s="267"/>
      <c r="DF48" s="267"/>
      <c r="DG48" s="267"/>
      <c r="DH48" s="267"/>
      <c r="DI48" s="267"/>
      <c r="DJ48" s="267"/>
      <c r="DK48" s="267"/>
      <c r="DL48" s="267"/>
      <c r="DM48" s="267"/>
      <c r="DN48" s="267"/>
      <c r="DO48" s="267"/>
      <c r="DP48" s="267"/>
      <c r="DQ48" s="267"/>
      <c r="DR48" s="267"/>
      <c r="DS48" s="267"/>
      <c r="DT48" s="267"/>
      <c r="DU48" s="267"/>
      <c r="DV48" s="267"/>
      <c r="DW48" s="267"/>
      <c r="DX48" s="267"/>
      <c r="DY48" s="267"/>
      <c r="DZ48" s="267"/>
      <c r="EA48" s="267"/>
      <c r="EB48" s="267"/>
      <c r="EC48" s="267"/>
      <c r="ED48" s="267"/>
      <c r="EE48" s="267"/>
      <c r="EF48" s="267"/>
      <c r="EG48" s="267"/>
      <c r="EH48" s="267"/>
      <c r="EI48" s="267"/>
      <c r="EJ48" s="267"/>
      <c r="EK48" s="267"/>
      <c r="EL48" s="267"/>
      <c r="EM48" s="267"/>
      <c r="EN48" s="267"/>
      <c r="EO48" s="267"/>
      <c r="EP48" s="267"/>
      <c r="EQ48" s="267"/>
      <c r="ER48" s="267"/>
      <c r="ES48" s="267"/>
      <c r="ET48" s="267"/>
      <c r="EU48" s="267"/>
      <c r="EV48" s="267"/>
      <c r="EW48" s="267"/>
      <c r="EX48" s="267"/>
      <c r="EY48" s="267"/>
      <c r="EZ48" s="267"/>
      <c r="FA48" s="267"/>
      <c r="FB48" s="267"/>
      <c r="FC48" s="267"/>
      <c r="FD48" s="267"/>
      <c r="FE48" s="267"/>
      <c r="FF48" s="267"/>
      <c r="FG48" s="267"/>
      <c r="FH48" s="267"/>
      <c r="FI48" s="267"/>
      <c r="FJ48" s="267"/>
      <c r="FK48" s="267"/>
      <c r="FL48" s="267"/>
      <c r="FM48" s="267"/>
      <c r="FN48" s="267"/>
      <c r="FO48" s="267"/>
      <c r="FP48" s="267"/>
      <c r="FQ48" s="267"/>
      <c r="FR48" s="267"/>
      <c r="FS48" s="267"/>
      <c r="FT48" s="267"/>
      <c r="FU48" s="267"/>
      <c r="FV48" s="267"/>
      <c r="FW48" s="267"/>
      <c r="FX48" s="267"/>
      <c r="FY48" s="267"/>
      <c r="FZ48" s="267"/>
      <c r="GA48" s="267"/>
      <c r="GB48" s="267"/>
      <c r="GC48" s="267"/>
      <c r="GD48" s="267"/>
      <c r="GE48" s="267"/>
      <c r="GF48" s="267"/>
      <c r="GG48" s="267"/>
      <c r="GH48" s="267"/>
      <c r="GI48" s="267"/>
      <c r="GJ48" s="267"/>
      <c r="GK48" s="267"/>
      <c r="GL48" s="267"/>
      <c r="GM48" s="267"/>
      <c r="GN48" s="267"/>
      <c r="GO48" s="267"/>
      <c r="GP48" s="267"/>
      <c r="GQ48" s="267"/>
      <c r="GR48" s="267"/>
      <c r="GS48" s="267"/>
      <c r="GT48" s="267"/>
      <c r="GU48" s="267"/>
      <c r="GV48" s="267"/>
      <c r="GW48" s="267"/>
      <c r="GX48" s="267"/>
      <c r="GY48" s="267"/>
      <c r="GZ48" s="267"/>
      <c r="HA48" s="267"/>
      <c r="HB48" s="267"/>
      <c r="HC48" s="267"/>
      <c r="HD48" s="267"/>
      <c r="HE48" s="267"/>
      <c r="HF48" s="267"/>
      <c r="HG48" s="267"/>
      <c r="HH48" s="267"/>
      <c r="HI48" s="267"/>
      <c r="HJ48" s="267"/>
      <c r="HK48" s="267"/>
      <c r="HL48" s="267"/>
      <c r="HM48" s="267"/>
      <c r="HN48" s="267"/>
      <c r="HO48" s="267"/>
      <c r="HP48" s="267"/>
      <c r="HQ48" s="267"/>
      <c r="HR48" s="267"/>
      <c r="HS48" s="267"/>
      <c r="HT48" s="267"/>
      <c r="HU48" s="267"/>
      <c r="HV48" s="267"/>
      <c r="HW48" s="267"/>
      <c r="HX48" s="267"/>
      <c r="HY48" s="267"/>
      <c r="HZ48" s="267"/>
      <c r="IA48" s="267"/>
      <c r="IB48" s="267"/>
      <c r="IC48" s="267"/>
      <c r="ID48" s="267"/>
      <c r="IE48" s="267"/>
      <c r="IF48" s="267"/>
      <c r="IG48" s="267"/>
      <c r="IH48" s="267"/>
      <c r="II48" s="267"/>
      <c r="IJ48" s="267"/>
      <c r="IK48" s="267"/>
      <c r="IL48" s="267"/>
      <c r="IM48" s="267"/>
      <c r="IN48" s="267"/>
      <c r="IO48" s="267"/>
      <c r="IP48" s="267"/>
      <c r="IQ48" s="267"/>
      <c r="IR48" s="267"/>
      <c r="IS48" s="267"/>
      <c r="IT48" s="267"/>
      <c r="IU48" s="267"/>
      <c r="IV48" s="267"/>
    </row>
    <row r="49" spans="1:256" s="433" customFormat="1" ht="18" customHeight="1">
      <c r="A49" s="447">
        <v>41</v>
      </c>
      <c r="B49" s="441"/>
      <c r="C49" s="285"/>
      <c r="D49" s="269" t="s">
        <v>641</v>
      </c>
      <c r="E49" s="276"/>
      <c r="F49" s="437"/>
      <c r="G49" s="277"/>
      <c r="H49" s="526"/>
      <c r="I49" s="523"/>
      <c r="J49" s="523"/>
      <c r="K49" s="542"/>
      <c r="L49" s="542"/>
      <c r="M49" s="542"/>
      <c r="N49" s="523"/>
      <c r="O49" s="523"/>
      <c r="P49" s="838"/>
      <c r="Q49" s="438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  <c r="AQ49" s="267"/>
      <c r="AR49" s="267"/>
      <c r="AS49" s="267"/>
      <c r="AT49" s="267"/>
      <c r="AU49" s="267"/>
      <c r="AV49" s="267"/>
      <c r="AW49" s="267"/>
      <c r="AX49" s="267"/>
      <c r="AY49" s="267"/>
      <c r="AZ49" s="267"/>
      <c r="BA49" s="267"/>
      <c r="BB49" s="267"/>
      <c r="BC49" s="267"/>
      <c r="BD49" s="267"/>
      <c r="BE49" s="267"/>
      <c r="BF49" s="267"/>
      <c r="BG49" s="267"/>
      <c r="BH49" s="267"/>
      <c r="BI49" s="267"/>
      <c r="BJ49" s="267"/>
      <c r="BK49" s="267"/>
      <c r="BL49" s="267"/>
      <c r="BM49" s="267"/>
      <c r="BN49" s="267"/>
      <c r="BO49" s="267"/>
      <c r="BP49" s="267"/>
      <c r="BQ49" s="267"/>
      <c r="BR49" s="267"/>
      <c r="BS49" s="267"/>
      <c r="BT49" s="267"/>
      <c r="BU49" s="267"/>
      <c r="BV49" s="267"/>
      <c r="BW49" s="267"/>
      <c r="BX49" s="267"/>
      <c r="BY49" s="267"/>
      <c r="BZ49" s="267"/>
      <c r="CA49" s="267"/>
      <c r="CB49" s="267"/>
      <c r="CC49" s="267"/>
      <c r="CD49" s="267"/>
      <c r="CE49" s="267"/>
      <c r="CF49" s="267"/>
      <c r="CG49" s="267"/>
      <c r="CH49" s="267"/>
      <c r="CI49" s="267"/>
      <c r="CJ49" s="267"/>
      <c r="CK49" s="267"/>
      <c r="CL49" s="267"/>
      <c r="CM49" s="267"/>
      <c r="CN49" s="267"/>
      <c r="CO49" s="267"/>
      <c r="CP49" s="267"/>
      <c r="CQ49" s="267"/>
      <c r="CR49" s="267"/>
      <c r="CS49" s="267"/>
      <c r="CT49" s="267"/>
      <c r="CU49" s="267"/>
      <c r="CV49" s="267"/>
      <c r="CW49" s="267"/>
      <c r="CX49" s="267"/>
      <c r="CY49" s="267"/>
      <c r="CZ49" s="267"/>
      <c r="DA49" s="267"/>
      <c r="DB49" s="267"/>
      <c r="DC49" s="267"/>
      <c r="DD49" s="267"/>
      <c r="DE49" s="267"/>
      <c r="DF49" s="267"/>
      <c r="DG49" s="267"/>
      <c r="DH49" s="267"/>
      <c r="DI49" s="267"/>
      <c r="DJ49" s="267"/>
      <c r="DK49" s="267"/>
      <c r="DL49" s="267"/>
      <c r="DM49" s="267"/>
      <c r="DN49" s="267"/>
      <c r="DO49" s="267"/>
      <c r="DP49" s="267"/>
      <c r="DQ49" s="267"/>
      <c r="DR49" s="267"/>
      <c r="DS49" s="267"/>
      <c r="DT49" s="267"/>
      <c r="DU49" s="267"/>
      <c r="DV49" s="267"/>
      <c r="DW49" s="267"/>
      <c r="DX49" s="267"/>
      <c r="DY49" s="267"/>
      <c r="DZ49" s="267"/>
      <c r="EA49" s="267"/>
      <c r="EB49" s="267"/>
      <c r="EC49" s="267"/>
      <c r="ED49" s="267"/>
      <c r="EE49" s="267"/>
      <c r="EF49" s="267"/>
      <c r="EG49" s="267"/>
      <c r="EH49" s="267"/>
      <c r="EI49" s="267"/>
      <c r="EJ49" s="267"/>
      <c r="EK49" s="267"/>
      <c r="EL49" s="267"/>
      <c r="EM49" s="267"/>
      <c r="EN49" s="267"/>
      <c r="EO49" s="267"/>
      <c r="EP49" s="267"/>
      <c r="EQ49" s="267"/>
      <c r="ER49" s="267"/>
      <c r="ES49" s="267"/>
      <c r="ET49" s="267"/>
      <c r="EU49" s="267"/>
      <c r="EV49" s="267"/>
      <c r="EW49" s="267"/>
      <c r="EX49" s="267"/>
      <c r="EY49" s="267"/>
      <c r="EZ49" s="267"/>
      <c r="FA49" s="267"/>
      <c r="FB49" s="267"/>
      <c r="FC49" s="267"/>
      <c r="FD49" s="267"/>
      <c r="FE49" s="267"/>
      <c r="FF49" s="267"/>
      <c r="FG49" s="267"/>
      <c r="FH49" s="267"/>
      <c r="FI49" s="267"/>
      <c r="FJ49" s="267"/>
      <c r="FK49" s="267"/>
      <c r="FL49" s="267"/>
      <c r="FM49" s="267"/>
      <c r="FN49" s="267"/>
      <c r="FO49" s="267"/>
      <c r="FP49" s="267"/>
      <c r="FQ49" s="267"/>
      <c r="FR49" s="267"/>
      <c r="FS49" s="267"/>
      <c r="FT49" s="267"/>
      <c r="FU49" s="267"/>
      <c r="FV49" s="267"/>
      <c r="FW49" s="267"/>
      <c r="FX49" s="267"/>
      <c r="FY49" s="267"/>
      <c r="FZ49" s="267"/>
      <c r="GA49" s="267"/>
      <c r="GB49" s="267"/>
      <c r="GC49" s="267"/>
      <c r="GD49" s="267"/>
      <c r="GE49" s="267"/>
      <c r="GF49" s="267"/>
      <c r="GG49" s="267"/>
      <c r="GH49" s="267"/>
      <c r="GI49" s="267"/>
      <c r="GJ49" s="267"/>
      <c r="GK49" s="267"/>
      <c r="GL49" s="267"/>
      <c r="GM49" s="267"/>
      <c r="GN49" s="267"/>
      <c r="GO49" s="267"/>
      <c r="GP49" s="267"/>
      <c r="GQ49" s="267"/>
      <c r="GR49" s="267"/>
      <c r="GS49" s="267"/>
      <c r="GT49" s="267"/>
      <c r="GU49" s="267"/>
      <c r="GV49" s="267"/>
      <c r="GW49" s="267"/>
      <c r="GX49" s="267"/>
      <c r="GY49" s="267"/>
      <c r="GZ49" s="267"/>
      <c r="HA49" s="267"/>
      <c r="HB49" s="267"/>
      <c r="HC49" s="267"/>
      <c r="HD49" s="267"/>
      <c r="HE49" s="267"/>
      <c r="HF49" s="267"/>
      <c r="HG49" s="267"/>
      <c r="HH49" s="267"/>
      <c r="HI49" s="267"/>
      <c r="HJ49" s="267"/>
      <c r="HK49" s="267"/>
      <c r="HL49" s="267"/>
      <c r="HM49" s="267"/>
      <c r="HN49" s="267"/>
      <c r="HO49" s="267"/>
      <c r="HP49" s="267"/>
      <c r="HQ49" s="267"/>
      <c r="HR49" s="267"/>
      <c r="HS49" s="267"/>
      <c r="HT49" s="267"/>
      <c r="HU49" s="267"/>
      <c r="HV49" s="267"/>
      <c r="HW49" s="267"/>
      <c r="HX49" s="267"/>
      <c r="HY49" s="267"/>
      <c r="HZ49" s="267"/>
      <c r="IA49" s="267"/>
      <c r="IB49" s="267"/>
      <c r="IC49" s="267"/>
      <c r="ID49" s="267"/>
      <c r="IE49" s="267"/>
      <c r="IF49" s="267"/>
      <c r="IG49" s="267"/>
      <c r="IH49" s="267"/>
      <c r="II49" s="267"/>
      <c r="IJ49" s="267"/>
      <c r="IK49" s="267"/>
      <c r="IL49" s="267"/>
      <c r="IM49" s="267"/>
      <c r="IN49" s="267"/>
      <c r="IO49" s="267"/>
      <c r="IP49" s="267"/>
      <c r="IQ49" s="267"/>
      <c r="IR49" s="267"/>
      <c r="IS49" s="267"/>
      <c r="IT49" s="267"/>
      <c r="IU49" s="267"/>
      <c r="IV49" s="267"/>
    </row>
    <row r="50" spans="1:256" s="433" customFormat="1" ht="18" customHeight="1">
      <c r="A50" s="447">
        <v>42</v>
      </c>
      <c r="B50" s="441"/>
      <c r="C50" s="285"/>
      <c r="D50" s="520" t="s">
        <v>283</v>
      </c>
      <c r="E50" s="276">
        <f>F50+G50+P50</f>
        <v>20000</v>
      </c>
      <c r="F50" s="437"/>
      <c r="G50" s="277">
        <v>20000</v>
      </c>
      <c r="H50" s="526"/>
      <c r="I50" s="523"/>
      <c r="J50" s="523"/>
      <c r="K50" s="542"/>
      <c r="L50" s="542"/>
      <c r="M50" s="542"/>
      <c r="N50" s="523"/>
      <c r="O50" s="523"/>
      <c r="P50" s="838"/>
      <c r="Q50" s="438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7"/>
      <c r="AR50" s="267"/>
      <c r="AS50" s="267"/>
      <c r="AT50" s="267"/>
      <c r="AU50" s="267"/>
      <c r="AV50" s="267"/>
      <c r="AW50" s="267"/>
      <c r="AX50" s="267"/>
      <c r="AY50" s="267"/>
      <c r="AZ50" s="267"/>
      <c r="BA50" s="267"/>
      <c r="BB50" s="267"/>
      <c r="BC50" s="267"/>
      <c r="BD50" s="267"/>
      <c r="BE50" s="267"/>
      <c r="BF50" s="267"/>
      <c r="BG50" s="267"/>
      <c r="BH50" s="267"/>
      <c r="BI50" s="267"/>
      <c r="BJ50" s="267"/>
      <c r="BK50" s="267"/>
      <c r="BL50" s="267"/>
      <c r="BM50" s="267"/>
      <c r="BN50" s="267"/>
      <c r="BO50" s="267"/>
      <c r="BP50" s="267"/>
      <c r="BQ50" s="267"/>
      <c r="BR50" s="267"/>
      <c r="BS50" s="267"/>
      <c r="BT50" s="267"/>
      <c r="BU50" s="267"/>
      <c r="BV50" s="267"/>
      <c r="BW50" s="267"/>
      <c r="BX50" s="267"/>
      <c r="BY50" s="267"/>
      <c r="BZ50" s="267"/>
      <c r="CA50" s="267"/>
      <c r="CB50" s="267"/>
      <c r="CC50" s="267"/>
      <c r="CD50" s="267"/>
      <c r="CE50" s="267"/>
      <c r="CF50" s="267"/>
      <c r="CG50" s="267"/>
      <c r="CH50" s="267"/>
      <c r="CI50" s="267"/>
      <c r="CJ50" s="267"/>
      <c r="CK50" s="267"/>
      <c r="CL50" s="267"/>
      <c r="CM50" s="267"/>
      <c r="CN50" s="267"/>
      <c r="CO50" s="267"/>
      <c r="CP50" s="267"/>
      <c r="CQ50" s="267"/>
      <c r="CR50" s="267"/>
      <c r="CS50" s="267"/>
      <c r="CT50" s="267"/>
      <c r="CU50" s="267"/>
      <c r="CV50" s="267"/>
      <c r="CW50" s="267"/>
      <c r="CX50" s="267"/>
      <c r="CY50" s="267"/>
      <c r="CZ50" s="267"/>
      <c r="DA50" s="267"/>
      <c r="DB50" s="267"/>
      <c r="DC50" s="267"/>
      <c r="DD50" s="267"/>
      <c r="DE50" s="267"/>
      <c r="DF50" s="267"/>
      <c r="DG50" s="267"/>
      <c r="DH50" s="267"/>
      <c r="DI50" s="267"/>
      <c r="DJ50" s="267"/>
      <c r="DK50" s="267"/>
      <c r="DL50" s="267"/>
      <c r="DM50" s="267"/>
      <c r="DN50" s="267"/>
      <c r="DO50" s="267"/>
      <c r="DP50" s="267"/>
      <c r="DQ50" s="267"/>
      <c r="DR50" s="267"/>
      <c r="DS50" s="267"/>
      <c r="DT50" s="267"/>
      <c r="DU50" s="267"/>
      <c r="DV50" s="267"/>
      <c r="DW50" s="267"/>
      <c r="DX50" s="267"/>
      <c r="DY50" s="267"/>
      <c r="DZ50" s="267"/>
      <c r="EA50" s="267"/>
      <c r="EB50" s="267"/>
      <c r="EC50" s="267"/>
      <c r="ED50" s="267"/>
      <c r="EE50" s="267"/>
      <c r="EF50" s="267"/>
      <c r="EG50" s="267"/>
      <c r="EH50" s="267"/>
      <c r="EI50" s="267"/>
      <c r="EJ50" s="267"/>
      <c r="EK50" s="267"/>
      <c r="EL50" s="267"/>
      <c r="EM50" s="267"/>
      <c r="EN50" s="267"/>
      <c r="EO50" s="267"/>
      <c r="EP50" s="267"/>
      <c r="EQ50" s="267"/>
      <c r="ER50" s="267"/>
      <c r="ES50" s="267"/>
      <c r="ET50" s="267"/>
      <c r="EU50" s="267"/>
      <c r="EV50" s="267"/>
      <c r="EW50" s="267"/>
      <c r="EX50" s="267"/>
      <c r="EY50" s="267"/>
      <c r="EZ50" s="267"/>
      <c r="FA50" s="267"/>
      <c r="FB50" s="267"/>
      <c r="FC50" s="267"/>
      <c r="FD50" s="267"/>
      <c r="FE50" s="267"/>
      <c r="FF50" s="267"/>
      <c r="FG50" s="267"/>
      <c r="FH50" s="267"/>
      <c r="FI50" s="267"/>
      <c r="FJ50" s="267"/>
      <c r="FK50" s="267"/>
      <c r="FL50" s="267"/>
      <c r="FM50" s="267"/>
      <c r="FN50" s="267"/>
      <c r="FO50" s="267"/>
      <c r="FP50" s="267"/>
      <c r="FQ50" s="267"/>
      <c r="FR50" s="267"/>
      <c r="FS50" s="267"/>
      <c r="FT50" s="267"/>
      <c r="FU50" s="267"/>
      <c r="FV50" s="267"/>
      <c r="FW50" s="267"/>
      <c r="FX50" s="267"/>
      <c r="FY50" s="267"/>
      <c r="FZ50" s="267"/>
      <c r="GA50" s="267"/>
      <c r="GB50" s="267"/>
      <c r="GC50" s="267"/>
      <c r="GD50" s="267"/>
      <c r="GE50" s="267"/>
      <c r="GF50" s="267"/>
      <c r="GG50" s="267"/>
      <c r="GH50" s="267"/>
      <c r="GI50" s="267"/>
      <c r="GJ50" s="267"/>
      <c r="GK50" s="267"/>
      <c r="GL50" s="267"/>
      <c r="GM50" s="267"/>
      <c r="GN50" s="267"/>
      <c r="GO50" s="267"/>
      <c r="GP50" s="267"/>
      <c r="GQ50" s="267"/>
      <c r="GR50" s="267"/>
      <c r="GS50" s="267"/>
      <c r="GT50" s="267"/>
      <c r="GU50" s="267"/>
      <c r="GV50" s="267"/>
      <c r="GW50" s="267"/>
      <c r="GX50" s="267"/>
      <c r="GY50" s="267"/>
      <c r="GZ50" s="267"/>
      <c r="HA50" s="267"/>
      <c r="HB50" s="267"/>
      <c r="HC50" s="267"/>
      <c r="HD50" s="267"/>
      <c r="HE50" s="267"/>
      <c r="HF50" s="267"/>
      <c r="HG50" s="267"/>
      <c r="HH50" s="267"/>
      <c r="HI50" s="267"/>
      <c r="HJ50" s="267"/>
      <c r="HK50" s="267"/>
      <c r="HL50" s="267"/>
      <c r="HM50" s="267"/>
      <c r="HN50" s="267"/>
      <c r="HO50" s="267"/>
      <c r="HP50" s="267"/>
      <c r="HQ50" s="267"/>
      <c r="HR50" s="267"/>
      <c r="HS50" s="267"/>
      <c r="HT50" s="267"/>
      <c r="HU50" s="267"/>
      <c r="HV50" s="267"/>
      <c r="HW50" s="267"/>
      <c r="HX50" s="267"/>
      <c r="HY50" s="267"/>
      <c r="HZ50" s="267"/>
      <c r="IA50" s="267"/>
      <c r="IB50" s="267"/>
      <c r="IC50" s="267"/>
      <c r="ID50" s="267"/>
      <c r="IE50" s="267"/>
      <c r="IF50" s="267"/>
      <c r="IG50" s="267"/>
      <c r="IH50" s="267"/>
      <c r="II50" s="267"/>
      <c r="IJ50" s="267"/>
      <c r="IK50" s="267"/>
      <c r="IL50" s="267"/>
      <c r="IM50" s="267"/>
      <c r="IN50" s="267"/>
      <c r="IO50" s="267"/>
      <c r="IP50" s="267"/>
      <c r="IQ50" s="267"/>
      <c r="IR50" s="267"/>
      <c r="IS50" s="267"/>
      <c r="IT50" s="267"/>
      <c r="IU50" s="267"/>
      <c r="IV50" s="267"/>
    </row>
    <row r="51" spans="1:256" s="433" customFormat="1" ht="18" customHeight="1">
      <c r="A51" s="447">
        <v>43</v>
      </c>
      <c r="B51" s="441"/>
      <c r="C51" s="285"/>
      <c r="D51" s="269" t="s">
        <v>642</v>
      </c>
      <c r="E51" s="276"/>
      <c r="F51" s="437"/>
      <c r="G51" s="277"/>
      <c r="H51" s="526"/>
      <c r="I51" s="523"/>
      <c r="J51" s="523"/>
      <c r="K51" s="542"/>
      <c r="L51" s="542"/>
      <c r="M51" s="542"/>
      <c r="N51" s="523"/>
      <c r="O51" s="523"/>
      <c r="P51" s="838"/>
      <c r="Q51" s="438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267"/>
      <c r="AQ51" s="267"/>
      <c r="AR51" s="267"/>
      <c r="AS51" s="267"/>
      <c r="AT51" s="267"/>
      <c r="AU51" s="267"/>
      <c r="AV51" s="267"/>
      <c r="AW51" s="267"/>
      <c r="AX51" s="267"/>
      <c r="AY51" s="267"/>
      <c r="AZ51" s="267"/>
      <c r="BA51" s="267"/>
      <c r="BB51" s="267"/>
      <c r="BC51" s="267"/>
      <c r="BD51" s="267"/>
      <c r="BE51" s="267"/>
      <c r="BF51" s="267"/>
      <c r="BG51" s="267"/>
      <c r="BH51" s="267"/>
      <c r="BI51" s="267"/>
      <c r="BJ51" s="267"/>
      <c r="BK51" s="267"/>
      <c r="BL51" s="267"/>
      <c r="BM51" s="267"/>
      <c r="BN51" s="267"/>
      <c r="BO51" s="267"/>
      <c r="BP51" s="267"/>
      <c r="BQ51" s="267"/>
      <c r="BR51" s="267"/>
      <c r="BS51" s="267"/>
      <c r="BT51" s="267"/>
      <c r="BU51" s="267"/>
      <c r="BV51" s="267"/>
      <c r="BW51" s="267"/>
      <c r="BX51" s="267"/>
      <c r="BY51" s="267"/>
      <c r="BZ51" s="267"/>
      <c r="CA51" s="267"/>
      <c r="CB51" s="267"/>
      <c r="CC51" s="267"/>
      <c r="CD51" s="267"/>
      <c r="CE51" s="267"/>
      <c r="CF51" s="267"/>
      <c r="CG51" s="267"/>
      <c r="CH51" s="267"/>
      <c r="CI51" s="267"/>
      <c r="CJ51" s="267"/>
      <c r="CK51" s="267"/>
      <c r="CL51" s="267"/>
      <c r="CM51" s="267"/>
      <c r="CN51" s="267"/>
      <c r="CO51" s="267"/>
      <c r="CP51" s="267"/>
      <c r="CQ51" s="267"/>
      <c r="CR51" s="267"/>
      <c r="CS51" s="267"/>
      <c r="CT51" s="267"/>
      <c r="CU51" s="267"/>
      <c r="CV51" s="267"/>
      <c r="CW51" s="267"/>
      <c r="CX51" s="267"/>
      <c r="CY51" s="267"/>
      <c r="CZ51" s="267"/>
      <c r="DA51" s="267"/>
      <c r="DB51" s="267"/>
      <c r="DC51" s="267"/>
      <c r="DD51" s="267"/>
      <c r="DE51" s="267"/>
      <c r="DF51" s="267"/>
      <c r="DG51" s="267"/>
      <c r="DH51" s="267"/>
      <c r="DI51" s="267"/>
      <c r="DJ51" s="267"/>
      <c r="DK51" s="267"/>
      <c r="DL51" s="267"/>
      <c r="DM51" s="267"/>
      <c r="DN51" s="267"/>
      <c r="DO51" s="267"/>
      <c r="DP51" s="267"/>
      <c r="DQ51" s="267"/>
      <c r="DR51" s="267"/>
      <c r="DS51" s="267"/>
      <c r="DT51" s="267"/>
      <c r="DU51" s="267"/>
      <c r="DV51" s="267"/>
      <c r="DW51" s="267"/>
      <c r="DX51" s="267"/>
      <c r="DY51" s="267"/>
      <c r="DZ51" s="267"/>
      <c r="EA51" s="267"/>
      <c r="EB51" s="267"/>
      <c r="EC51" s="267"/>
      <c r="ED51" s="267"/>
      <c r="EE51" s="267"/>
      <c r="EF51" s="267"/>
      <c r="EG51" s="267"/>
      <c r="EH51" s="267"/>
      <c r="EI51" s="267"/>
      <c r="EJ51" s="267"/>
      <c r="EK51" s="267"/>
      <c r="EL51" s="267"/>
      <c r="EM51" s="267"/>
      <c r="EN51" s="267"/>
      <c r="EO51" s="267"/>
      <c r="EP51" s="267"/>
      <c r="EQ51" s="267"/>
      <c r="ER51" s="267"/>
      <c r="ES51" s="267"/>
      <c r="ET51" s="267"/>
      <c r="EU51" s="267"/>
      <c r="EV51" s="267"/>
      <c r="EW51" s="267"/>
      <c r="EX51" s="267"/>
      <c r="EY51" s="267"/>
      <c r="EZ51" s="267"/>
      <c r="FA51" s="267"/>
      <c r="FB51" s="267"/>
      <c r="FC51" s="267"/>
      <c r="FD51" s="267"/>
      <c r="FE51" s="267"/>
      <c r="FF51" s="267"/>
      <c r="FG51" s="267"/>
      <c r="FH51" s="267"/>
      <c r="FI51" s="267"/>
      <c r="FJ51" s="267"/>
      <c r="FK51" s="267"/>
      <c r="FL51" s="267"/>
      <c r="FM51" s="267"/>
      <c r="FN51" s="267"/>
      <c r="FO51" s="267"/>
      <c r="FP51" s="267"/>
      <c r="FQ51" s="267"/>
      <c r="FR51" s="267"/>
      <c r="FS51" s="267"/>
      <c r="FT51" s="267"/>
      <c r="FU51" s="267"/>
      <c r="FV51" s="267"/>
      <c r="FW51" s="267"/>
      <c r="FX51" s="267"/>
      <c r="FY51" s="267"/>
      <c r="FZ51" s="267"/>
      <c r="GA51" s="267"/>
      <c r="GB51" s="267"/>
      <c r="GC51" s="267"/>
      <c r="GD51" s="267"/>
      <c r="GE51" s="267"/>
      <c r="GF51" s="267"/>
      <c r="GG51" s="267"/>
      <c r="GH51" s="267"/>
      <c r="GI51" s="267"/>
      <c r="GJ51" s="267"/>
      <c r="GK51" s="267"/>
      <c r="GL51" s="267"/>
      <c r="GM51" s="267"/>
      <c r="GN51" s="267"/>
      <c r="GO51" s="267"/>
      <c r="GP51" s="267"/>
      <c r="GQ51" s="267"/>
      <c r="GR51" s="267"/>
      <c r="GS51" s="267"/>
      <c r="GT51" s="267"/>
      <c r="GU51" s="267"/>
      <c r="GV51" s="267"/>
      <c r="GW51" s="267"/>
      <c r="GX51" s="267"/>
      <c r="GY51" s="267"/>
      <c r="GZ51" s="267"/>
      <c r="HA51" s="267"/>
      <c r="HB51" s="267"/>
      <c r="HC51" s="267"/>
      <c r="HD51" s="267"/>
      <c r="HE51" s="267"/>
      <c r="HF51" s="267"/>
      <c r="HG51" s="267"/>
      <c r="HH51" s="267"/>
      <c r="HI51" s="267"/>
      <c r="HJ51" s="267"/>
      <c r="HK51" s="267"/>
      <c r="HL51" s="267"/>
      <c r="HM51" s="267"/>
      <c r="HN51" s="267"/>
      <c r="HO51" s="267"/>
      <c r="HP51" s="267"/>
      <c r="HQ51" s="267"/>
      <c r="HR51" s="267"/>
      <c r="HS51" s="267"/>
      <c r="HT51" s="267"/>
      <c r="HU51" s="267"/>
      <c r="HV51" s="267"/>
      <c r="HW51" s="267"/>
      <c r="HX51" s="267"/>
      <c r="HY51" s="267"/>
      <c r="HZ51" s="267"/>
      <c r="IA51" s="267"/>
      <c r="IB51" s="267"/>
      <c r="IC51" s="267"/>
      <c r="ID51" s="267"/>
      <c r="IE51" s="267"/>
      <c r="IF51" s="267"/>
      <c r="IG51" s="267"/>
      <c r="IH51" s="267"/>
      <c r="II51" s="267"/>
      <c r="IJ51" s="267"/>
      <c r="IK51" s="267"/>
      <c r="IL51" s="267"/>
      <c r="IM51" s="267"/>
      <c r="IN51" s="267"/>
      <c r="IO51" s="267"/>
      <c r="IP51" s="267"/>
      <c r="IQ51" s="267"/>
      <c r="IR51" s="267"/>
      <c r="IS51" s="267"/>
      <c r="IT51" s="267"/>
      <c r="IU51" s="267"/>
      <c r="IV51" s="267"/>
    </row>
    <row r="52" spans="1:256" s="433" customFormat="1" ht="18" customHeight="1">
      <c r="A52" s="447">
        <v>44</v>
      </c>
      <c r="B52" s="441"/>
      <c r="C52" s="285"/>
      <c r="D52" s="520" t="s">
        <v>283</v>
      </c>
      <c r="E52" s="276">
        <f>F52+G52+P52</f>
        <v>19890</v>
      </c>
      <c r="F52" s="437"/>
      <c r="G52" s="277">
        <v>19890</v>
      </c>
      <c r="H52" s="526"/>
      <c r="I52" s="523"/>
      <c r="J52" s="523"/>
      <c r="K52" s="542"/>
      <c r="L52" s="542"/>
      <c r="M52" s="542"/>
      <c r="N52" s="523"/>
      <c r="O52" s="523"/>
      <c r="P52" s="838"/>
      <c r="Q52" s="438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267"/>
      <c r="AQ52" s="267"/>
      <c r="AR52" s="267"/>
      <c r="AS52" s="267"/>
      <c r="AT52" s="267"/>
      <c r="AU52" s="267"/>
      <c r="AV52" s="267"/>
      <c r="AW52" s="267"/>
      <c r="AX52" s="267"/>
      <c r="AY52" s="267"/>
      <c r="AZ52" s="267"/>
      <c r="BA52" s="267"/>
      <c r="BB52" s="267"/>
      <c r="BC52" s="267"/>
      <c r="BD52" s="267"/>
      <c r="BE52" s="267"/>
      <c r="BF52" s="267"/>
      <c r="BG52" s="267"/>
      <c r="BH52" s="267"/>
      <c r="BI52" s="267"/>
      <c r="BJ52" s="267"/>
      <c r="BK52" s="267"/>
      <c r="BL52" s="267"/>
      <c r="BM52" s="267"/>
      <c r="BN52" s="267"/>
      <c r="BO52" s="267"/>
      <c r="BP52" s="267"/>
      <c r="BQ52" s="267"/>
      <c r="BR52" s="267"/>
      <c r="BS52" s="267"/>
      <c r="BT52" s="267"/>
      <c r="BU52" s="267"/>
      <c r="BV52" s="267"/>
      <c r="BW52" s="267"/>
      <c r="BX52" s="267"/>
      <c r="BY52" s="267"/>
      <c r="BZ52" s="267"/>
      <c r="CA52" s="267"/>
      <c r="CB52" s="267"/>
      <c r="CC52" s="267"/>
      <c r="CD52" s="267"/>
      <c r="CE52" s="267"/>
      <c r="CF52" s="267"/>
      <c r="CG52" s="267"/>
      <c r="CH52" s="267"/>
      <c r="CI52" s="267"/>
      <c r="CJ52" s="267"/>
      <c r="CK52" s="267"/>
      <c r="CL52" s="267"/>
      <c r="CM52" s="267"/>
      <c r="CN52" s="267"/>
      <c r="CO52" s="267"/>
      <c r="CP52" s="267"/>
      <c r="CQ52" s="267"/>
      <c r="CR52" s="267"/>
      <c r="CS52" s="267"/>
      <c r="CT52" s="267"/>
      <c r="CU52" s="267"/>
      <c r="CV52" s="267"/>
      <c r="CW52" s="267"/>
      <c r="CX52" s="267"/>
      <c r="CY52" s="267"/>
      <c r="CZ52" s="267"/>
      <c r="DA52" s="267"/>
      <c r="DB52" s="267"/>
      <c r="DC52" s="267"/>
      <c r="DD52" s="267"/>
      <c r="DE52" s="267"/>
      <c r="DF52" s="267"/>
      <c r="DG52" s="267"/>
      <c r="DH52" s="267"/>
      <c r="DI52" s="267"/>
      <c r="DJ52" s="267"/>
      <c r="DK52" s="267"/>
      <c r="DL52" s="267"/>
      <c r="DM52" s="267"/>
      <c r="DN52" s="267"/>
      <c r="DO52" s="267"/>
      <c r="DP52" s="267"/>
      <c r="DQ52" s="267"/>
      <c r="DR52" s="267"/>
      <c r="DS52" s="267"/>
      <c r="DT52" s="267"/>
      <c r="DU52" s="267"/>
      <c r="DV52" s="267"/>
      <c r="DW52" s="267"/>
      <c r="DX52" s="267"/>
      <c r="DY52" s="267"/>
      <c r="DZ52" s="267"/>
      <c r="EA52" s="267"/>
      <c r="EB52" s="267"/>
      <c r="EC52" s="267"/>
      <c r="ED52" s="267"/>
      <c r="EE52" s="267"/>
      <c r="EF52" s="267"/>
      <c r="EG52" s="267"/>
      <c r="EH52" s="267"/>
      <c r="EI52" s="267"/>
      <c r="EJ52" s="267"/>
      <c r="EK52" s="267"/>
      <c r="EL52" s="267"/>
      <c r="EM52" s="267"/>
      <c r="EN52" s="267"/>
      <c r="EO52" s="267"/>
      <c r="EP52" s="267"/>
      <c r="EQ52" s="267"/>
      <c r="ER52" s="267"/>
      <c r="ES52" s="267"/>
      <c r="ET52" s="267"/>
      <c r="EU52" s="267"/>
      <c r="EV52" s="267"/>
      <c r="EW52" s="267"/>
      <c r="EX52" s="267"/>
      <c r="EY52" s="267"/>
      <c r="EZ52" s="267"/>
      <c r="FA52" s="267"/>
      <c r="FB52" s="267"/>
      <c r="FC52" s="267"/>
      <c r="FD52" s="267"/>
      <c r="FE52" s="267"/>
      <c r="FF52" s="267"/>
      <c r="FG52" s="267"/>
      <c r="FH52" s="267"/>
      <c r="FI52" s="267"/>
      <c r="FJ52" s="267"/>
      <c r="FK52" s="267"/>
      <c r="FL52" s="267"/>
      <c r="FM52" s="267"/>
      <c r="FN52" s="267"/>
      <c r="FO52" s="267"/>
      <c r="FP52" s="267"/>
      <c r="FQ52" s="267"/>
      <c r="FR52" s="267"/>
      <c r="FS52" s="267"/>
      <c r="FT52" s="267"/>
      <c r="FU52" s="267"/>
      <c r="FV52" s="267"/>
      <c r="FW52" s="267"/>
      <c r="FX52" s="267"/>
      <c r="FY52" s="267"/>
      <c r="FZ52" s="267"/>
      <c r="GA52" s="267"/>
      <c r="GB52" s="267"/>
      <c r="GC52" s="267"/>
      <c r="GD52" s="267"/>
      <c r="GE52" s="267"/>
      <c r="GF52" s="267"/>
      <c r="GG52" s="267"/>
      <c r="GH52" s="267"/>
      <c r="GI52" s="267"/>
      <c r="GJ52" s="267"/>
      <c r="GK52" s="267"/>
      <c r="GL52" s="267"/>
      <c r="GM52" s="267"/>
      <c r="GN52" s="267"/>
      <c r="GO52" s="267"/>
      <c r="GP52" s="267"/>
      <c r="GQ52" s="267"/>
      <c r="GR52" s="267"/>
      <c r="GS52" s="267"/>
      <c r="GT52" s="267"/>
      <c r="GU52" s="267"/>
      <c r="GV52" s="267"/>
      <c r="GW52" s="267"/>
      <c r="GX52" s="267"/>
      <c r="GY52" s="267"/>
      <c r="GZ52" s="267"/>
      <c r="HA52" s="267"/>
      <c r="HB52" s="267"/>
      <c r="HC52" s="267"/>
      <c r="HD52" s="267"/>
      <c r="HE52" s="267"/>
      <c r="HF52" s="267"/>
      <c r="HG52" s="267"/>
      <c r="HH52" s="267"/>
      <c r="HI52" s="267"/>
      <c r="HJ52" s="267"/>
      <c r="HK52" s="267"/>
      <c r="HL52" s="267"/>
      <c r="HM52" s="267"/>
      <c r="HN52" s="267"/>
      <c r="HO52" s="267"/>
      <c r="HP52" s="267"/>
      <c r="HQ52" s="267"/>
      <c r="HR52" s="267"/>
      <c r="HS52" s="267"/>
      <c r="HT52" s="267"/>
      <c r="HU52" s="267"/>
      <c r="HV52" s="267"/>
      <c r="HW52" s="267"/>
      <c r="HX52" s="267"/>
      <c r="HY52" s="267"/>
      <c r="HZ52" s="267"/>
      <c r="IA52" s="267"/>
      <c r="IB52" s="267"/>
      <c r="IC52" s="267"/>
      <c r="ID52" s="267"/>
      <c r="IE52" s="267"/>
      <c r="IF52" s="267"/>
      <c r="IG52" s="267"/>
      <c r="IH52" s="267"/>
      <c r="II52" s="267"/>
      <c r="IJ52" s="267"/>
      <c r="IK52" s="267"/>
      <c r="IL52" s="267"/>
      <c r="IM52" s="267"/>
      <c r="IN52" s="267"/>
      <c r="IO52" s="267"/>
      <c r="IP52" s="267"/>
      <c r="IQ52" s="267"/>
      <c r="IR52" s="267"/>
      <c r="IS52" s="267"/>
      <c r="IT52" s="267"/>
      <c r="IU52" s="267"/>
      <c r="IV52" s="267"/>
    </row>
    <row r="53" spans="1:256" s="433" customFormat="1" ht="18" customHeight="1">
      <c r="A53" s="447">
        <v>45</v>
      </c>
      <c r="B53" s="441"/>
      <c r="C53" s="285"/>
      <c r="D53" s="269" t="s">
        <v>643</v>
      </c>
      <c r="E53" s="276"/>
      <c r="F53" s="437"/>
      <c r="G53" s="277"/>
      <c r="H53" s="526"/>
      <c r="I53" s="523"/>
      <c r="J53" s="523"/>
      <c r="K53" s="542"/>
      <c r="L53" s="542"/>
      <c r="M53" s="542"/>
      <c r="N53" s="523"/>
      <c r="O53" s="523"/>
      <c r="P53" s="838"/>
      <c r="Q53" s="438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7"/>
      <c r="AR53" s="267"/>
      <c r="AS53" s="267"/>
      <c r="AT53" s="267"/>
      <c r="AU53" s="267"/>
      <c r="AV53" s="267"/>
      <c r="AW53" s="267"/>
      <c r="AX53" s="267"/>
      <c r="AY53" s="267"/>
      <c r="AZ53" s="267"/>
      <c r="BA53" s="267"/>
      <c r="BB53" s="267"/>
      <c r="BC53" s="267"/>
      <c r="BD53" s="267"/>
      <c r="BE53" s="267"/>
      <c r="BF53" s="267"/>
      <c r="BG53" s="267"/>
      <c r="BH53" s="267"/>
      <c r="BI53" s="267"/>
      <c r="BJ53" s="267"/>
      <c r="BK53" s="267"/>
      <c r="BL53" s="267"/>
      <c r="BM53" s="267"/>
      <c r="BN53" s="267"/>
      <c r="BO53" s="267"/>
      <c r="BP53" s="267"/>
      <c r="BQ53" s="267"/>
      <c r="BR53" s="267"/>
      <c r="BS53" s="267"/>
      <c r="BT53" s="267"/>
      <c r="BU53" s="267"/>
      <c r="BV53" s="267"/>
      <c r="BW53" s="267"/>
      <c r="BX53" s="267"/>
      <c r="BY53" s="267"/>
      <c r="BZ53" s="267"/>
      <c r="CA53" s="267"/>
      <c r="CB53" s="267"/>
      <c r="CC53" s="267"/>
      <c r="CD53" s="267"/>
      <c r="CE53" s="267"/>
      <c r="CF53" s="267"/>
      <c r="CG53" s="267"/>
      <c r="CH53" s="267"/>
      <c r="CI53" s="267"/>
      <c r="CJ53" s="267"/>
      <c r="CK53" s="267"/>
      <c r="CL53" s="267"/>
      <c r="CM53" s="267"/>
      <c r="CN53" s="267"/>
      <c r="CO53" s="267"/>
      <c r="CP53" s="267"/>
      <c r="CQ53" s="267"/>
      <c r="CR53" s="267"/>
      <c r="CS53" s="267"/>
      <c r="CT53" s="267"/>
      <c r="CU53" s="267"/>
      <c r="CV53" s="267"/>
      <c r="CW53" s="267"/>
      <c r="CX53" s="267"/>
      <c r="CY53" s="267"/>
      <c r="CZ53" s="267"/>
      <c r="DA53" s="267"/>
      <c r="DB53" s="267"/>
      <c r="DC53" s="267"/>
      <c r="DD53" s="267"/>
      <c r="DE53" s="267"/>
      <c r="DF53" s="267"/>
      <c r="DG53" s="267"/>
      <c r="DH53" s="267"/>
      <c r="DI53" s="267"/>
      <c r="DJ53" s="267"/>
      <c r="DK53" s="267"/>
      <c r="DL53" s="267"/>
      <c r="DM53" s="267"/>
      <c r="DN53" s="267"/>
      <c r="DO53" s="267"/>
      <c r="DP53" s="267"/>
      <c r="DQ53" s="267"/>
      <c r="DR53" s="267"/>
      <c r="DS53" s="267"/>
      <c r="DT53" s="267"/>
      <c r="DU53" s="267"/>
      <c r="DV53" s="267"/>
      <c r="DW53" s="267"/>
      <c r="DX53" s="267"/>
      <c r="DY53" s="267"/>
      <c r="DZ53" s="267"/>
      <c r="EA53" s="267"/>
      <c r="EB53" s="267"/>
      <c r="EC53" s="267"/>
      <c r="ED53" s="267"/>
      <c r="EE53" s="267"/>
      <c r="EF53" s="267"/>
      <c r="EG53" s="267"/>
      <c r="EH53" s="267"/>
      <c r="EI53" s="267"/>
      <c r="EJ53" s="267"/>
      <c r="EK53" s="267"/>
      <c r="EL53" s="267"/>
      <c r="EM53" s="267"/>
      <c r="EN53" s="267"/>
      <c r="EO53" s="267"/>
      <c r="EP53" s="267"/>
      <c r="EQ53" s="267"/>
      <c r="ER53" s="267"/>
      <c r="ES53" s="267"/>
      <c r="ET53" s="267"/>
      <c r="EU53" s="267"/>
      <c r="EV53" s="267"/>
      <c r="EW53" s="267"/>
      <c r="EX53" s="267"/>
      <c r="EY53" s="267"/>
      <c r="EZ53" s="267"/>
      <c r="FA53" s="267"/>
      <c r="FB53" s="267"/>
      <c r="FC53" s="267"/>
      <c r="FD53" s="267"/>
      <c r="FE53" s="267"/>
      <c r="FF53" s="267"/>
      <c r="FG53" s="267"/>
      <c r="FH53" s="267"/>
      <c r="FI53" s="267"/>
      <c r="FJ53" s="267"/>
      <c r="FK53" s="267"/>
      <c r="FL53" s="267"/>
      <c r="FM53" s="267"/>
      <c r="FN53" s="267"/>
      <c r="FO53" s="267"/>
      <c r="FP53" s="267"/>
      <c r="FQ53" s="267"/>
      <c r="FR53" s="267"/>
      <c r="FS53" s="267"/>
      <c r="FT53" s="267"/>
      <c r="FU53" s="267"/>
      <c r="FV53" s="267"/>
      <c r="FW53" s="267"/>
      <c r="FX53" s="267"/>
      <c r="FY53" s="267"/>
      <c r="FZ53" s="267"/>
      <c r="GA53" s="267"/>
      <c r="GB53" s="267"/>
      <c r="GC53" s="267"/>
      <c r="GD53" s="267"/>
      <c r="GE53" s="267"/>
      <c r="GF53" s="267"/>
      <c r="GG53" s="267"/>
      <c r="GH53" s="267"/>
      <c r="GI53" s="267"/>
      <c r="GJ53" s="267"/>
      <c r="GK53" s="267"/>
      <c r="GL53" s="267"/>
      <c r="GM53" s="267"/>
      <c r="GN53" s="267"/>
      <c r="GO53" s="267"/>
      <c r="GP53" s="267"/>
      <c r="GQ53" s="267"/>
      <c r="GR53" s="267"/>
      <c r="GS53" s="267"/>
      <c r="GT53" s="267"/>
      <c r="GU53" s="267"/>
      <c r="GV53" s="267"/>
      <c r="GW53" s="267"/>
      <c r="GX53" s="267"/>
      <c r="GY53" s="267"/>
      <c r="GZ53" s="267"/>
      <c r="HA53" s="267"/>
      <c r="HB53" s="267"/>
      <c r="HC53" s="267"/>
      <c r="HD53" s="267"/>
      <c r="HE53" s="267"/>
      <c r="HF53" s="267"/>
      <c r="HG53" s="267"/>
      <c r="HH53" s="267"/>
      <c r="HI53" s="267"/>
      <c r="HJ53" s="267"/>
      <c r="HK53" s="267"/>
      <c r="HL53" s="267"/>
      <c r="HM53" s="267"/>
      <c r="HN53" s="267"/>
      <c r="HO53" s="267"/>
      <c r="HP53" s="267"/>
      <c r="HQ53" s="267"/>
      <c r="HR53" s="267"/>
      <c r="HS53" s="267"/>
      <c r="HT53" s="267"/>
      <c r="HU53" s="267"/>
      <c r="HV53" s="267"/>
      <c r="HW53" s="267"/>
      <c r="HX53" s="267"/>
      <c r="HY53" s="267"/>
      <c r="HZ53" s="267"/>
      <c r="IA53" s="267"/>
      <c r="IB53" s="267"/>
      <c r="IC53" s="267"/>
      <c r="ID53" s="267"/>
      <c r="IE53" s="267"/>
      <c r="IF53" s="267"/>
      <c r="IG53" s="267"/>
      <c r="IH53" s="267"/>
      <c r="II53" s="267"/>
      <c r="IJ53" s="267"/>
      <c r="IK53" s="267"/>
      <c r="IL53" s="267"/>
      <c r="IM53" s="267"/>
      <c r="IN53" s="267"/>
      <c r="IO53" s="267"/>
      <c r="IP53" s="267"/>
      <c r="IQ53" s="267"/>
      <c r="IR53" s="267"/>
      <c r="IS53" s="267"/>
      <c r="IT53" s="267"/>
      <c r="IU53" s="267"/>
      <c r="IV53" s="267"/>
    </row>
    <row r="54" spans="1:256" s="433" customFormat="1" ht="18" customHeight="1" thickBot="1">
      <c r="A54" s="447">
        <v>46</v>
      </c>
      <c r="B54" s="441"/>
      <c r="C54" s="285"/>
      <c r="D54" s="520" t="s">
        <v>283</v>
      </c>
      <c r="E54" s="276">
        <f>F54+G54+P54</f>
        <v>16500</v>
      </c>
      <c r="F54" s="437"/>
      <c r="G54" s="277">
        <v>16500</v>
      </c>
      <c r="H54" s="526"/>
      <c r="I54" s="523"/>
      <c r="J54" s="523"/>
      <c r="K54" s="542"/>
      <c r="L54" s="542"/>
      <c r="M54" s="542"/>
      <c r="N54" s="523"/>
      <c r="O54" s="523"/>
      <c r="P54" s="838"/>
      <c r="Q54" s="438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7"/>
      <c r="AH54" s="267"/>
      <c r="AI54" s="267"/>
      <c r="AJ54" s="267"/>
      <c r="AK54" s="267"/>
      <c r="AL54" s="267"/>
      <c r="AM54" s="267"/>
      <c r="AN54" s="267"/>
      <c r="AO54" s="267"/>
      <c r="AP54" s="267"/>
      <c r="AQ54" s="267"/>
      <c r="AR54" s="267"/>
      <c r="AS54" s="267"/>
      <c r="AT54" s="267"/>
      <c r="AU54" s="267"/>
      <c r="AV54" s="267"/>
      <c r="AW54" s="267"/>
      <c r="AX54" s="267"/>
      <c r="AY54" s="267"/>
      <c r="AZ54" s="267"/>
      <c r="BA54" s="267"/>
      <c r="BB54" s="267"/>
      <c r="BC54" s="267"/>
      <c r="BD54" s="267"/>
      <c r="BE54" s="267"/>
      <c r="BF54" s="267"/>
      <c r="BG54" s="267"/>
      <c r="BH54" s="267"/>
      <c r="BI54" s="267"/>
      <c r="BJ54" s="267"/>
      <c r="BK54" s="267"/>
      <c r="BL54" s="267"/>
      <c r="BM54" s="267"/>
      <c r="BN54" s="267"/>
      <c r="BO54" s="267"/>
      <c r="BP54" s="267"/>
      <c r="BQ54" s="267"/>
      <c r="BR54" s="267"/>
      <c r="BS54" s="267"/>
      <c r="BT54" s="267"/>
      <c r="BU54" s="267"/>
      <c r="BV54" s="267"/>
      <c r="BW54" s="267"/>
      <c r="BX54" s="267"/>
      <c r="BY54" s="267"/>
      <c r="BZ54" s="267"/>
      <c r="CA54" s="267"/>
      <c r="CB54" s="267"/>
      <c r="CC54" s="267"/>
      <c r="CD54" s="267"/>
      <c r="CE54" s="267"/>
      <c r="CF54" s="267"/>
      <c r="CG54" s="267"/>
      <c r="CH54" s="267"/>
      <c r="CI54" s="267"/>
      <c r="CJ54" s="267"/>
      <c r="CK54" s="267"/>
      <c r="CL54" s="267"/>
      <c r="CM54" s="267"/>
      <c r="CN54" s="267"/>
      <c r="CO54" s="267"/>
      <c r="CP54" s="267"/>
      <c r="CQ54" s="267"/>
      <c r="CR54" s="267"/>
      <c r="CS54" s="267"/>
      <c r="CT54" s="267"/>
      <c r="CU54" s="267"/>
      <c r="CV54" s="267"/>
      <c r="CW54" s="267"/>
      <c r="CX54" s="267"/>
      <c r="CY54" s="267"/>
      <c r="CZ54" s="267"/>
      <c r="DA54" s="267"/>
      <c r="DB54" s="267"/>
      <c r="DC54" s="267"/>
      <c r="DD54" s="267"/>
      <c r="DE54" s="267"/>
      <c r="DF54" s="267"/>
      <c r="DG54" s="267"/>
      <c r="DH54" s="267"/>
      <c r="DI54" s="267"/>
      <c r="DJ54" s="267"/>
      <c r="DK54" s="267"/>
      <c r="DL54" s="267"/>
      <c r="DM54" s="267"/>
      <c r="DN54" s="267"/>
      <c r="DO54" s="267"/>
      <c r="DP54" s="267"/>
      <c r="DQ54" s="267"/>
      <c r="DR54" s="267"/>
      <c r="DS54" s="267"/>
      <c r="DT54" s="267"/>
      <c r="DU54" s="267"/>
      <c r="DV54" s="267"/>
      <c r="DW54" s="267"/>
      <c r="DX54" s="267"/>
      <c r="DY54" s="267"/>
      <c r="DZ54" s="267"/>
      <c r="EA54" s="267"/>
      <c r="EB54" s="267"/>
      <c r="EC54" s="267"/>
      <c r="ED54" s="267"/>
      <c r="EE54" s="267"/>
      <c r="EF54" s="267"/>
      <c r="EG54" s="267"/>
      <c r="EH54" s="267"/>
      <c r="EI54" s="267"/>
      <c r="EJ54" s="267"/>
      <c r="EK54" s="267"/>
      <c r="EL54" s="267"/>
      <c r="EM54" s="267"/>
      <c r="EN54" s="267"/>
      <c r="EO54" s="267"/>
      <c r="EP54" s="267"/>
      <c r="EQ54" s="267"/>
      <c r="ER54" s="267"/>
      <c r="ES54" s="267"/>
      <c r="ET54" s="267"/>
      <c r="EU54" s="267"/>
      <c r="EV54" s="267"/>
      <c r="EW54" s="267"/>
      <c r="EX54" s="267"/>
      <c r="EY54" s="267"/>
      <c r="EZ54" s="267"/>
      <c r="FA54" s="267"/>
      <c r="FB54" s="267"/>
      <c r="FC54" s="267"/>
      <c r="FD54" s="267"/>
      <c r="FE54" s="267"/>
      <c r="FF54" s="267"/>
      <c r="FG54" s="267"/>
      <c r="FH54" s="267"/>
      <c r="FI54" s="267"/>
      <c r="FJ54" s="267"/>
      <c r="FK54" s="267"/>
      <c r="FL54" s="267"/>
      <c r="FM54" s="267"/>
      <c r="FN54" s="267"/>
      <c r="FO54" s="267"/>
      <c r="FP54" s="267"/>
      <c r="FQ54" s="267"/>
      <c r="FR54" s="267"/>
      <c r="FS54" s="267"/>
      <c r="FT54" s="267"/>
      <c r="FU54" s="267"/>
      <c r="FV54" s="267"/>
      <c r="FW54" s="267"/>
      <c r="FX54" s="267"/>
      <c r="FY54" s="267"/>
      <c r="FZ54" s="267"/>
      <c r="GA54" s="267"/>
      <c r="GB54" s="267"/>
      <c r="GC54" s="267"/>
      <c r="GD54" s="267"/>
      <c r="GE54" s="267"/>
      <c r="GF54" s="267"/>
      <c r="GG54" s="267"/>
      <c r="GH54" s="267"/>
      <c r="GI54" s="267"/>
      <c r="GJ54" s="267"/>
      <c r="GK54" s="267"/>
      <c r="GL54" s="267"/>
      <c r="GM54" s="267"/>
      <c r="GN54" s="267"/>
      <c r="GO54" s="267"/>
      <c r="GP54" s="267"/>
      <c r="GQ54" s="267"/>
      <c r="GR54" s="267"/>
      <c r="GS54" s="267"/>
      <c r="GT54" s="267"/>
      <c r="GU54" s="267"/>
      <c r="GV54" s="267"/>
      <c r="GW54" s="267"/>
      <c r="GX54" s="267"/>
      <c r="GY54" s="267"/>
      <c r="GZ54" s="267"/>
      <c r="HA54" s="267"/>
      <c r="HB54" s="267"/>
      <c r="HC54" s="267"/>
      <c r="HD54" s="267"/>
      <c r="HE54" s="267"/>
      <c r="HF54" s="267"/>
      <c r="HG54" s="267"/>
      <c r="HH54" s="267"/>
      <c r="HI54" s="267"/>
      <c r="HJ54" s="267"/>
      <c r="HK54" s="267"/>
      <c r="HL54" s="267"/>
      <c r="HM54" s="267"/>
      <c r="HN54" s="267"/>
      <c r="HO54" s="267"/>
      <c r="HP54" s="267"/>
      <c r="HQ54" s="267"/>
      <c r="HR54" s="267"/>
      <c r="HS54" s="267"/>
      <c r="HT54" s="267"/>
      <c r="HU54" s="267"/>
      <c r="HV54" s="267"/>
      <c r="HW54" s="267"/>
      <c r="HX54" s="267"/>
      <c r="HY54" s="267"/>
      <c r="HZ54" s="267"/>
      <c r="IA54" s="267"/>
      <c r="IB54" s="267"/>
      <c r="IC54" s="267"/>
      <c r="ID54" s="267"/>
      <c r="IE54" s="267"/>
      <c r="IF54" s="267"/>
      <c r="IG54" s="267"/>
      <c r="IH54" s="267"/>
      <c r="II54" s="267"/>
      <c r="IJ54" s="267"/>
      <c r="IK54" s="267"/>
      <c r="IL54" s="267"/>
      <c r="IM54" s="267"/>
      <c r="IN54" s="267"/>
      <c r="IO54" s="267"/>
      <c r="IP54" s="267"/>
      <c r="IQ54" s="267"/>
      <c r="IR54" s="267"/>
      <c r="IS54" s="267"/>
      <c r="IT54" s="267"/>
      <c r="IU54" s="267"/>
      <c r="IV54" s="267"/>
    </row>
    <row r="55" spans="1:17" ht="24.75" customHeight="1" thickBot="1" thickTop="1">
      <c r="A55" s="447">
        <v>47</v>
      </c>
      <c r="B55" s="371"/>
      <c r="C55" s="575"/>
      <c r="D55" s="576" t="s">
        <v>647</v>
      </c>
      <c r="E55" s="727">
        <f>SUM(E42:E54)</f>
        <v>159785</v>
      </c>
      <c r="F55" s="727">
        <f>SUM(F42:F54)</f>
        <v>0</v>
      </c>
      <c r="G55" s="727">
        <f>SUM(G42:G54)</f>
        <v>88538</v>
      </c>
      <c r="H55" s="582"/>
      <c r="I55" s="583">
        <f aca="true" t="shared" si="4" ref="I55:O55">I42+I44+I46+I48</f>
        <v>0</v>
      </c>
      <c r="J55" s="583">
        <f t="shared" si="4"/>
        <v>0</v>
      </c>
      <c r="K55" s="583">
        <f t="shared" si="4"/>
        <v>5500</v>
      </c>
      <c r="L55" s="583">
        <f t="shared" si="4"/>
        <v>0</v>
      </c>
      <c r="M55" s="583">
        <f t="shared" si="4"/>
        <v>65747</v>
      </c>
      <c r="N55" s="583">
        <f t="shared" si="4"/>
        <v>0</v>
      </c>
      <c r="O55" s="583">
        <f t="shared" si="4"/>
        <v>0</v>
      </c>
      <c r="P55" s="583">
        <f>SUM(I55:O55)</f>
        <v>71247</v>
      </c>
      <c r="Q55" s="734"/>
    </row>
    <row r="56" spans="1:17" ht="24.75" customHeight="1" thickTop="1">
      <c r="A56" s="447">
        <v>48</v>
      </c>
      <c r="B56" s="371"/>
      <c r="C56" s="757">
        <v>6</v>
      </c>
      <c r="D56" s="564" t="s">
        <v>563</v>
      </c>
      <c r="E56" s="758"/>
      <c r="F56" s="758"/>
      <c r="G56" s="839"/>
      <c r="H56" s="894" t="s">
        <v>24</v>
      </c>
      <c r="I56" s="841"/>
      <c r="J56" s="841"/>
      <c r="K56" s="841"/>
      <c r="L56" s="841"/>
      <c r="M56" s="841"/>
      <c r="N56" s="841"/>
      <c r="O56" s="841"/>
      <c r="P56" s="842"/>
      <c r="Q56" s="843"/>
    </row>
    <row r="57" spans="1:17" ht="18" customHeight="1">
      <c r="A57" s="447">
        <v>49</v>
      </c>
      <c r="B57" s="371"/>
      <c r="C57" s="285"/>
      <c r="D57" s="548" t="s">
        <v>446</v>
      </c>
      <c r="E57" s="761"/>
      <c r="F57" s="761"/>
      <c r="G57" s="844"/>
      <c r="H57" s="845"/>
      <c r="I57" s="846"/>
      <c r="J57" s="846"/>
      <c r="K57" s="846"/>
      <c r="L57" s="846"/>
      <c r="M57" s="846"/>
      <c r="N57" s="846"/>
      <c r="O57" s="846"/>
      <c r="P57" s="847"/>
      <c r="Q57" s="848"/>
    </row>
    <row r="58" spans="1:17" ht="18" customHeight="1">
      <c r="A58" s="447">
        <v>50</v>
      </c>
      <c r="B58" s="371"/>
      <c r="C58" s="285"/>
      <c r="D58" s="520" t="s">
        <v>283</v>
      </c>
      <c r="E58" s="276">
        <f>F58+G58+P58+5132</f>
        <v>9679</v>
      </c>
      <c r="F58" s="761"/>
      <c r="G58" s="277">
        <v>1372</v>
      </c>
      <c r="H58" s="845"/>
      <c r="I58" s="846"/>
      <c r="J58" s="846"/>
      <c r="K58" s="542">
        <v>3175</v>
      </c>
      <c r="L58" s="846"/>
      <c r="M58" s="846"/>
      <c r="N58" s="846"/>
      <c r="O58" s="846"/>
      <c r="P58" s="510">
        <f>SUM(I58:O58)</f>
        <v>3175</v>
      </c>
      <c r="Q58" s="848"/>
    </row>
    <row r="59" spans="1:17" ht="18" customHeight="1">
      <c r="A59" s="447">
        <v>51</v>
      </c>
      <c r="B59" s="371"/>
      <c r="C59" s="285"/>
      <c r="D59" s="436" t="s">
        <v>648</v>
      </c>
      <c r="E59" s="761"/>
      <c r="F59" s="761"/>
      <c r="G59" s="844"/>
      <c r="H59" s="845"/>
      <c r="I59" s="846"/>
      <c r="J59" s="846"/>
      <c r="K59" s="846"/>
      <c r="L59" s="846"/>
      <c r="M59" s="846"/>
      <c r="N59" s="846"/>
      <c r="O59" s="846"/>
      <c r="P59" s="847"/>
      <c r="Q59" s="848"/>
    </row>
    <row r="60" spans="1:17" ht="18" customHeight="1">
      <c r="A60" s="447">
        <v>52</v>
      </c>
      <c r="B60" s="371"/>
      <c r="C60" s="285"/>
      <c r="D60" s="520" t="s">
        <v>283</v>
      </c>
      <c r="E60" s="276">
        <f>F60+G60+P60</f>
        <v>37211</v>
      </c>
      <c r="F60" s="761"/>
      <c r="G60" s="844"/>
      <c r="H60" s="845"/>
      <c r="I60" s="846"/>
      <c r="J60" s="846"/>
      <c r="K60" s="542">
        <v>18161</v>
      </c>
      <c r="L60" s="542"/>
      <c r="M60" s="542">
        <v>19050</v>
      </c>
      <c r="N60" s="846"/>
      <c r="O60" s="846"/>
      <c r="P60" s="510">
        <f>SUM(I60:O60)</f>
        <v>37211</v>
      </c>
      <c r="Q60" s="848"/>
    </row>
    <row r="61" spans="1:17" ht="18" customHeight="1">
      <c r="A61" s="447">
        <v>53</v>
      </c>
      <c r="B61" s="371"/>
      <c r="C61" s="285"/>
      <c r="D61" s="436" t="s">
        <v>728</v>
      </c>
      <c r="E61" s="761"/>
      <c r="F61" s="761"/>
      <c r="G61" s="844"/>
      <c r="H61" s="845"/>
      <c r="I61" s="846"/>
      <c r="J61" s="846"/>
      <c r="K61" s="542"/>
      <c r="L61" s="542"/>
      <c r="M61" s="542"/>
      <c r="N61" s="846"/>
      <c r="O61" s="846"/>
      <c r="P61" s="847"/>
      <c r="Q61" s="848"/>
    </row>
    <row r="62" spans="1:17" ht="18" customHeight="1">
      <c r="A62" s="447">
        <v>54</v>
      </c>
      <c r="B62" s="371"/>
      <c r="C62" s="285"/>
      <c r="D62" s="520" t="s">
        <v>283</v>
      </c>
      <c r="E62" s="276">
        <f>F62+G62+P62</f>
        <v>54801</v>
      </c>
      <c r="F62" s="761"/>
      <c r="G62" s="844"/>
      <c r="H62" s="845"/>
      <c r="I62" s="846"/>
      <c r="J62" s="846"/>
      <c r="K62" s="542">
        <v>26861</v>
      </c>
      <c r="L62" s="542"/>
      <c r="M62" s="542">
        <v>27940</v>
      </c>
      <c r="N62" s="846"/>
      <c r="O62" s="846"/>
      <c r="P62" s="510">
        <f>SUM(I62:O62)</f>
        <v>54801</v>
      </c>
      <c r="Q62" s="848"/>
    </row>
    <row r="63" spans="1:17" ht="18" customHeight="1">
      <c r="A63" s="447">
        <v>55</v>
      </c>
      <c r="B63" s="371"/>
      <c r="C63" s="285"/>
      <c r="D63" s="436" t="s">
        <v>25</v>
      </c>
      <c r="E63" s="761"/>
      <c r="F63" s="761"/>
      <c r="G63" s="844"/>
      <c r="H63" s="845"/>
      <c r="I63" s="846"/>
      <c r="J63" s="846"/>
      <c r="K63" s="542"/>
      <c r="L63" s="542"/>
      <c r="M63" s="542"/>
      <c r="N63" s="846"/>
      <c r="O63" s="846"/>
      <c r="P63" s="847"/>
      <c r="Q63" s="848"/>
    </row>
    <row r="64" spans="1:17" ht="18" customHeight="1">
      <c r="A64" s="447">
        <v>56</v>
      </c>
      <c r="B64" s="371"/>
      <c r="C64" s="285"/>
      <c r="D64" s="520" t="s">
        <v>283</v>
      </c>
      <c r="E64" s="276">
        <f>F64+G64+P64</f>
        <v>43434</v>
      </c>
      <c r="F64" s="761"/>
      <c r="G64" s="844"/>
      <c r="H64" s="845"/>
      <c r="I64" s="846"/>
      <c r="J64" s="846"/>
      <c r="K64" s="542">
        <v>19304</v>
      </c>
      <c r="L64" s="542"/>
      <c r="M64" s="542">
        <v>24130</v>
      </c>
      <c r="N64" s="846"/>
      <c r="O64" s="846"/>
      <c r="P64" s="510">
        <f>SUM(I64:O64)</f>
        <v>43434</v>
      </c>
      <c r="Q64" s="848"/>
    </row>
    <row r="65" spans="1:17" ht="18" customHeight="1">
      <c r="A65" s="447">
        <v>57</v>
      </c>
      <c r="B65" s="371"/>
      <c r="C65" s="285"/>
      <c r="D65" s="436" t="s">
        <v>649</v>
      </c>
      <c r="E65" s="761"/>
      <c r="F65" s="761"/>
      <c r="G65" s="844"/>
      <c r="H65" s="845"/>
      <c r="I65" s="846"/>
      <c r="J65" s="846"/>
      <c r="K65" s="542"/>
      <c r="L65" s="542"/>
      <c r="M65" s="542"/>
      <c r="N65" s="846"/>
      <c r="O65" s="846"/>
      <c r="P65" s="847"/>
      <c r="Q65" s="848"/>
    </row>
    <row r="66" spans="1:17" ht="18" customHeight="1">
      <c r="A66" s="447">
        <v>58</v>
      </c>
      <c r="B66" s="371"/>
      <c r="C66" s="285"/>
      <c r="D66" s="520" t="s">
        <v>283</v>
      </c>
      <c r="E66" s="276">
        <f>F66+G66+P66</f>
        <v>60960</v>
      </c>
      <c r="F66" s="761"/>
      <c r="G66" s="277">
        <v>29030</v>
      </c>
      <c r="H66" s="845"/>
      <c r="I66" s="846"/>
      <c r="J66" s="846"/>
      <c r="K66" s="542">
        <v>23177</v>
      </c>
      <c r="L66" s="542"/>
      <c r="M66" s="542">
        <v>8753</v>
      </c>
      <c r="N66" s="846"/>
      <c r="O66" s="846"/>
      <c r="P66" s="510">
        <f>SUM(I66:O66)</f>
        <v>31930</v>
      </c>
      <c r="Q66" s="848"/>
    </row>
    <row r="67" spans="1:17" ht="18" customHeight="1">
      <c r="A67" s="447">
        <v>59</v>
      </c>
      <c r="B67" s="371"/>
      <c r="C67" s="285"/>
      <c r="D67" s="436" t="s">
        <v>650</v>
      </c>
      <c r="E67" s="761"/>
      <c r="F67" s="761"/>
      <c r="G67" s="844"/>
      <c r="H67" s="845"/>
      <c r="I67" s="846"/>
      <c r="J67" s="846"/>
      <c r="K67" s="542"/>
      <c r="L67" s="542"/>
      <c r="M67" s="542"/>
      <c r="N67" s="846"/>
      <c r="O67" s="846"/>
      <c r="P67" s="847"/>
      <c r="Q67" s="848"/>
    </row>
    <row r="68" spans="1:17" ht="18" customHeight="1" thickBot="1">
      <c r="A68" s="447">
        <v>60</v>
      </c>
      <c r="B68" s="371"/>
      <c r="C68" s="853"/>
      <c r="D68" s="854" t="s">
        <v>283</v>
      </c>
      <c r="E68" s="855">
        <f>F68+G68+P68</f>
        <v>38907</v>
      </c>
      <c r="F68" s="856"/>
      <c r="G68" s="857"/>
      <c r="H68" s="858"/>
      <c r="I68" s="859"/>
      <c r="J68" s="859"/>
      <c r="K68" s="542">
        <v>21907</v>
      </c>
      <c r="L68" s="542"/>
      <c r="M68" s="542">
        <v>17000</v>
      </c>
      <c r="N68" s="859"/>
      <c r="O68" s="859"/>
      <c r="P68" s="510">
        <f>SUM(I68:O68)</f>
        <v>38907</v>
      </c>
      <c r="Q68" s="860"/>
    </row>
    <row r="69" spans="1:17" ht="24.75" customHeight="1" thickBot="1" thickTop="1">
      <c r="A69" s="447">
        <v>61</v>
      </c>
      <c r="B69" s="371"/>
      <c r="C69" s="575"/>
      <c r="D69" s="861" t="s">
        <v>651</v>
      </c>
      <c r="E69" s="727">
        <f>SUM(E58:E68)</f>
        <v>244992</v>
      </c>
      <c r="F69" s="727">
        <f>SUM(F58:F68)</f>
        <v>0</v>
      </c>
      <c r="G69" s="727">
        <f>SUM(G58:G68)</f>
        <v>30402</v>
      </c>
      <c r="H69" s="582"/>
      <c r="I69" s="583">
        <f>SUM(I58:I68)</f>
        <v>0</v>
      </c>
      <c r="J69" s="583">
        <f aca="true" t="shared" si="5" ref="J69:O69">SUM(J58:J68)</f>
        <v>0</v>
      </c>
      <c r="K69" s="583">
        <f t="shared" si="5"/>
        <v>112585</v>
      </c>
      <c r="L69" s="583">
        <f t="shared" si="5"/>
        <v>0</v>
      </c>
      <c r="M69" s="583">
        <f t="shared" si="5"/>
        <v>96873</v>
      </c>
      <c r="N69" s="583">
        <f t="shared" si="5"/>
        <v>0</v>
      </c>
      <c r="O69" s="583">
        <f t="shared" si="5"/>
        <v>0</v>
      </c>
      <c r="P69" s="862">
        <f>SUM(I69:O69)</f>
        <v>209458</v>
      </c>
      <c r="Q69" s="734"/>
    </row>
    <row r="70" spans="1:17" ht="24.75" customHeight="1" thickTop="1">
      <c r="A70" s="447">
        <v>62</v>
      </c>
      <c r="B70" s="371"/>
      <c r="C70" s="556">
        <v>7</v>
      </c>
      <c r="D70" s="564" t="s">
        <v>565</v>
      </c>
      <c r="E70" s="772"/>
      <c r="F70" s="772"/>
      <c r="G70" s="849"/>
      <c r="H70" s="525" t="s">
        <v>24</v>
      </c>
      <c r="I70" s="850"/>
      <c r="J70" s="850"/>
      <c r="K70" s="850"/>
      <c r="L70" s="850"/>
      <c r="M70" s="850"/>
      <c r="N70" s="850"/>
      <c r="O70" s="850"/>
      <c r="P70" s="851"/>
      <c r="Q70" s="852"/>
    </row>
    <row r="71" spans="1:17" ht="18" customHeight="1">
      <c r="A71" s="447">
        <v>63</v>
      </c>
      <c r="B71" s="371"/>
      <c r="C71" s="757"/>
      <c r="D71" s="436" t="s">
        <v>506</v>
      </c>
      <c r="E71" s="758"/>
      <c r="F71" s="758"/>
      <c r="G71" s="839"/>
      <c r="H71" s="840"/>
      <c r="I71" s="841"/>
      <c r="J71" s="841"/>
      <c r="K71" s="841"/>
      <c r="L71" s="841"/>
      <c r="M71" s="841"/>
      <c r="N71" s="841"/>
      <c r="O71" s="841"/>
      <c r="P71" s="842"/>
      <c r="Q71" s="843"/>
    </row>
    <row r="72" spans="1:17" ht="18" customHeight="1" thickBot="1">
      <c r="A72" s="447">
        <v>64</v>
      </c>
      <c r="B72" s="371"/>
      <c r="C72" s="568"/>
      <c r="D72" s="578" t="s">
        <v>283</v>
      </c>
      <c r="E72" s="579">
        <f>F72+G72+P72</f>
        <v>1802037</v>
      </c>
      <c r="F72" s="764"/>
      <c r="G72" s="835"/>
      <c r="H72" s="863"/>
      <c r="I72" s="864"/>
      <c r="J72" s="864"/>
      <c r="K72" s="542">
        <v>74567</v>
      </c>
      <c r="L72" s="542"/>
      <c r="M72" s="542">
        <v>1727470</v>
      </c>
      <c r="N72" s="864"/>
      <c r="O72" s="864"/>
      <c r="P72" s="510">
        <f>SUM(I72:O72)</f>
        <v>1802037</v>
      </c>
      <c r="Q72" s="865"/>
    </row>
    <row r="73" spans="1:17" ht="24.75" customHeight="1" thickBot="1" thickTop="1">
      <c r="A73" s="447">
        <v>65</v>
      </c>
      <c r="B73" s="371"/>
      <c r="C73" s="575"/>
      <c r="D73" s="861" t="s">
        <v>652</v>
      </c>
      <c r="E73" s="727">
        <f>SUM(E72)</f>
        <v>1802037</v>
      </c>
      <c r="F73" s="727">
        <f>SUM(F72)</f>
        <v>0</v>
      </c>
      <c r="G73" s="727">
        <f>SUM(G72)</f>
        <v>0</v>
      </c>
      <c r="H73" s="582"/>
      <c r="I73" s="583">
        <f>I72</f>
        <v>0</v>
      </c>
      <c r="J73" s="583">
        <f aca="true" t="shared" si="6" ref="J73:O73">J72</f>
        <v>0</v>
      </c>
      <c r="K73" s="583">
        <f t="shared" si="6"/>
        <v>74567</v>
      </c>
      <c r="L73" s="583">
        <f t="shared" si="6"/>
        <v>0</v>
      </c>
      <c r="M73" s="583">
        <f t="shared" si="6"/>
        <v>1727470</v>
      </c>
      <c r="N73" s="583">
        <f t="shared" si="6"/>
        <v>0</v>
      </c>
      <c r="O73" s="583">
        <f t="shared" si="6"/>
        <v>0</v>
      </c>
      <c r="P73" s="862">
        <f>SUM(I73:O73)</f>
        <v>1802037</v>
      </c>
      <c r="Q73" s="734"/>
    </row>
    <row r="74" spans="1:17" ht="24.75" customHeight="1" thickTop="1">
      <c r="A74" s="447">
        <v>66</v>
      </c>
      <c r="B74" s="371"/>
      <c r="C74" s="556"/>
      <c r="D74" s="564" t="s">
        <v>566</v>
      </c>
      <c r="E74" s="772"/>
      <c r="F74" s="772"/>
      <c r="G74" s="849"/>
      <c r="H74" s="525" t="s">
        <v>24</v>
      </c>
      <c r="I74" s="850"/>
      <c r="J74" s="850"/>
      <c r="K74" s="850"/>
      <c r="L74" s="850"/>
      <c r="M74" s="850"/>
      <c r="N74" s="850"/>
      <c r="O74" s="850"/>
      <c r="P74" s="851"/>
      <c r="Q74" s="852"/>
    </row>
    <row r="75" spans="1:17" ht="18" customHeight="1">
      <c r="A75" s="447">
        <v>67</v>
      </c>
      <c r="B75" s="371"/>
      <c r="C75" s="285"/>
      <c r="D75" s="436" t="s">
        <v>653</v>
      </c>
      <c r="E75" s="761"/>
      <c r="F75" s="761"/>
      <c r="G75" s="844"/>
      <c r="H75" s="845"/>
      <c r="I75" s="846"/>
      <c r="J75" s="846"/>
      <c r="K75" s="846"/>
      <c r="L75" s="846"/>
      <c r="M75" s="846"/>
      <c r="N75" s="846"/>
      <c r="O75" s="846"/>
      <c r="P75" s="847"/>
      <c r="Q75" s="848"/>
    </row>
    <row r="76" spans="1:17" ht="18" customHeight="1" thickBot="1">
      <c r="A76" s="447">
        <v>68</v>
      </c>
      <c r="B76" s="371"/>
      <c r="C76" s="568"/>
      <c r="D76" s="578" t="s">
        <v>283</v>
      </c>
      <c r="E76" s="579">
        <f>F76+G76+P76</f>
        <v>14198905</v>
      </c>
      <c r="F76" s="764"/>
      <c r="G76" s="835"/>
      <c r="H76" s="863"/>
      <c r="I76" s="864"/>
      <c r="J76" s="864"/>
      <c r="K76" s="870">
        <v>249927</v>
      </c>
      <c r="L76" s="870"/>
      <c r="M76" s="870">
        <v>13948978</v>
      </c>
      <c r="N76" s="864"/>
      <c r="O76" s="864"/>
      <c r="P76" s="510">
        <f>SUM(I76:O76)</f>
        <v>14198905</v>
      </c>
      <c r="Q76" s="865"/>
    </row>
    <row r="77" spans="1:17" ht="24.75" customHeight="1" thickBot="1" thickTop="1">
      <c r="A77" s="447">
        <v>69</v>
      </c>
      <c r="B77" s="371"/>
      <c r="C77" s="575"/>
      <c r="D77" s="861" t="s">
        <v>654</v>
      </c>
      <c r="E77" s="727">
        <f>SUM(E76)</f>
        <v>14198905</v>
      </c>
      <c r="F77" s="727">
        <f>SUM(F76)</f>
        <v>0</v>
      </c>
      <c r="G77" s="727">
        <f>SUM(G76)</f>
        <v>0</v>
      </c>
      <c r="H77" s="582"/>
      <c r="I77" s="583">
        <f>SUM(I74:I76)</f>
        <v>0</v>
      </c>
      <c r="J77" s="583">
        <f>SUM(J74:J76)</f>
        <v>0</v>
      </c>
      <c r="K77" s="583">
        <f>SUM(K74:K76)</f>
        <v>249927</v>
      </c>
      <c r="L77" s="583">
        <f>SUM(L74:L76)</f>
        <v>0</v>
      </c>
      <c r="M77" s="583">
        <f>SUM(M74:M76)</f>
        <v>13948978</v>
      </c>
      <c r="N77" s="583">
        <f>SUM(N74:N76)</f>
        <v>0</v>
      </c>
      <c r="O77" s="583">
        <f>SUM(O74:O76)</f>
        <v>0</v>
      </c>
      <c r="P77" s="862">
        <f>SUM(I77:O77)</f>
        <v>14198905</v>
      </c>
      <c r="Q77" s="734"/>
    </row>
    <row r="78" spans="1:17" ht="24.75" customHeight="1" thickTop="1">
      <c r="A78" s="447">
        <v>70</v>
      </c>
      <c r="B78" s="371"/>
      <c r="C78" s="556">
        <v>8</v>
      </c>
      <c r="D78" s="564" t="s">
        <v>659</v>
      </c>
      <c r="E78" s="772"/>
      <c r="F78" s="772"/>
      <c r="G78" s="849"/>
      <c r="H78" s="525" t="s">
        <v>24</v>
      </c>
      <c r="I78" s="850"/>
      <c r="J78" s="850"/>
      <c r="K78" s="850"/>
      <c r="L78" s="850"/>
      <c r="M78" s="850"/>
      <c r="N78" s="850"/>
      <c r="O78" s="850"/>
      <c r="P78" s="851"/>
      <c r="Q78" s="852"/>
    </row>
    <row r="79" spans="1:17" ht="18" customHeight="1">
      <c r="A79" s="447">
        <v>71</v>
      </c>
      <c r="B79" s="371"/>
      <c r="C79" s="757"/>
      <c r="D79" s="436" t="s">
        <v>446</v>
      </c>
      <c r="E79" s="276"/>
      <c r="F79" s="758"/>
      <c r="G79" s="839"/>
      <c r="H79" s="840"/>
      <c r="I79" s="841"/>
      <c r="J79" s="841"/>
      <c r="K79" s="841"/>
      <c r="L79" s="841"/>
      <c r="M79" s="841"/>
      <c r="N79" s="841"/>
      <c r="O79" s="841"/>
      <c r="P79" s="842"/>
      <c r="Q79" s="843"/>
    </row>
    <row r="80" spans="1:17" ht="18" customHeight="1">
      <c r="A80" s="447">
        <v>72</v>
      </c>
      <c r="B80" s="371"/>
      <c r="C80" s="866"/>
      <c r="D80" s="871" t="s">
        <v>283</v>
      </c>
      <c r="E80" s="276">
        <f>F80+G80+P80+2887</f>
        <v>6411</v>
      </c>
      <c r="F80" s="761"/>
      <c r="G80" s="446"/>
      <c r="H80" s="869"/>
      <c r="I80" s="868"/>
      <c r="J80" s="868"/>
      <c r="K80" s="538">
        <v>3524</v>
      </c>
      <c r="L80" s="538"/>
      <c r="M80" s="538"/>
      <c r="N80" s="868"/>
      <c r="O80" s="868"/>
      <c r="P80" s="510">
        <f>SUM(I80:O80)</f>
        <v>3524</v>
      </c>
      <c r="Q80" s="867"/>
    </row>
    <row r="81" spans="1:17" ht="18" customHeight="1">
      <c r="A81" s="447">
        <v>73</v>
      </c>
      <c r="B81" s="371"/>
      <c r="C81" s="866"/>
      <c r="D81" s="436" t="s">
        <v>655</v>
      </c>
      <c r="E81" s="276"/>
      <c r="F81" s="761"/>
      <c r="G81" s="446"/>
      <c r="H81" s="869"/>
      <c r="I81" s="868"/>
      <c r="J81" s="868"/>
      <c r="K81" s="538"/>
      <c r="L81" s="538"/>
      <c r="M81" s="538"/>
      <c r="N81" s="868"/>
      <c r="O81" s="868"/>
      <c r="P81" s="442"/>
      <c r="Q81" s="867"/>
    </row>
    <row r="82" spans="1:17" ht="18" customHeight="1">
      <c r="A82" s="447">
        <v>74</v>
      </c>
      <c r="B82" s="371"/>
      <c r="C82" s="866"/>
      <c r="D82" s="871" t="s">
        <v>283</v>
      </c>
      <c r="E82" s="276">
        <f>F82+G82+P82</f>
        <v>15414</v>
      </c>
      <c r="F82" s="761"/>
      <c r="G82" s="446"/>
      <c r="H82" s="869"/>
      <c r="I82" s="868"/>
      <c r="J82" s="868"/>
      <c r="K82" s="538">
        <v>3730</v>
      </c>
      <c r="L82" s="538"/>
      <c r="M82" s="538">
        <v>11684</v>
      </c>
      <c r="N82" s="868"/>
      <c r="O82" s="868"/>
      <c r="P82" s="510">
        <f>SUM(I82:O82)</f>
        <v>15414</v>
      </c>
      <c r="Q82" s="867"/>
    </row>
    <row r="83" spans="1:17" ht="18" customHeight="1">
      <c r="A83" s="447">
        <v>75</v>
      </c>
      <c r="B83" s="371"/>
      <c r="C83" s="866"/>
      <c r="D83" s="436" t="s">
        <v>656</v>
      </c>
      <c r="E83" s="276"/>
      <c r="F83" s="761"/>
      <c r="G83" s="446"/>
      <c r="H83" s="869"/>
      <c r="I83" s="868"/>
      <c r="J83" s="868"/>
      <c r="K83" s="538"/>
      <c r="L83" s="538"/>
      <c r="M83" s="538"/>
      <c r="N83" s="868"/>
      <c r="O83" s="868"/>
      <c r="P83" s="442"/>
      <c r="Q83" s="867"/>
    </row>
    <row r="84" spans="1:17" ht="18" customHeight="1">
      <c r="A84" s="447">
        <v>76</v>
      </c>
      <c r="B84" s="371"/>
      <c r="C84" s="866"/>
      <c r="D84" s="871" t="s">
        <v>283</v>
      </c>
      <c r="E84" s="276">
        <f>F84+G84+P84</f>
        <v>64866</v>
      </c>
      <c r="F84" s="761"/>
      <c r="G84" s="446"/>
      <c r="H84" s="869"/>
      <c r="I84" s="868"/>
      <c r="J84" s="868"/>
      <c r="K84" s="538">
        <v>3330</v>
      </c>
      <c r="L84" s="538"/>
      <c r="M84" s="538">
        <v>61536</v>
      </c>
      <c r="N84" s="868"/>
      <c r="O84" s="868"/>
      <c r="P84" s="510">
        <f>SUM(I84:O84)</f>
        <v>64866</v>
      </c>
      <c r="Q84" s="867"/>
    </row>
    <row r="85" spans="1:17" ht="18" customHeight="1">
      <c r="A85" s="447">
        <v>77</v>
      </c>
      <c r="B85" s="371"/>
      <c r="C85" s="866"/>
      <c r="D85" s="436" t="s">
        <v>657</v>
      </c>
      <c r="E85" s="276"/>
      <c r="F85" s="761"/>
      <c r="G85" s="446"/>
      <c r="H85" s="869"/>
      <c r="I85" s="868"/>
      <c r="J85" s="868"/>
      <c r="K85" s="538"/>
      <c r="L85" s="538"/>
      <c r="M85" s="538"/>
      <c r="N85" s="868"/>
      <c r="O85" s="868"/>
      <c r="P85" s="442"/>
      <c r="Q85" s="867"/>
    </row>
    <row r="86" spans="1:17" ht="18" customHeight="1">
      <c r="A86" s="447">
        <v>78</v>
      </c>
      <c r="B86" s="371"/>
      <c r="C86" s="866"/>
      <c r="D86" s="871" t="s">
        <v>283</v>
      </c>
      <c r="E86" s="276">
        <f>F86+G86+P86</f>
        <v>125441</v>
      </c>
      <c r="F86" s="761"/>
      <c r="G86" s="446"/>
      <c r="H86" s="869"/>
      <c r="I86" s="868"/>
      <c r="J86" s="868"/>
      <c r="K86" s="538">
        <v>8730</v>
      </c>
      <c r="L86" s="538"/>
      <c r="M86" s="538">
        <v>116711</v>
      </c>
      <c r="N86" s="868"/>
      <c r="O86" s="868"/>
      <c r="P86" s="510">
        <f>SUM(I86:O86)</f>
        <v>125441</v>
      </c>
      <c r="Q86" s="867"/>
    </row>
    <row r="87" spans="1:17" ht="18" customHeight="1">
      <c r="A87" s="447">
        <v>79</v>
      </c>
      <c r="B87" s="371"/>
      <c r="C87" s="866"/>
      <c r="D87" s="436" t="s">
        <v>658</v>
      </c>
      <c r="E87" s="276"/>
      <c r="F87" s="761"/>
      <c r="G87" s="446"/>
      <c r="H87" s="869"/>
      <c r="I87" s="868"/>
      <c r="J87" s="868"/>
      <c r="K87" s="538"/>
      <c r="L87" s="538"/>
      <c r="M87" s="538"/>
      <c r="N87" s="868"/>
      <c r="O87" s="868"/>
      <c r="P87" s="442"/>
      <c r="Q87" s="867"/>
    </row>
    <row r="88" spans="1:17" ht="18" customHeight="1" thickBot="1">
      <c r="A88" s="447">
        <v>80</v>
      </c>
      <c r="B88" s="371"/>
      <c r="C88" s="872"/>
      <c r="D88" s="873" t="s">
        <v>283</v>
      </c>
      <c r="E88" s="276">
        <f>F88+G88+P88</f>
        <v>3500</v>
      </c>
      <c r="F88" s="764"/>
      <c r="G88" s="765"/>
      <c r="H88" s="874"/>
      <c r="I88" s="875"/>
      <c r="J88" s="875"/>
      <c r="K88" s="573"/>
      <c r="L88" s="573"/>
      <c r="M88" s="573">
        <v>3500</v>
      </c>
      <c r="N88" s="875"/>
      <c r="O88" s="875"/>
      <c r="P88" s="510">
        <f>SUM(I88:O88)</f>
        <v>3500</v>
      </c>
      <c r="Q88" s="876"/>
    </row>
    <row r="89" spans="1:17" ht="24.75" customHeight="1" thickBot="1" thickTop="1">
      <c r="A89" s="447">
        <v>81</v>
      </c>
      <c r="B89" s="371"/>
      <c r="C89" s="881"/>
      <c r="D89" s="576" t="s">
        <v>660</v>
      </c>
      <c r="E89" s="727">
        <f>SUM(E79:E88)</f>
        <v>215632</v>
      </c>
      <c r="F89" s="727">
        <f>SUM(F79:F88)</f>
        <v>0</v>
      </c>
      <c r="G89" s="769">
        <f>SUM(G79:G88)</f>
        <v>0</v>
      </c>
      <c r="H89" s="882"/>
      <c r="I89" s="883">
        <f>SUM(I80:I88)</f>
        <v>0</v>
      </c>
      <c r="J89" s="883">
        <f>SUM(J80:J88)</f>
        <v>0</v>
      </c>
      <c r="K89" s="883">
        <f>SUM(K80:K88)</f>
        <v>19314</v>
      </c>
      <c r="L89" s="883">
        <f>SUM(L80:L88)</f>
        <v>0</v>
      </c>
      <c r="M89" s="883">
        <f>SUM(M80:M88)</f>
        <v>193431</v>
      </c>
      <c r="N89" s="883">
        <f>SUM(N80:N88)</f>
        <v>0</v>
      </c>
      <c r="O89" s="883">
        <f>SUM(O80:O88)</f>
        <v>0</v>
      </c>
      <c r="P89" s="884">
        <f>SUM(I89:O89)</f>
        <v>212745</v>
      </c>
      <c r="Q89" s="885"/>
    </row>
    <row r="90" spans="1:17" ht="24.75" customHeight="1" thickTop="1">
      <c r="A90" s="447">
        <v>82</v>
      </c>
      <c r="B90" s="371"/>
      <c r="C90" s="877">
        <v>9</v>
      </c>
      <c r="D90" s="564" t="s">
        <v>661</v>
      </c>
      <c r="E90" s="772"/>
      <c r="F90" s="772"/>
      <c r="G90" s="730"/>
      <c r="H90" s="767" t="s">
        <v>24</v>
      </c>
      <c r="I90" s="879"/>
      <c r="J90" s="879"/>
      <c r="K90" s="879"/>
      <c r="L90" s="879"/>
      <c r="M90" s="879"/>
      <c r="N90" s="879"/>
      <c r="O90" s="879"/>
      <c r="P90" s="725"/>
      <c r="Q90" s="880"/>
    </row>
    <row r="91" spans="1:17" ht="18" customHeight="1">
      <c r="A91" s="447">
        <v>83</v>
      </c>
      <c r="B91" s="371"/>
      <c r="C91" s="877"/>
      <c r="D91" s="436" t="s">
        <v>663</v>
      </c>
      <c r="E91" s="772"/>
      <c r="F91" s="772"/>
      <c r="G91" s="730"/>
      <c r="H91" s="878"/>
      <c r="I91" s="879"/>
      <c r="J91" s="879"/>
      <c r="K91" s="562"/>
      <c r="L91" s="562"/>
      <c r="M91" s="562"/>
      <c r="N91" s="879"/>
      <c r="O91" s="879"/>
      <c r="P91" s="725"/>
      <c r="Q91" s="880"/>
    </row>
    <row r="92" spans="1:17" ht="18" customHeight="1" thickBot="1">
      <c r="A92" s="447">
        <v>84</v>
      </c>
      <c r="B92" s="371"/>
      <c r="C92" s="886"/>
      <c r="D92" s="873" t="s">
        <v>283</v>
      </c>
      <c r="E92" s="276">
        <f>F92+G92+P92+336</f>
        <v>14154</v>
      </c>
      <c r="F92" s="758"/>
      <c r="G92" s="773"/>
      <c r="H92" s="887"/>
      <c r="I92" s="888"/>
      <c r="J92" s="888"/>
      <c r="K92" s="890">
        <v>2642</v>
      </c>
      <c r="L92" s="890"/>
      <c r="M92" s="890">
        <v>11176</v>
      </c>
      <c r="N92" s="888"/>
      <c r="O92" s="888"/>
      <c r="P92" s="574">
        <f>SUM(I92:O92)</f>
        <v>13818</v>
      </c>
      <c r="Q92" s="889"/>
    </row>
    <row r="93" spans="1:17" ht="24.75" customHeight="1" thickBot="1" thickTop="1">
      <c r="A93" s="447">
        <v>85</v>
      </c>
      <c r="B93" s="371"/>
      <c r="C93" s="881"/>
      <c r="D93" s="576" t="s">
        <v>662</v>
      </c>
      <c r="E93" s="727">
        <f>SUM(E91:E92)</f>
        <v>14154</v>
      </c>
      <c r="F93" s="727">
        <f>SUM(F91:F92)</f>
        <v>0</v>
      </c>
      <c r="G93" s="769">
        <f>SUM(G91:G92)</f>
        <v>0</v>
      </c>
      <c r="H93" s="882"/>
      <c r="I93" s="883">
        <f>SUM(I92)</f>
        <v>0</v>
      </c>
      <c r="J93" s="883">
        <f>SUM(J92)</f>
        <v>0</v>
      </c>
      <c r="K93" s="883">
        <f>SUM(K92)</f>
        <v>2642</v>
      </c>
      <c r="L93" s="883">
        <f>SUM(L92)</f>
        <v>0</v>
      </c>
      <c r="M93" s="883">
        <f>SUM(M92)</f>
        <v>11176</v>
      </c>
      <c r="N93" s="883">
        <f>SUM(N92)</f>
        <v>0</v>
      </c>
      <c r="O93" s="883">
        <f>SUM(O92)</f>
        <v>0</v>
      </c>
      <c r="P93" s="884">
        <f>SUM(I93:O93)</f>
        <v>13818</v>
      </c>
      <c r="Q93" s="885"/>
    </row>
    <row r="94" spans="1:17" ht="24.75" customHeight="1" thickTop="1">
      <c r="A94" s="447">
        <v>86</v>
      </c>
      <c r="B94" s="371"/>
      <c r="C94" s="877">
        <v>10</v>
      </c>
      <c r="D94" s="564" t="s">
        <v>664</v>
      </c>
      <c r="E94" s="772"/>
      <c r="F94" s="772"/>
      <c r="G94" s="730"/>
      <c r="H94" s="767" t="s">
        <v>24</v>
      </c>
      <c r="I94" s="879"/>
      <c r="J94" s="879"/>
      <c r="K94" s="879"/>
      <c r="L94" s="879"/>
      <c r="M94" s="879"/>
      <c r="N94" s="879"/>
      <c r="O94" s="879"/>
      <c r="P94" s="725"/>
      <c r="Q94" s="880"/>
    </row>
    <row r="95" spans="1:17" ht="18" customHeight="1">
      <c r="A95" s="447">
        <v>87</v>
      </c>
      <c r="B95" s="371"/>
      <c r="C95" s="877"/>
      <c r="D95" s="436" t="s">
        <v>446</v>
      </c>
      <c r="E95" s="772"/>
      <c r="F95" s="772"/>
      <c r="G95" s="730"/>
      <c r="H95" s="878"/>
      <c r="I95" s="879"/>
      <c r="J95" s="879"/>
      <c r="K95" s="879"/>
      <c r="L95" s="879"/>
      <c r="M95" s="879"/>
      <c r="N95" s="879"/>
      <c r="O95" s="879"/>
      <c r="P95" s="725"/>
      <c r="Q95" s="880"/>
    </row>
    <row r="96" spans="1:17" ht="18" customHeight="1">
      <c r="A96" s="447">
        <v>88</v>
      </c>
      <c r="B96" s="371"/>
      <c r="C96" s="877"/>
      <c r="D96" s="871" t="s">
        <v>283</v>
      </c>
      <c r="E96" s="276">
        <f>F96+G96+P96+20000</f>
        <v>32000</v>
      </c>
      <c r="F96" s="772"/>
      <c r="G96" s="730"/>
      <c r="H96" s="878"/>
      <c r="I96" s="879"/>
      <c r="J96" s="879"/>
      <c r="K96" s="538">
        <v>12000</v>
      </c>
      <c r="L96" s="538"/>
      <c r="M96" s="538"/>
      <c r="N96" s="879"/>
      <c r="O96" s="879"/>
      <c r="P96" s="510">
        <f>SUM(I96:O96)</f>
        <v>12000</v>
      </c>
      <c r="Q96" s="880"/>
    </row>
    <row r="97" spans="1:17" ht="18" customHeight="1">
      <c r="A97" s="447">
        <v>89</v>
      </c>
      <c r="B97" s="371"/>
      <c r="C97" s="877"/>
      <c r="D97" s="436" t="s">
        <v>665</v>
      </c>
      <c r="E97" s="772"/>
      <c r="F97" s="772"/>
      <c r="G97" s="730"/>
      <c r="H97" s="878"/>
      <c r="I97" s="879"/>
      <c r="J97" s="879"/>
      <c r="K97" s="879"/>
      <c r="L97" s="879"/>
      <c r="M97" s="879"/>
      <c r="N97" s="879"/>
      <c r="O97" s="879"/>
      <c r="P97" s="725"/>
      <c r="Q97" s="880"/>
    </row>
    <row r="98" spans="1:17" ht="18" customHeight="1">
      <c r="A98" s="447">
        <v>90</v>
      </c>
      <c r="B98" s="371"/>
      <c r="C98" s="877"/>
      <c r="D98" s="871" t="s">
        <v>283</v>
      </c>
      <c r="E98" s="276">
        <f>F98+G98+P98</f>
        <v>350164</v>
      </c>
      <c r="F98" s="772"/>
      <c r="G98" s="730"/>
      <c r="H98" s="878"/>
      <c r="I98" s="879"/>
      <c r="J98" s="879"/>
      <c r="K98" s="879"/>
      <c r="L98" s="879"/>
      <c r="M98" s="562">
        <v>350164</v>
      </c>
      <c r="N98" s="879"/>
      <c r="O98" s="879"/>
      <c r="P98" s="510">
        <f>SUM(I98:O98)</f>
        <v>350164</v>
      </c>
      <c r="Q98" s="880"/>
    </row>
    <row r="99" spans="1:17" ht="18" customHeight="1">
      <c r="A99" s="447">
        <v>91</v>
      </c>
      <c r="B99" s="371"/>
      <c r="C99" s="877"/>
      <c r="D99" s="436" t="s">
        <v>666</v>
      </c>
      <c r="E99" s="772"/>
      <c r="F99" s="772"/>
      <c r="G99" s="730"/>
      <c r="H99" s="878"/>
      <c r="I99" s="879"/>
      <c r="J99" s="879"/>
      <c r="K99" s="879"/>
      <c r="L99" s="879"/>
      <c r="M99" s="562"/>
      <c r="N99" s="879"/>
      <c r="O99" s="879"/>
      <c r="P99" s="725"/>
      <c r="Q99" s="880"/>
    </row>
    <row r="100" spans="1:17" ht="18" customHeight="1" thickBot="1">
      <c r="A100" s="447">
        <v>92</v>
      </c>
      <c r="B100" s="371"/>
      <c r="C100" s="886"/>
      <c r="D100" s="873" t="s">
        <v>283</v>
      </c>
      <c r="E100" s="579">
        <f>F100+G100+P100</f>
        <v>462703</v>
      </c>
      <c r="F100" s="758"/>
      <c r="G100" s="773"/>
      <c r="H100" s="887"/>
      <c r="I100" s="888"/>
      <c r="J100" s="888"/>
      <c r="K100" s="888"/>
      <c r="L100" s="888"/>
      <c r="M100" s="890">
        <v>462703</v>
      </c>
      <c r="N100" s="888"/>
      <c r="O100" s="888"/>
      <c r="P100" s="510">
        <f>SUM(I100:O100)</f>
        <v>462703</v>
      </c>
      <c r="Q100" s="889"/>
    </row>
    <row r="101" spans="1:17" ht="24.75" customHeight="1" thickBot="1" thickTop="1">
      <c r="A101" s="447">
        <v>93</v>
      </c>
      <c r="B101" s="371"/>
      <c r="C101" s="881"/>
      <c r="D101" s="576" t="s">
        <v>651</v>
      </c>
      <c r="E101" s="727">
        <f>SUM(E96:E100)</f>
        <v>844867</v>
      </c>
      <c r="F101" s="727">
        <f>SUM(F96:F100)</f>
        <v>0</v>
      </c>
      <c r="G101" s="769">
        <f>SUM(G96:G100)</f>
        <v>0</v>
      </c>
      <c r="H101" s="882"/>
      <c r="I101" s="883">
        <f>SUM(I96:I100)</f>
        <v>0</v>
      </c>
      <c r="J101" s="883">
        <f>SUM(J96:J100)</f>
        <v>0</v>
      </c>
      <c r="K101" s="883">
        <f>SUM(K96:K100)</f>
        <v>12000</v>
      </c>
      <c r="L101" s="883">
        <f>SUM(L96:L100)</f>
        <v>0</v>
      </c>
      <c r="M101" s="883">
        <f>SUM(M96:M100)</f>
        <v>812867</v>
      </c>
      <c r="N101" s="883">
        <f>SUM(N96:N100)</f>
        <v>0</v>
      </c>
      <c r="O101" s="883">
        <f>SUM(O96:O100)</f>
        <v>0</v>
      </c>
      <c r="P101" s="884">
        <f>SUM(I101:O101)</f>
        <v>824867</v>
      </c>
      <c r="Q101" s="885"/>
    </row>
    <row r="102" spans="1:17" ht="24.75" customHeight="1" thickTop="1">
      <c r="A102" s="447">
        <v>94</v>
      </c>
      <c r="B102" s="371"/>
      <c r="C102" s="877">
        <v>11</v>
      </c>
      <c r="D102" s="564" t="s">
        <v>667</v>
      </c>
      <c r="E102" s="772"/>
      <c r="F102" s="772"/>
      <c r="G102" s="730"/>
      <c r="H102" s="767" t="s">
        <v>24</v>
      </c>
      <c r="I102" s="879"/>
      <c r="J102" s="879"/>
      <c r="K102" s="879"/>
      <c r="L102" s="879"/>
      <c r="M102" s="879"/>
      <c r="N102" s="879"/>
      <c r="O102" s="879"/>
      <c r="P102" s="725"/>
      <c r="Q102" s="880"/>
    </row>
    <row r="103" spans="1:17" ht="18" customHeight="1">
      <c r="A103" s="447">
        <v>95</v>
      </c>
      <c r="B103" s="371"/>
      <c r="C103" s="877"/>
      <c r="D103" s="436" t="s">
        <v>446</v>
      </c>
      <c r="E103" s="772"/>
      <c r="F103" s="772"/>
      <c r="G103" s="730"/>
      <c r="H103" s="878"/>
      <c r="I103" s="879"/>
      <c r="J103" s="879"/>
      <c r="K103" s="879"/>
      <c r="L103" s="879"/>
      <c r="M103" s="879"/>
      <c r="N103" s="879"/>
      <c r="O103" s="879"/>
      <c r="P103" s="725"/>
      <c r="Q103" s="880"/>
    </row>
    <row r="104" spans="1:17" ht="18" customHeight="1">
      <c r="A104" s="447">
        <v>96</v>
      </c>
      <c r="B104" s="371"/>
      <c r="C104" s="877"/>
      <c r="D104" s="871" t="s">
        <v>283</v>
      </c>
      <c r="E104" s="276">
        <f>F104+G104+P104+254</f>
        <v>1671</v>
      </c>
      <c r="F104" s="772"/>
      <c r="G104" s="730"/>
      <c r="H104" s="878"/>
      <c r="I104" s="562"/>
      <c r="J104" s="562"/>
      <c r="K104" s="562">
        <v>1417</v>
      </c>
      <c r="L104" s="562"/>
      <c r="M104" s="562"/>
      <c r="N104" s="879"/>
      <c r="O104" s="879"/>
      <c r="P104" s="510">
        <f>SUM(I104:O104)</f>
        <v>1417</v>
      </c>
      <c r="Q104" s="880"/>
    </row>
    <row r="105" spans="1:17" ht="18" customHeight="1">
      <c r="A105" s="447">
        <v>97</v>
      </c>
      <c r="B105" s="371"/>
      <c r="C105" s="877"/>
      <c r="D105" s="436" t="s">
        <v>669</v>
      </c>
      <c r="E105" s="772"/>
      <c r="F105" s="772"/>
      <c r="G105" s="730"/>
      <c r="H105" s="878"/>
      <c r="I105" s="562"/>
      <c r="J105" s="562"/>
      <c r="K105" s="562"/>
      <c r="L105" s="562"/>
      <c r="M105" s="562"/>
      <c r="N105" s="879"/>
      <c r="O105" s="879"/>
      <c r="P105" s="725"/>
      <c r="Q105" s="880"/>
    </row>
    <row r="106" spans="1:17" ht="18" customHeight="1" thickBot="1">
      <c r="A106" s="447">
        <v>98</v>
      </c>
      <c r="B106" s="371"/>
      <c r="C106" s="886"/>
      <c r="D106" s="873" t="s">
        <v>283</v>
      </c>
      <c r="E106" s="276">
        <f>F106+G106+P106</f>
        <v>8763</v>
      </c>
      <c r="F106" s="758"/>
      <c r="G106" s="773"/>
      <c r="H106" s="887"/>
      <c r="I106" s="890"/>
      <c r="J106" s="890"/>
      <c r="K106" s="890"/>
      <c r="L106" s="890"/>
      <c r="M106" s="890">
        <v>8763</v>
      </c>
      <c r="N106" s="888"/>
      <c r="O106" s="888"/>
      <c r="P106" s="510">
        <f>SUM(I106:O106)</f>
        <v>8763</v>
      </c>
      <c r="Q106" s="889"/>
    </row>
    <row r="107" spans="1:17" ht="24.75" customHeight="1" thickBot="1" thickTop="1">
      <c r="A107" s="447">
        <v>99</v>
      </c>
      <c r="B107" s="371"/>
      <c r="C107" s="881"/>
      <c r="D107" s="576" t="s">
        <v>668</v>
      </c>
      <c r="E107" s="727">
        <f>SUM(E104:E106)</f>
        <v>10434</v>
      </c>
      <c r="F107" s="727">
        <f>SUM(F104:F106)</f>
        <v>0</v>
      </c>
      <c r="G107" s="769">
        <f>SUM(G104:G106)</f>
        <v>0</v>
      </c>
      <c r="H107" s="882"/>
      <c r="I107" s="883">
        <f>SUM(I104:I106)</f>
        <v>0</v>
      </c>
      <c r="J107" s="883">
        <f aca="true" t="shared" si="7" ref="J107:O107">SUM(J104:J106)</f>
        <v>0</v>
      </c>
      <c r="K107" s="883">
        <f t="shared" si="7"/>
        <v>1417</v>
      </c>
      <c r="L107" s="883">
        <f t="shared" si="7"/>
        <v>0</v>
      </c>
      <c r="M107" s="883">
        <f t="shared" si="7"/>
        <v>8763</v>
      </c>
      <c r="N107" s="883">
        <f t="shared" si="7"/>
        <v>0</v>
      </c>
      <c r="O107" s="883">
        <f t="shared" si="7"/>
        <v>0</v>
      </c>
      <c r="P107" s="884">
        <f>SUM(I107:O107)</f>
        <v>10180</v>
      </c>
      <c r="Q107" s="885"/>
    </row>
    <row r="108" spans="1:17" ht="24.75" customHeight="1" thickTop="1">
      <c r="A108" s="447">
        <v>100</v>
      </c>
      <c r="B108" s="371"/>
      <c r="C108" s="877">
        <v>12</v>
      </c>
      <c r="D108" s="564" t="s">
        <v>671</v>
      </c>
      <c r="E108" s="772"/>
      <c r="F108" s="772"/>
      <c r="G108" s="730"/>
      <c r="H108" s="767" t="s">
        <v>24</v>
      </c>
      <c r="I108" s="879"/>
      <c r="J108" s="879"/>
      <c r="K108" s="879"/>
      <c r="L108" s="879"/>
      <c r="M108" s="879"/>
      <c r="N108" s="879"/>
      <c r="O108" s="879"/>
      <c r="P108" s="725"/>
      <c r="Q108" s="880"/>
    </row>
    <row r="109" spans="1:17" ht="18" customHeight="1">
      <c r="A109" s="447">
        <v>101</v>
      </c>
      <c r="B109" s="371"/>
      <c r="C109" s="877"/>
      <c r="D109" s="436" t="s">
        <v>446</v>
      </c>
      <c r="E109" s="772"/>
      <c r="F109" s="772"/>
      <c r="G109" s="730"/>
      <c r="H109" s="878"/>
      <c r="I109" s="879"/>
      <c r="J109" s="879"/>
      <c r="K109" s="879"/>
      <c r="L109" s="879"/>
      <c r="M109" s="879"/>
      <c r="N109" s="879"/>
      <c r="O109" s="879"/>
      <c r="P109" s="725"/>
      <c r="Q109" s="880"/>
    </row>
    <row r="110" spans="1:17" ht="18" customHeight="1">
      <c r="A110" s="447">
        <v>102</v>
      </c>
      <c r="B110" s="371"/>
      <c r="C110" s="877"/>
      <c r="D110" s="871" t="s">
        <v>283</v>
      </c>
      <c r="E110" s="276">
        <f>F110+G110+P110+5066</f>
        <v>11416</v>
      </c>
      <c r="F110" s="772"/>
      <c r="G110" s="730"/>
      <c r="H110" s="878"/>
      <c r="I110" s="879"/>
      <c r="J110" s="879"/>
      <c r="K110" s="562">
        <f>63627-28829-5461-15113-2286-2540-1524-1524</f>
        <v>6350</v>
      </c>
      <c r="L110" s="879"/>
      <c r="M110" s="879"/>
      <c r="N110" s="879"/>
      <c r="O110" s="879"/>
      <c r="P110" s="510">
        <f>SUM(I110:O110)</f>
        <v>6350</v>
      </c>
      <c r="Q110" s="880"/>
    </row>
    <row r="111" spans="1:17" ht="18" customHeight="1">
      <c r="A111" s="447"/>
      <c r="B111" s="371"/>
      <c r="C111" s="877"/>
      <c r="D111" s="436" t="s">
        <v>769</v>
      </c>
      <c r="E111" s="274"/>
      <c r="F111" s="772"/>
      <c r="G111" s="730"/>
      <c r="H111" s="878"/>
      <c r="I111" s="879"/>
      <c r="J111" s="879"/>
      <c r="K111" s="562"/>
      <c r="L111" s="879"/>
      <c r="M111" s="879"/>
      <c r="N111" s="879"/>
      <c r="O111" s="879"/>
      <c r="P111" s="563"/>
      <c r="Q111" s="880"/>
    </row>
    <row r="112" spans="1:17" ht="18" customHeight="1">
      <c r="A112" s="447"/>
      <c r="B112" s="371"/>
      <c r="C112" s="877"/>
      <c r="D112" s="871" t="s">
        <v>283</v>
      </c>
      <c r="E112" s="276">
        <f>F112+G112+P112</f>
        <v>28829</v>
      </c>
      <c r="F112" s="772"/>
      <c r="G112" s="730"/>
      <c r="H112" s="878"/>
      <c r="I112" s="879"/>
      <c r="J112" s="879"/>
      <c r="K112" s="562">
        <v>28829</v>
      </c>
      <c r="L112" s="879"/>
      <c r="M112" s="879"/>
      <c r="N112" s="879"/>
      <c r="O112" s="879"/>
      <c r="P112" s="510">
        <f>SUM(I112:O112)</f>
        <v>28829</v>
      </c>
      <c r="Q112" s="880"/>
    </row>
    <row r="113" spans="1:17" ht="18" customHeight="1">
      <c r="A113" s="447">
        <v>103</v>
      </c>
      <c r="B113" s="371"/>
      <c r="C113" s="877"/>
      <c r="D113" s="436" t="s">
        <v>677</v>
      </c>
      <c r="E113" s="772"/>
      <c r="F113" s="772"/>
      <c r="G113" s="730"/>
      <c r="H113" s="878"/>
      <c r="I113" s="879"/>
      <c r="J113" s="879"/>
      <c r="K113" s="879"/>
      <c r="L113" s="879"/>
      <c r="M113" s="879"/>
      <c r="N113" s="879"/>
      <c r="O113" s="879"/>
      <c r="P113" s="725"/>
      <c r="Q113" s="880"/>
    </row>
    <row r="114" spans="1:17" ht="18" customHeight="1">
      <c r="A114" s="447">
        <v>104</v>
      </c>
      <c r="B114" s="371"/>
      <c r="C114" s="877"/>
      <c r="D114" s="871" t="s">
        <v>283</v>
      </c>
      <c r="E114" s="276">
        <f>F114+G114+P114</f>
        <v>20701</v>
      </c>
      <c r="F114" s="772"/>
      <c r="G114" s="730"/>
      <c r="H114" s="878"/>
      <c r="I114" s="879"/>
      <c r="J114" s="879"/>
      <c r="K114" s="562">
        <v>5461</v>
      </c>
      <c r="L114" s="879"/>
      <c r="M114" s="562">
        <v>15240</v>
      </c>
      <c r="N114" s="879"/>
      <c r="O114" s="879"/>
      <c r="P114" s="510">
        <f>SUM(I114:O114)</f>
        <v>20701</v>
      </c>
      <c r="Q114" s="880"/>
    </row>
    <row r="115" spans="1:17" ht="18" customHeight="1">
      <c r="A115" s="447">
        <v>105</v>
      </c>
      <c r="B115" s="371"/>
      <c r="C115" s="877"/>
      <c r="D115" s="436" t="s">
        <v>678</v>
      </c>
      <c r="E115" s="772"/>
      <c r="F115" s="772"/>
      <c r="G115" s="730"/>
      <c r="H115" s="878"/>
      <c r="I115" s="879"/>
      <c r="J115" s="879"/>
      <c r="K115" s="879"/>
      <c r="L115" s="879"/>
      <c r="M115" s="879"/>
      <c r="N115" s="879"/>
      <c r="O115" s="879"/>
      <c r="P115" s="725"/>
      <c r="Q115" s="880"/>
    </row>
    <row r="116" spans="1:17" ht="18" customHeight="1">
      <c r="A116" s="447">
        <v>106</v>
      </c>
      <c r="B116" s="371"/>
      <c r="C116" s="877"/>
      <c r="D116" s="871" t="s">
        <v>283</v>
      </c>
      <c r="E116" s="276">
        <f>F116+G116+P116</f>
        <v>53213</v>
      </c>
      <c r="F116" s="772"/>
      <c r="G116" s="730"/>
      <c r="H116" s="878"/>
      <c r="I116" s="879"/>
      <c r="J116" s="879"/>
      <c r="K116" s="562">
        <v>15113</v>
      </c>
      <c r="L116" s="879"/>
      <c r="M116" s="562">
        <v>38100</v>
      </c>
      <c r="N116" s="879"/>
      <c r="O116" s="879"/>
      <c r="P116" s="510">
        <f>SUM(I116:O116)</f>
        <v>53213</v>
      </c>
      <c r="Q116" s="880"/>
    </row>
    <row r="117" spans="1:17" ht="18" customHeight="1">
      <c r="A117" s="447">
        <v>107</v>
      </c>
      <c r="B117" s="371"/>
      <c r="C117" s="877"/>
      <c r="D117" s="436" t="s">
        <v>679</v>
      </c>
      <c r="E117" s="772"/>
      <c r="F117" s="772"/>
      <c r="G117" s="730"/>
      <c r="H117" s="878"/>
      <c r="I117" s="879"/>
      <c r="J117" s="879"/>
      <c r="K117" s="879"/>
      <c r="L117" s="879"/>
      <c r="M117" s="879"/>
      <c r="N117" s="879"/>
      <c r="O117" s="879"/>
      <c r="P117" s="725"/>
      <c r="Q117" s="880"/>
    </row>
    <row r="118" spans="1:17" ht="18" customHeight="1">
      <c r="A118" s="447">
        <v>108</v>
      </c>
      <c r="B118" s="371"/>
      <c r="C118" s="877"/>
      <c r="D118" s="871" t="s">
        <v>283</v>
      </c>
      <c r="E118" s="276">
        <f>F118+G118+P118</f>
        <v>9741</v>
      </c>
      <c r="F118" s="772"/>
      <c r="G118" s="730"/>
      <c r="H118" s="878"/>
      <c r="I118" s="879"/>
      <c r="J118" s="879"/>
      <c r="K118" s="562">
        <v>2286</v>
      </c>
      <c r="L118" s="879"/>
      <c r="M118" s="562">
        <v>7455</v>
      </c>
      <c r="N118" s="879"/>
      <c r="O118" s="879"/>
      <c r="P118" s="510">
        <f>SUM(I118:O118)</f>
        <v>9741</v>
      </c>
      <c r="Q118" s="880"/>
    </row>
    <row r="119" spans="1:17" ht="18" customHeight="1">
      <c r="A119" s="447">
        <v>109</v>
      </c>
      <c r="B119" s="371"/>
      <c r="C119" s="877"/>
      <c r="D119" s="436" t="s">
        <v>680</v>
      </c>
      <c r="E119" s="772"/>
      <c r="F119" s="772"/>
      <c r="G119" s="730"/>
      <c r="H119" s="878"/>
      <c r="I119" s="879"/>
      <c r="J119" s="879"/>
      <c r="K119" s="562"/>
      <c r="L119" s="879"/>
      <c r="M119" s="879"/>
      <c r="N119" s="879"/>
      <c r="O119" s="879"/>
      <c r="P119" s="725"/>
      <c r="Q119" s="880"/>
    </row>
    <row r="120" spans="1:17" ht="18" customHeight="1">
      <c r="A120" s="447">
        <v>110</v>
      </c>
      <c r="B120" s="371"/>
      <c r="C120" s="866"/>
      <c r="D120" s="871" t="s">
        <v>283</v>
      </c>
      <c r="E120" s="276">
        <f>F120+G120+P120</f>
        <v>9525</v>
      </c>
      <c r="F120" s="761"/>
      <c r="G120" s="446"/>
      <c r="H120" s="869"/>
      <c r="I120" s="868"/>
      <c r="J120" s="868"/>
      <c r="K120" s="562">
        <v>2540</v>
      </c>
      <c r="L120" s="868"/>
      <c r="M120" s="562">
        <v>6985</v>
      </c>
      <c r="N120" s="868"/>
      <c r="O120" s="868"/>
      <c r="P120" s="510">
        <f>SUM(I120:O120)</f>
        <v>9525</v>
      </c>
      <c r="Q120" s="867"/>
    </row>
    <row r="121" spans="1:17" ht="18" customHeight="1">
      <c r="A121" s="447">
        <v>111</v>
      </c>
      <c r="B121" s="371"/>
      <c r="C121" s="866"/>
      <c r="D121" s="436" t="s">
        <v>681</v>
      </c>
      <c r="E121" s="276"/>
      <c r="F121" s="761"/>
      <c r="G121" s="446"/>
      <c r="H121" s="869"/>
      <c r="I121" s="846"/>
      <c r="J121" s="846"/>
      <c r="K121" s="562"/>
      <c r="L121" s="846"/>
      <c r="M121" s="846"/>
      <c r="N121" s="846"/>
      <c r="O121" s="846"/>
      <c r="P121" s="510"/>
      <c r="Q121" s="867"/>
    </row>
    <row r="122" spans="1:17" ht="18" customHeight="1">
      <c r="A122" s="447">
        <v>112</v>
      </c>
      <c r="B122" s="371"/>
      <c r="C122" s="866"/>
      <c r="D122" s="871" t="s">
        <v>283</v>
      </c>
      <c r="E122" s="276">
        <f>F122+G122+P122</f>
        <v>4242</v>
      </c>
      <c r="F122" s="761"/>
      <c r="G122" s="446"/>
      <c r="H122" s="869"/>
      <c r="I122" s="846"/>
      <c r="J122" s="846"/>
      <c r="K122" s="562">
        <v>1524</v>
      </c>
      <c r="L122" s="846"/>
      <c r="M122" s="562">
        <v>2718</v>
      </c>
      <c r="N122" s="846"/>
      <c r="O122" s="846"/>
      <c r="P122" s="510">
        <f>SUM(I122:O122)</f>
        <v>4242</v>
      </c>
      <c r="Q122" s="867"/>
    </row>
    <row r="123" spans="1:17" ht="18" customHeight="1">
      <c r="A123" s="447">
        <v>113</v>
      </c>
      <c r="B123" s="371"/>
      <c r="C123" s="866"/>
      <c r="D123" s="436" t="s">
        <v>682</v>
      </c>
      <c r="E123" s="761"/>
      <c r="F123" s="761"/>
      <c r="G123" s="446"/>
      <c r="H123" s="869"/>
      <c r="I123" s="846"/>
      <c r="J123" s="846"/>
      <c r="K123" s="562"/>
      <c r="L123" s="846"/>
      <c r="M123" s="846"/>
      <c r="N123" s="846"/>
      <c r="O123" s="846"/>
      <c r="P123" s="442"/>
      <c r="Q123" s="867"/>
    </row>
    <row r="124" spans="1:17" ht="18" customHeight="1" thickBot="1">
      <c r="A124" s="447">
        <v>114</v>
      </c>
      <c r="B124" s="371"/>
      <c r="C124" s="872"/>
      <c r="D124" s="873" t="s">
        <v>283</v>
      </c>
      <c r="E124" s="276">
        <f>F124+G124+P124</f>
        <v>19939</v>
      </c>
      <c r="F124" s="764"/>
      <c r="G124" s="765"/>
      <c r="H124" s="874"/>
      <c r="I124" s="864"/>
      <c r="J124" s="864"/>
      <c r="K124" s="562">
        <v>1524</v>
      </c>
      <c r="L124" s="864"/>
      <c r="M124" s="562">
        <v>18415</v>
      </c>
      <c r="N124" s="864"/>
      <c r="O124" s="864"/>
      <c r="P124" s="510">
        <f>SUM(I124:O124)</f>
        <v>19939</v>
      </c>
      <c r="Q124" s="876"/>
    </row>
    <row r="125" spans="1:17" ht="24.75" customHeight="1" thickBot="1" thickTop="1">
      <c r="A125" s="447">
        <v>115</v>
      </c>
      <c r="B125" s="371"/>
      <c r="C125" s="881"/>
      <c r="D125" s="576" t="s">
        <v>672</v>
      </c>
      <c r="E125" s="727">
        <f>SUM(E110:E124)</f>
        <v>157606</v>
      </c>
      <c r="F125" s="727">
        <f>SUM(F110:F124)</f>
        <v>0</v>
      </c>
      <c r="G125" s="769">
        <f>SUM(G110:G124)</f>
        <v>0</v>
      </c>
      <c r="H125" s="882"/>
      <c r="I125" s="583">
        <f>SUM(I110:I124)</f>
        <v>0</v>
      </c>
      <c r="J125" s="583">
        <f>SUM(J110:J124)</f>
        <v>0</v>
      </c>
      <c r="K125" s="583">
        <f>SUM(K110:K124)</f>
        <v>63627</v>
      </c>
      <c r="L125" s="583">
        <f>SUM(L110:L124)</f>
        <v>0</v>
      </c>
      <c r="M125" s="583">
        <f>SUM(M110:M124)</f>
        <v>88913</v>
      </c>
      <c r="N125" s="583">
        <f>SUM(N110:N124)</f>
        <v>0</v>
      </c>
      <c r="O125" s="583">
        <f>SUM(O110:O124)</f>
        <v>0</v>
      </c>
      <c r="P125" s="884">
        <f>SUM(I125:O125)</f>
        <v>152540</v>
      </c>
      <c r="Q125" s="885"/>
    </row>
    <row r="126" spans="1:17" ht="24.75" customHeight="1" thickTop="1">
      <c r="A126" s="447">
        <v>116</v>
      </c>
      <c r="B126" s="371"/>
      <c r="C126" s="877">
        <v>13</v>
      </c>
      <c r="D126" s="564" t="s">
        <v>673</v>
      </c>
      <c r="E126" s="772"/>
      <c r="F126" s="772"/>
      <c r="G126" s="730"/>
      <c r="H126" s="767" t="s">
        <v>24</v>
      </c>
      <c r="I126" s="850"/>
      <c r="J126" s="850"/>
      <c r="K126" s="850"/>
      <c r="L126" s="850"/>
      <c r="M126" s="850"/>
      <c r="N126" s="850"/>
      <c r="O126" s="850"/>
      <c r="P126" s="725"/>
      <c r="Q126" s="880"/>
    </row>
    <row r="127" spans="1:17" ht="18" customHeight="1">
      <c r="A127" s="447">
        <v>117</v>
      </c>
      <c r="B127" s="371"/>
      <c r="C127" s="866"/>
      <c r="D127" s="436" t="s">
        <v>446</v>
      </c>
      <c r="E127" s="276"/>
      <c r="F127" s="761"/>
      <c r="G127" s="446"/>
      <c r="H127" s="869"/>
      <c r="I127" s="562"/>
      <c r="J127" s="562"/>
      <c r="K127" s="562"/>
      <c r="L127" s="562"/>
      <c r="M127" s="562"/>
      <c r="N127" s="846"/>
      <c r="O127" s="846"/>
      <c r="P127" s="442"/>
      <c r="Q127" s="867"/>
    </row>
    <row r="128" spans="1:17" ht="18" customHeight="1" thickBot="1">
      <c r="A128" s="447">
        <v>118</v>
      </c>
      <c r="B128" s="371"/>
      <c r="C128" s="872"/>
      <c r="D128" s="873" t="s">
        <v>283</v>
      </c>
      <c r="E128" s="276">
        <f>F128+G128+P128+38693</f>
        <v>428960</v>
      </c>
      <c r="F128" s="764"/>
      <c r="G128" s="1201"/>
      <c r="H128" s="874"/>
      <c r="I128" s="562">
        <v>7521</v>
      </c>
      <c r="J128" s="562">
        <v>1982</v>
      </c>
      <c r="K128" s="562">
        <v>377589</v>
      </c>
      <c r="L128" s="562"/>
      <c r="M128" s="562">
        <v>3175</v>
      </c>
      <c r="N128" s="864"/>
      <c r="O128" s="864"/>
      <c r="P128" s="510">
        <f>SUM(I128:O128)</f>
        <v>390267</v>
      </c>
      <c r="Q128" s="876"/>
    </row>
    <row r="129" spans="1:17" ht="24.75" customHeight="1" thickBot="1" thickTop="1">
      <c r="A129" s="447">
        <v>119</v>
      </c>
      <c r="B129" s="371"/>
      <c r="C129" s="881"/>
      <c r="D129" s="576" t="s">
        <v>674</v>
      </c>
      <c r="E129" s="727">
        <f>SUM(E127:E128)</f>
        <v>428960</v>
      </c>
      <c r="F129" s="727">
        <f>SUM(F127:F128)</f>
        <v>0</v>
      </c>
      <c r="G129" s="769">
        <f>SUM(G127:G128)</f>
        <v>0</v>
      </c>
      <c r="H129" s="882"/>
      <c r="I129" s="583">
        <f>SUM(I128)</f>
        <v>7521</v>
      </c>
      <c r="J129" s="583">
        <f aca="true" t="shared" si="8" ref="J129:O129">SUM(J128)</f>
        <v>1982</v>
      </c>
      <c r="K129" s="583">
        <f t="shared" si="8"/>
        <v>377589</v>
      </c>
      <c r="L129" s="583">
        <f t="shared" si="8"/>
        <v>0</v>
      </c>
      <c r="M129" s="583">
        <f t="shared" si="8"/>
        <v>3175</v>
      </c>
      <c r="N129" s="583">
        <f t="shared" si="8"/>
        <v>0</v>
      </c>
      <c r="O129" s="583">
        <f t="shared" si="8"/>
        <v>0</v>
      </c>
      <c r="P129" s="884">
        <f>SUM(I129:O129)</f>
        <v>390267</v>
      </c>
      <c r="Q129" s="885"/>
    </row>
    <row r="130" spans="1:17" ht="22.5" customHeight="1" thickTop="1">
      <c r="A130" s="447">
        <v>120</v>
      </c>
      <c r="B130" s="371"/>
      <c r="C130" s="285">
        <v>14</v>
      </c>
      <c r="D130" s="891" t="s">
        <v>507</v>
      </c>
      <c r="E130" s="276">
        <f>F130+G130+P131+Q131</f>
        <v>4927</v>
      </c>
      <c r="F130" s="437">
        <v>3</v>
      </c>
      <c r="G130" s="277">
        <v>635</v>
      </c>
      <c r="H130" s="526" t="s">
        <v>24</v>
      </c>
      <c r="I130" s="523"/>
      <c r="J130" s="434"/>
      <c r="K130" s="434"/>
      <c r="L130" s="434"/>
      <c r="M130" s="538"/>
      <c r="N130" s="434"/>
      <c r="O130" s="434"/>
      <c r="P130" s="442"/>
      <c r="Q130" s="438"/>
    </row>
    <row r="131" spans="1:17" ht="18" customHeight="1" thickBot="1">
      <c r="A131" s="447">
        <v>121</v>
      </c>
      <c r="B131" s="371"/>
      <c r="C131" s="285"/>
      <c r="D131" s="520" t="s">
        <v>283</v>
      </c>
      <c r="E131" s="276"/>
      <c r="F131" s="437"/>
      <c r="G131" s="277"/>
      <c r="H131" s="526"/>
      <c r="I131" s="523"/>
      <c r="J131" s="434"/>
      <c r="K131" s="538">
        <v>2289</v>
      </c>
      <c r="L131" s="434"/>
      <c r="M131" s="538">
        <v>2000</v>
      </c>
      <c r="N131" s="434"/>
      <c r="O131" s="434"/>
      <c r="P131" s="510">
        <f>SUM(I131:O131)</f>
        <v>4289</v>
      </c>
      <c r="Q131" s="438"/>
    </row>
    <row r="132" spans="1:17" s="271" customFormat="1" ht="36" customHeight="1" thickBot="1">
      <c r="A132" s="447">
        <v>122</v>
      </c>
      <c r="B132" s="1567" t="s">
        <v>13</v>
      </c>
      <c r="C132" s="1568"/>
      <c r="D132" s="1568"/>
      <c r="E132" s="1568"/>
      <c r="F132" s="1568"/>
      <c r="G132" s="1569"/>
      <c r="H132" s="451"/>
      <c r="I132" s="584">
        <f>I131+I55+I35+I25+I13+I39+I73+I69+I77+I93+I89+I107+I101+I129+I125</f>
        <v>7657</v>
      </c>
      <c r="J132" s="584">
        <f aca="true" t="shared" si="9" ref="J132:O132">J131+J55+J35+J25+J13+J39+J73+J69+J77+J93+J89+J107+J101+J129+J125</f>
        <v>2054</v>
      </c>
      <c r="K132" s="584">
        <f t="shared" si="9"/>
        <v>1046434</v>
      </c>
      <c r="L132" s="584">
        <f t="shared" si="9"/>
        <v>0</v>
      </c>
      <c r="M132" s="584">
        <f t="shared" si="9"/>
        <v>18997100</v>
      </c>
      <c r="N132" s="584">
        <f t="shared" si="9"/>
        <v>0</v>
      </c>
      <c r="O132" s="584">
        <f t="shared" si="9"/>
        <v>0</v>
      </c>
      <c r="P132" s="584">
        <f>SUM(I132:O132)</f>
        <v>20053245</v>
      </c>
      <c r="Q132" s="585"/>
    </row>
    <row r="133" spans="2:16" ht="18" customHeight="1">
      <c r="B133" s="439" t="s">
        <v>27</v>
      </c>
      <c r="C133" s="440"/>
      <c r="D133" s="439"/>
      <c r="E133" s="278"/>
      <c r="F133" s="279"/>
      <c r="G133" s="278"/>
      <c r="H133" s="426"/>
      <c r="I133" s="278"/>
      <c r="J133" s="278"/>
      <c r="K133" s="278"/>
      <c r="L133" s="278"/>
      <c r="M133" s="278"/>
      <c r="N133" s="278"/>
      <c r="O133" s="278"/>
      <c r="P133" s="449"/>
    </row>
    <row r="134" spans="2:16" ht="18" customHeight="1">
      <c r="B134" s="439" t="s">
        <v>28</v>
      </c>
      <c r="C134" s="440"/>
      <c r="D134" s="439"/>
      <c r="E134" s="376"/>
      <c r="F134" s="279"/>
      <c r="G134" s="278"/>
      <c r="H134" s="426"/>
      <c r="I134" s="278"/>
      <c r="J134" s="278"/>
      <c r="K134" s="278"/>
      <c r="L134" s="278"/>
      <c r="M134" s="278"/>
      <c r="N134" s="278"/>
      <c r="O134" s="278"/>
      <c r="P134" s="449"/>
    </row>
    <row r="135" spans="2:16" ht="18" customHeight="1">
      <c r="B135" s="439" t="s">
        <v>29</v>
      </c>
      <c r="C135" s="440"/>
      <c r="D135" s="439"/>
      <c r="E135" s="376"/>
      <c r="F135" s="279"/>
      <c r="G135" s="278"/>
      <c r="H135" s="426"/>
      <c r="I135" s="278"/>
      <c r="J135" s="278"/>
      <c r="K135" s="278"/>
      <c r="L135" s="278"/>
      <c r="M135" s="278"/>
      <c r="N135" s="278"/>
      <c r="O135" s="278"/>
      <c r="P135" s="449"/>
    </row>
    <row r="136" spans="2:3" ht="17.25">
      <c r="B136" s="275" t="s">
        <v>496</v>
      </c>
      <c r="C136" s="275"/>
    </row>
  </sheetData>
  <sheetProtection/>
  <mergeCells count="18">
    <mergeCell ref="A1:D1"/>
    <mergeCell ref="I1:Q1"/>
    <mergeCell ref="A2:Q2"/>
    <mergeCell ref="A3:Q3"/>
    <mergeCell ref="B6:B8"/>
    <mergeCell ref="R6:S6"/>
    <mergeCell ref="I7:L7"/>
    <mergeCell ref="M7:O7"/>
    <mergeCell ref="P7:P8"/>
    <mergeCell ref="B132:G132"/>
    <mergeCell ref="I6:P6"/>
    <mergeCell ref="Q6:Q8"/>
    <mergeCell ref="C6:C8"/>
    <mergeCell ref="D6:D8"/>
    <mergeCell ref="E6:E8"/>
    <mergeCell ref="F6:F8"/>
    <mergeCell ref="G6:G8"/>
    <mergeCell ref="H6:H8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landscape" paperSize="9" scale="58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L38"/>
  <sheetViews>
    <sheetView view="pageBreakPreview" zoomScale="75" zoomScaleNormal="75" zoomScaleSheetLayoutView="75" zoomScalePageLayoutView="0" workbookViewId="0" topLeftCell="A1">
      <selection activeCell="B1" sqref="B1:D1"/>
    </sheetView>
  </sheetViews>
  <sheetFormatPr defaultColWidth="9.00390625" defaultRowHeight="12.75"/>
  <cols>
    <col min="1" max="1" width="4.75390625" style="117" customWidth="1"/>
    <col min="2" max="3" width="5.75390625" style="280" customWidth="1"/>
    <col min="4" max="4" width="63.75390625" style="119" customWidth="1"/>
    <col min="5" max="5" width="17.75390625" style="2" customWidth="1"/>
    <col min="6" max="7" width="5.75390625" style="280" customWidth="1"/>
    <col min="8" max="8" width="63.75390625" style="119" customWidth="1"/>
    <col min="9" max="9" width="17.75390625" style="2" customWidth="1"/>
    <col min="10" max="16384" width="9.125" style="119" customWidth="1"/>
  </cols>
  <sheetData>
    <row r="1" spans="1:9" s="1" customFormat="1" ht="18" customHeight="1">
      <c r="A1" s="159"/>
      <c r="B1" s="1599" t="s">
        <v>826</v>
      </c>
      <c r="C1" s="1599"/>
      <c r="D1" s="1599"/>
      <c r="E1" s="291"/>
      <c r="F1" s="292"/>
      <c r="G1" s="292"/>
      <c r="I1" s="291"/>
    </row>
    <row r="2" spans="1:9" s="1" customFormat="1" ht="24.75" customHeight="1">
      <c r="A2" s="159"/>
      <c r="B2" s="1400" t="s">
        <v>200</v>
      </c>
      <c r="C2" s="1400"/>
      <c r="D2" s="1400"/>
      <c r="E2" s="1400"/>
      <c r="F2" s="1400"/>
      <c r="G2" s="1400"/>
      <c r="H2" s="1400"/>
      <c r="I2" s="1400"/>
    </row>
    <row r="3" spans="1:9" s="1" customFormat="1" ht="24.75" customHeight="1">
      <c r="A3" s="159"/>
      <c r="B3" s="1400" t="s">
        <v>688</v>
      </c>
      <c r="C3" s="1400"/>
      <c r="D3" s="1400"/>
      <c r="E3" s="1400"/>
      <c r="F3" s="1400"/>
      <c r="G3" s="1400"/>
      <c r="H3" s="1400"/>
      <c r="I3" s="1400"/>
    </row>
    <row r="4" spans="1:9" s="531" customFormat="1" ht="12.75" customHeight="1">
      <c r="A4" s="529"/>
      <c r="B4" s="530"/>
      <c r="C4" s="530"/>
      <c r="D4" s="530"/>
      <c r="E4" s="530"/>
      <c r="F4" s="530"/>
      <c r="G4" s="530"/>
      <c r="H4" s="530"/>
      <c r="I4" s="122" t="s">
        <v>0</v>
      </c>
    </row>
    <row r="5" spans="2:9" s="528" customFormat="1" ht="18" customHeight="1" thickBot="1">
      <c r="B5" s="1311" t="s">
        <v>1</v>
      </c>
      <c r="C5" s="1311" t="s">
        <v>3</v>
      </c>
      <c r="D5" s="1311" t="s">
        <v>2</v>
      </c>
      <c r="E5" s="1311" t="s">
        <v>4</v>
      </c>
      <c r="F5" s="1311" t="s">
        <v>777</v>
      </c>
      <c r="G5" s="1311" t="s">
        <v>15</v>
      </c>
      <c r="H5" s="1311" t="s">
        <v>16</v>
      </c>
      <c r="I5" s="42" t="s">
        <v>17</v>
      </c>
    </row>
    <row r="6" spans="1:9" ht="66">
      <c r="A6" s="117">
        <v>1</v>
      </c>
      <c r="B6" s="1312" t="s">
        <v>418</v>
      </c>
      <c r="C6" s="1313" t="s">
        <v>419</v>
      </c>
      <c r="D6" s="1342" t="s">
        <v>778</v>
      </c>
      <c r="E6" s="1343" t="s">
        <v>687</v>
      </c>
      <c r="F6" s="1313" t="s">
        <v>418</v>
      </c>
      <c r="G6" s="1313" t="s">
        <v>419</v>
      </c>
      <c r="H6" s="1342" t="s">
        <v>778</v>
      </c>
      <c r="I6" s="1343" t="s">
        <v>687</v>
      </c>
    </row>
    <row r="7" spans="1:9" ht="24.75" customHeight="1">
      <c r="A7" s="117">
        <v>2</v>
      </c>
      <c r="B7" s="1314">
        <v>1</v>
      </c>
      <c r="C7" s="1315"/>
      <c r="D7" s="148" t="s">
        <v>201</v>
      </c>
      <c r="E7" s="313"/>
      <c r="F7" s="1328">
        <v>1</v>
      </c>
      <c r="G7" s="1315"/>
      <c r="H7" s="148" t="s">
        <v>202</v>
      </c>
      <c r="I7" s="323"/>
    </row>
    <row r="8" spans="1:9" ht="15" customHeight="1">
      <c r="A8" s="117">
        <v>3</v>
      </c>
      <c r="B8" s="1314"/>
      <c r="C8" s="1315">
        <v>1</v>
      </c>
      <c r="D8" s="119" t="s">
        <v>203</v>
      </c>
      <c r="E8" s="293">
        <f>'1.Onbe'!J8+'1.Onbe'!J19</f>
        <v>6460743</v>
      </c>
      <c r="F8" s="1328"/>
      <c r="G8" s="1315">
        <v>1</v>
      </c>
      <c r="H8" s="119" t="s">
        <v>38</v>
      </c>
      <c r="I8" s="300">
        <f>'4.Inki'!K153+'6.Önk.műk.'!J325+'9.Projekt'!I48+'10.MVP és hazai'!I36+'11.EKF'!I132</f>
        <v>5918546</v>
      </c>
    </row>
    <row r="9" spans="1:9" ht="16.5" customHeight="1">
      <c r="A9" s="117">
        <v>4</v>
      </c>
      <c r="B9" s="1314"/>
      <c r="C9" s="1315">
        <v>2</v>
      </c>
      <c r="D9" s="119" t="s">
        <v>163</v>
      </c>
      <c r="E9" s="293">
        <f>'1.Onbe'!J20</f>
        <v>7599100</v>
      </c>
      <c r="F9" s="1328"/>
      <c r="G9" s="1315">
        <v>2</v>
      </c>
      <c r="H9" s="119" t="s">
        <v>204</v>
      </c>
      <c r="I9" s="300">
        <f>'4.Inki'!L153+'6.Önk.műk.'!K325+'9.Projekt'!J48+'10.MVP és hazai'!J36+'11.EKF'!J132</f>
        <v>882036</v>
      </c>
    </row>
    <row r="10" spans="1:9" ht="16.5">
      <c r="A10" s="117">
        <v>5</v>
      </c>
      <c r="B10" s="1314"/>
      <c r="C10" s="1315">
        <v>3</v>
      </c>
      <c r="D10" s="294" t="s">
        <v>131</v>
      </c>
      <c r="E10" s="293">
        <f>'1.Onbe'!J30+'1.Onbe'!J35</f>
        <v>5979804</v>
      </c>
      <c r="F10" s="1328"/>
      <c r="G10" s="1315">
        <v>3</v>
      </c>
      <c r="H10" s="119" t="s">
        <v>40</v>
      </c>
      <c r="I10" s="300">
        <f>'4.Inki'!M153+'6.Önk.műk.'!L325+'7.Beruh.'!I52+'8.Felúj.'!I46+'9.Projekt'!K48+'10.MVP és hazai'!K36+'11.EKF'!K132</f>
        <v>6600914</v>
      </c>
    </row>
    <row r="11" spans="1:9" ht="16.5">
      <c r="A11" s="117">
        <v>6</v>
      </c>
      <c r="B11" s="1314"/>
      <c r="C11" s="1315">
        <v>4</v>
      </c>
      <c r="D11" s="119" t="s">
        <v>168</v>
      </c>
      <c r="E11" s="293">
        <f>'1.Onbe'!J36+'1.Onbe'!J38</f>
        <v>872101</v>
      </c>
      <c r="F11" s="1328"/>
      <c r="G11" s="1315">
        <v>4</v>
      </c>
      <c r="H11" s="119" t="s">
        <v>205</v>
      </c>
      <c r="I11" s="300">
        <f>'4.Inki'!N153+'6.Önk.műk.'!M325</f>
        <v>40710</v>
      </c>
    </row>
    <row r="12" spans="1:9" ht="16.5">
      <c r="A12" s="117">
        <v>7</v>
      </c>
      <c r="B12" s="1314"/>
      <c r="C12" s="1315"/>
      <c r="D12" s="294"/>
      <c r="E12" s="293"/>
      <c r="F12" s="1328"/>
      <c r="G12" s="1315">
        <v>5</v>
      </c>
      <c r="H12" s="121" t="s">
        <v>206</v>
      </c>
      <c r="I12" s="300">
        <f>'4.Inki'!O153+'6.Önk.műk.'!N325+'9.Projekt'!L48+'10.MVP és hazai'!L36+'11.EKF'!L132</f>
        <v>5428994</v>
      </c>
    </row>
    <row r="13" spans="1:9" ht="16.5">
      <c r="A13" s="117">
        <v>8</v>
      </c>
      <c r="B13" s="1314"/>
      <c r="C13" s="1315"/>
      <c r="D13" s="294"/>
      <c r="E13" s="293"/>
      <c r="F13" s="1328"/>
      <c r="G13" s="1315">
        <v>6</v>
      </c>
      <c r="H13" s="121" t="s">
        <v>386</v>
      </c>
      <c r="I13" s="300">
        <f>'2.Onki'!J16+'2.Onki'!J26</f>
        <v>794089</v>
      </c>
    </row>
    <row r="14" spans="1:9" s="1" customFormat="1" ht="24.75" customHeight="1">
      <c r="A14" s="117">
        <v>9</v>
      </c>
      <c r="B14" s="1316"/>
      <c r="C14" s="1317"/>
      <c r="D14" s="295" t="s">
        <v>208</v>
      </c>
      <c r="E14" s="296">
        <f>SUM(E8:E13)</f>
        <v>20911748</v>
      </c>
      <c r="F14" s="1329"/>
      <c r="G14" s="1330"/>
      <c r="H14" s="295" t="s">
        <v>209</v>
      </c>
      <c r="I14" s="297">
        <f>SUM(I8:I13)</f>
        <v>19665289</v>
      </c>
    </row>
    <row r="15" spans="1:9" ht="24.75" customHeight="1">
      <c r="A15" s="117">
        <v>10</v>
      </c>
      <c r="B15" s="1314">
        <v>2</v>
      </c>
      <c r="C15" s="1315"/>
      <c r="D15" s="148" t="s">
        <v>210</v>
      </c>
      <c r="E15" s="313"/>
      <c r="F15" s="1328">
        <v>2</v>
      </c>
      <c r="G15" s="1315"/>
      <c r="H15" s="148" t="s">
        <v>211</v>
      </c>
      <c r="I15" s="323"/>
    </row>
    <row r="16" spans="1:10" ht="16.5">
      <c r="A16" s="117">
        <v>11</v>
      </c>
      <c r="B16" s="1314"/>
      <c r="C16" s="1315">
        <v>5</v>
      </c>
      <c r="D16" s="298" t="s">
        <v>212</v>
      </c>
      <c r="E16" s="299">
        <f>'1.Onbe'!J40+'1.Onbe'!J43</f>
        <v>4544995</v>
      </c>
      <c r="F16" s="1331"/>
      <c r="G16" s="1332">
        <v>7</v>
      </c>
      <c r="H16" s="298" t="s">
        <v>213</v>
      </c>
      <c r="I16" s="300">
        <f>'2.Onki'!J10+'2.Onki'!J28</f>
        <v>38313897</v>
      </c>
      <c r="J16" s="2"/>
    </row>
    <row r="17" spans="1:10" ht="16.5">
      <c r="A17" s="117">
        <v>12</v>
      </c>
      <c r="B17" s="1314"/>
      <c r="C17" s="1315">
        <v>6</v>
      </c>
      <c r="D17" s="298" t="s">
        <v>174</v>
      </c>
      <c r="E17" s="299">
        <f>'1.Onbe'!J44+'1.Onbe'!J46</f>
        <v>427000</v>
      </c>
      <c r="F17" s="1331"/>
      <c r="G17" s="1332">
        <v>8</v>
      </c>
      <c r="H17" s="298" t="s">
        <v>149</v>
      </c>
      <c r="I17" s="300">
        <f>'2.Onki'!J29</f>
        <v>337493</v>
      </c>
      <c r="J17" s="2"/>
    </row>
    <row r="18" spans="1:10" ht="16.5">
      <c r="A18" s="117">
        <v>13</v>
      </c>
      <c r="B18" s="1314"/>
      <c r="C18" s="1315">
        <v>7</v>
      </c>
      <c r="D18" s="119" t="s">
        <v>177</v>
      </c>
      <c r="E18" s="299">
        <f>'1.Onbe'!J47+'1.Onbe'!J48</f>
        <v>14624773</v>
      </c>
      <c r="F18" s="1331"/>
      <c r="G18" s="1332">
        <v>9</v>
      </c>
      <c r="H18" s="298" t="s">
        <v>214</v>
      </c>
      <c r="I18" s="300">
        <f>'2.Onki'!J30</f>
        <v>152701</v>
      </c>
      <c r="J18" s="2"/>
    </row>
    <row r="19" spans="1:9" ht="16.5">
      <c r="A19" s="117">
        <v>14</v>
      </c>
      <c r="B19" s="1314"/>
      <c r="C19" s="1315"/>
      <c r="E19" s="299"/>
      <c r="F19" s="1331"/>
      <c r="G19" s="1332">
        <v>10</v>
      </c>
      <c r="H19" s="298" t="s">
        <v>387</v>
      </c>
      <c r="I19" s="300">
        <f>'2.Onki'!J22</f>
        <v>121816</v>
      </c>
    </row>
    <row r="20" spans="1:9" s="1" customFormat="1" ht="24.75" customHeight="1" thickBot="1">
      <c r="A20" s="117">
        <v>15</v>
      </c>
      <c r="B20" s="1318"/>
      <c r="C20" s="1319"/>
      <c r="D20" s="301" t="s">
        <v>215</v>
      </c>
      <c r="E20" s="314">
        <f>SUM(E16:E19)</f>
        <v>19596768</v>
      </c>
      <c r="F20" s="1333"/>
      <c r="G20" s="1334"/>
      <c r="H20" s="301" t="s">
        <v>216</v>
      </c>
      <c r="I20" s="302">
        <f>SUM(I16:I19)</f>
        <v>38925907</v>
      </c>
    </row>
    <row r="21" spans="1:9" s="1" customFormat="1" ht="24.75" customHeight="1" thickBot="1" thickTop="1">
      <c r="A21" s="117">
        <v>16</v>
      </c>
      <c r="B21" s="1320"/>
      <c r="C21" s="1321"/>
      <c r="D21" s="303" t="s">
        <v>180</v>
      </c>
      <c r="E21" s="315">
        <f>SUM(E14,E20)</f>
        <v>40508516</v>
      </c>
      <c r="F21" s="1335"/>
      <c r="G21" s="1321"/>
      <c r="H21" s="303" t="s">
        <v>193</v>
      </c>
      <c r="I21" s="324">
        <f>SUM(I14,I20)</f>
        <v>58591196</v>
      </c>
    </row>
    <row r="22" spans="1:9" s="1" customFormat="1" ht="24.75" customHeight="1" thickTop="1">
      <c r="A22" s="117">
        <v>17</v>
      </c>
      <c r="B22" s="1314">
        <v>1</v>
      </c>
      <c r="C22" s="1315"/>
      <c r="D22" s="148" t="s">
        <v>217</v>
      </c>
      <c r="E22" s="316"/>
      <c r="F22" s="1328">
        <v>1</v>
      </c>
      <c r="G22" s="1315"/>
      <c r="H22" s="148" t="s">
        <v>218</v>
      </c>
      <c r="I22" s="325"/>
    </row>
    <row r="23" spans="1:9" s="1" customFormat="1" ht="16.5">
      <c r="A23" s="117">
        <v>18</v>
      </c>
      <c r="B23" s="1314"/>
      <c r="C23" s="1315">
        <v>8</v>
      </c>
      <c r="D23" s="1" t="s">
        <v>282</v>
      </c>
      <c r="E23" s="316">
        <f>'1.Onbe'!J56</f>
        <v>3169018</v>
      </c>
      <c r="F23" s="1328"/>
      <c r="G23" s="1315">
        <v>11</v>
      </c>
      <c r="H23" s="1" t="s">
        <v>246</v>
      </c>
      <c r="I23" s="325">
        <f>'2.Onki'!J37</f>
        <v>187380</v>
      </c>
    </row>
    <row r="24" spans="1:9" s="1" customFormat="1" ht="16.5">
      <c r="A24" s="117">
        <v>19</v>
      </c>
      <c r="B24" s="1314"/>
      <c r="C24" s="1315">
        <v>9</v>
      </c>
      <c r="D24" s="1" t="s">
        <v>245</v>
      </c>
      <c r="E24" s="316">
        <f>'1.Onbe'!J54</f>
        <v>0</v>
      </c>
      <c r="F24" s="1328"/>
      <c r="G24" s="1315"/>
      <c r="I24" s="325"/>
    </row>
    <row r="25" spans="1:9" s="1" customFormat="1" ht="24" customHeight="1">
      <c r="A25" s="117">
        <v>20</v>
      </c>
      <c r="B25" s="1314">
        <v>2</v>
      </c>
      <c r="C25" s="1315"/>
      <c r="D25" s="148" t="s">
        <v>219</v>
      </c>
      <c r="E25" s="316"/>
      <c r="F25" s="1328">
        <v>2</v>
      </c>
      <c r="G25" s="1315"/>
      <c r="H25" s="148" t="s">
        <v>220</v>
      </c>
      <c r="I25" s="325"/>
    </row>
    <row r="26" spans="1:9" s="1" customFormat="1" ht="16.5">
      <c r="A26" s="117">
        <v>21</v>
      </c>
      <c r="B26" s="1314"/>
      <c r="C26" s="1315">
        <v>10</v>
      </c>
      <c r="D26" s="1" t="s">
        <v>221</v>
      </c>
      <c r="E26" s="316">
        <f>'1.Onbe'!J67+'1.Onbe'!J66</f>
        <v>561891</v>
      </c>
      <c r="F26" s="1328"/>
      <c r="G26" s="1315">
        <v>12</v>
      </c>
      <c r="H26" s="1" t="s">
        <v>222</v>
      </c>
      <c r="I26" s="325">
        <f>'2.Onki'!J39</f>
        <v>214550</v>
      </c>
    </row>
    <row r="27" spans="1:9" s="1" customFormat="1" ht="16.5">
      <c r="A27" s="117">
        <v>22</v>
      </c>
      <c r="B27" s="1314"/>
      <c r="C27" s="1315">
        <v>11</v>
      </c>
      <c r="D27" s="1" t="s">
        <v>282</v>
      </c>
      <c r="E27" s="316">
        <f>'1.Onbe'!J60</f>
        <v>14753701</v>
      </c>
      <c r="F27" s="1328"/>
      <c r="G27" s="1315"/>
      <c r="I27" s="325"/>
    </row>
    <row r="28" spans="1:38" s="304" customFormat="1" ht="24.75" customHeight="1" thickBot="1">
      <c r="A28" s="117">
        <v>23</v>
      </c>
      <c r="B28" s="1318"/>
      <c r="C28" s="1319"/>
      <c r="D28" s="181" t="s">
        <v>223</v>
      </c>
      <c r="E28" s="317">
        <f>SUM(E22:E27)</f>
        <v>18484610</v>
      </c>
      <c r="F28" s="1336"/>
      <c r="G28" s="1319"/>
      <c r="H28" s="181" t="s">
        <v>224</v>
      </c>
      <c r="I28" s="326">
        <f>SUM(I22:I27)</f>
        <v>401930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9" s="1" customFormat="1" ht="30" customHeight="1" thickBot="1" thickTop="1">
      <c r="A29" s="117">
        <v>24</v>
      </c>
      <c r="B29" s="1318"/>
      <c r="C29" s="1319"/>
      <c r="D29" s="181" t="s">
        <v>225</v>
      </c>
      <c r="E29" s="314">
        <f>SUM(E21,E28)</f>
        <v>58993126</v>
      </c>
      <c r="F29" s="1336"/>
      <c r="G29" s="1319"/>
      <c r="H29" s="181" t="s">
        <v>226</v>
      </c>
      <c r="I29" s="302">
        <f>SUM(I21,I28)</f>
        <v>58993126</v>
      </c>
    </row>
    <row r="30" spans="1:9" s="1" customFormat="1" ht="18" thickTop="1">
      <c r="A30" s="117">
        <v>25</v>
      </c>
      <c r="B30" s="1322"/>
      <c r="C30" s="1323"/>
      <c r="D30" s="305" t="s">
        <v>181</v>
      </c>
      <c r="E30" s="318">
        <f>+E21-I21</f>
        <v>-18082680</v>
      </c>
      <c r="F30" s="1337"/>
      <c r="G30" s="1338"/>
      <c r="H30" s="306"/>
      <c r="I30" s="325"/>
    </row>
    <row r="31" spans="1:9" s="1" customFormat="1" ht="17.25">
      <c r="A31" s="117">
        <v>26</v>
      </c>
      <c r="B31" s="1314"/>
      <c r="C31" s="1315"/>
      <c r="D31" s="307" t="s">
        <v>227</v>
      </c>
      <c r="E31" s="319">
        <f>+E14-I14</f>
        <v>1246459</v>
      </c>
      <c r="F31" s="1337"/>
      <c r="G31" s="1338"/>
      <c r="H31" s="306"/>
      <c r="I31" s="325"/>
    </row>
    <row r="32" spans="1:9" s="1" customFormat="1" ht="17.25">
      <c r="A32" s="117">
        <v>27</v>
      </c>
      <c r="B32" s="1314"/>
      <c r="C32" s="1315"/>
      <c r="D32" s="307" t="s">
        <v>228</v>
      </c>
      <c r="E32" s="319">
        <f>+E20-I20</f>
        <v>-19329139</v>
      </c>
      <c r="F32" s="1337"/>
      <c r="G32" s="1338"/>
      <c r="H32" s="306"/>
      <c r="I32" s="325"/>
    </row>
    <row r="33" spans="1:9" s="1" customFormat="1" ht="17.25">
      <c r="A33" s="117">
        <v>28</v>
      </c>
      <c r="B33" s="1314"/>
      <c r="C33" s="1315"/>
      <c r="D33" s="308" t="s">
        <v>229</v>
      </c>
      <c r="E33" s="319">
        <f>+E30-I28</f>
        <v>-18484610</v>
      </c>
      <c r="F33" s="1337"/>
      <c r="G33" s="1338"/>
      <c r="H33" s="306"/>
      <c r="I33" s="325"/>
    </row>
    <row r="34" spans="1:9" s="1" customFormat="1" ht="32.25" customHeight="1">
      <c r="A34" s="117">
        <v>29</v>
      </c>
      <c r="B34" s="1314"/>
      <c r="C34" s="1315"/>
      <c r="D34" s="309" t="s">
        <v>342</v>
      </c>
      <c r="E34" s="319">
        <f>E27+E23</f>
        <v>17922719</v>
      </c>
      <c r="F34" s="1337"/>
      <c r="G34" s="1338"/>
      <c r="H34" s="306"/>
      <c r="I34" s="325"/>
    </row>
    <row r="35" spans="1:9" s="1" customFormat="1" ht="33.75" customHeight="1">
      <c r="A35" s="117">
        <v>30</v>
      </c>
      <c r="B35" s="1324"/>
      <c r="C35" s="1325"/>
      <c r="D35" s="310" t="s">
        <v>343</v>
      </c>
      <c r="E35" s="320">
        <f>E26</f>
        <v>561891</v>
      </c>
      <c r="F35" s="1339"/>
      <c r="G35" s="1340"/>
      <c r="H35" s="311"/>
      <c r="I35" s="327"/>
    </row>
    <row r="36" spans="1:9" ht="19.5" customHeight="1">
      <c r="A36" s="117">
        <v>31</v>
      </c>
      <c r="B36" s="1314"/>
      <c r="C36" s="1315"/>
      <c r="D36" s="119" t="s">
        <v>230</v>
      </c>
      <c r="E36" s="321">
        <f>(E14+E23+E24)/E29</f>
        <v>0.4081961345801543</v>
      </c>
      <c r="F36" s="1328"/>
      <c r="G36" s="1315"/>
      <c r="H36" s="119" t="s">
        <v>231</v>
      </c>
      <c r="I36" s="328">
        <f>(I14+I23)/I29</f>
        <v>0.3365251232830076</v>
      </c>
    </row>
    <row r="37" spans="1:9" ht="19.5" customHeight="1" thickBot="1">
      <c r="A37" s="117">
        <v>32</v>
      </c>
      <c r="B37" s="1326"/>
      <c r="C37" s="1327"/>
      <c r="D37" s="312" t="s">
        <v>232</v>
      </c>
      <c r="E37" s="322">
        <f>(E20+E26+E27)/E29</f>
        <v>0.5918038654198456</v>
      </c>
      <c r="F37" s="1341"/>
      <c r="G37" s="1327"/>
      <c r="H37" s="312" t="s">
        <v>233</v>
      </c>
      <c r="I37" s="329">
        <f>(I20+I26)/I29</f>
        <v>0.6634748767169925</v>
      </c>
    </row>
    <row r="38" ht="16.5">
      <c r="H38" s="119" t="s">
        <v>234</v>
      </c>
    </row>
  </sheetData>
  <sheetProtection/>
  <mergeCells count="3">
    <mergeCell ref="B1:D1"/>
    <mergeCell ref="B2:I2"/>
    <mergeCell ref="B3:I3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0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view="pageBreakPreview" zoomScaleSheetLayoutView="100" zoomScalePageLayoutView="0" workbookViewId="0" topLeftCell="A1">
      <selection activeCell="B1" sqref="B1:D1"/>
    </sheetView>
  </sheetViews>
  <sheetFormatPr defaultColWidth="31.25390625" defaultRowHeight="12.75"/>
  <cols>
    <col min="1" max="1" width="3.75390625" style="105" customWidth="1"/>
    <col min="2" max="2" width="4.75390625" style="19" customWidth="1"/>
    <col min="3" max="3" width="50.75390625" style="39" customWidth="1"/>
    <col min="4" max="6" width="13.75390625" style="21" customWidth="1"/>
    <col min="7" max="7" width="30.75390625" style="22" customWidth="1"/>
    <col min="8" max="8" width="12.125" style="23" customWidth="1"/>
    <col min="9" max="9" width="12.875" style="23" customWidth="1"/>
    <col min="10" max="16384" width="31.25390625" style="23" customWidth="1"/>
  </cols>
  <sheetData>
    <row r="1" spans="1:7" ht="16.5">
      <c r="A1" s="193"/>
      <c r="B1" s="1600" t="s">
        <v>827</v>
      </c>
      <c r="C1" s="1600"/>
      <c r="D1" s="1600"/>
      <c r="E1" s="20"/>
      <c r="G1" s="532"/>
    </row>
    <row r="2" spans="1:7" ht="24.75" customHeight="1">
      <c r="A2" s="193"/>
      <c r="C2" s="1399" t="s">
        <v>108</v>
      </c>
      <c r="D2" s="1399"/>
      <c r="E2" s="1399"/>
      <c r="F2" s="1399"/>
      <c r="G2" s="1399"/>
    </row>
    <row r="3" spans="1:7" ht="24.75" customHeight="1">
      <c r="A3" s="193"/>
      <c r="B3" s="1399" t="s">
        <v>689</v>
      </c>
      <c r="C3" s="1399"/>
      <c r="D3" s="1399"/>
      <c r="E3" s="1399"/>
      <c r="F3" s="1399"/>
      <c r="G3" s="1399"/>
    </row>
    <row r="4" spans="1:7" s="107" customFormat="1" ht="18" customHeight="1" thickBot="1">
      <c r="A4" s="105"/>
      <c r="B4" s="104" t="s">
        <v>1</v>
      </c>
      <c r="C4" s="106" t="s">
        <v>3</v>
      </c>
      <c r="D4" s="22" t="s">
        <v>2</v>
      </c>
      <c r="E4" s="22" t="s">
        <v>4</v>
      </c>
      <c r="F4" s="22" t="s">
        <v>5</v>
      </c>
      <c r="G4" s="22" t="s">
        <v>15</v>
      </c>
    </row>
    <row r="5" spans="2:7" ht="72" customHeight="1" thickBot="1">
      <c r="B5" s="24" t="s">
        <v>18</v>
      </c>
      <c r="C5" s="25" t="s">
        <v>6</v>
      </c>
      <c r="D5" s="286" t="s">
        <v>499</v>
      </c>
      <c r="E5" s="286" t="s">
        <v>109</v>
      </c>
      <c r="F5" s="286" t="s">
        <v>690</v>
      </c>
      <c r="G5" s="26" t="s">
        <v>110</v>
      </c>
    </row>
    <row r="6" spans="1:7" s="99" customFormat="1" ht="21.75" customHeight="1" thickTop="1">
      <c r="A6" s="104">
        <v>1</v>
      </c>
      <c r="B6" s="100">
        <v>1</v>
      </c>
      <c r="C6" s="337" t="s">
        <v>286</v>
      </c>
      <c r="D6" s="287">
        <v>38</v>
      </c>
      <c r="E6" s="287"/>
      <c r="F6" s="287">
        <f aca="true" t="shared" si="0" ref="F6:F24">SUM(D6:E6)</f>
        <v>38</v>
      </c>
      <c r="G6" s="108"/>
    </row>
    <row r="7" spans="1:7" s="99" customFormat="1" ht="21.75" customHeight="1">
      <c r="A7" s="104">
        <v>2</v>
      </c>
      <c r="B7" s="100">
        <v>2</v>
      </c>
      <c r="C7" s="337" t="s">
        <v>285</v>
      </c>
      <c r="D7" s="287">
        <v>70</v>
      </c>
      <c r="E7" s="287"/>
      <c r="F7" s="287">
        <f t="shared" si="0"/>
        <v>70</v>
      </c>
      <c r="G7" s="108"/>
    </row>
    <row r="8" spans="1:7" s="99" customFormat="1" ht="21.75" customHeight="1">
      <c r="A8" s="104">
        <v>3</v>
      </c>
      <c r="B8" s="100">
        <v>3</v>
      </c>
      <c r="C8" s="337" t="s">
        <v>247</v>
      </c>
      <c r="D8" s="287">
        <v>83.5</v>
      </c>
      <c r="E8" s="287"/>
      <c r="F8" s="287">
        <f t="shared" si="0"/>
        <v>83.5</v>
      </c>
      <c r="G8" s="108"/>
    </row>
    <row r="9" spans="1:7" s="99" customFormat="1" ht="21.75" customHeight="1">
      <c r="A9" s="104">
        <v>4</v>
      </c>
      <c r="B9" s="100">
        <v>4</v>
      </c>
      <c r="C9" s="337" t="s">
        <v>248</v>
      </c>
      <c r="D9" s="287">
        <v>60</v>
      </c>
      <c r="E9" s="287"/>
      <c r="F9" s="287">
        <f t="shared" si="0"/>
        <v>60</v>
      </c>
      <c r="G9" s="108"/>
    </row>
    <row r="10" spans="1:7" s="99" customFormat="1" ht="21.75" customHeight="1">
      <c r="A10" s="104">
        <v>5</v>
      </c>
      <c r="B10" s="100">
        <v>5</v>
      </c>
      <c r="C10" s="337" t="s">
        <v>249</v>
      </c>
      <c r="D10" s="287">
        <v>61.5</v>
      </c>
      <c r="E10" s="287"/>
      <c r="F10" s="287">
        <f t="shared" si="0"/>
        <v>61.5</v>
      </c>
      <c r="G10" s="108"/>
    </row>
    <row r="11" spans="1:7" s="99" customFormat="1" ht="21.75" customHeight="1">
      <c r="A11" s="104">
        <v>6</v>
      </c>
      <c r="B11" s="100">
        <v>6</v>
      </c>
      <c r="C11" s="337" t="s">
        <v>250</v>
      </c>
      <c r="D11" s="287">
        <v>36</v>
      </c>
      <c r="E11" s="287"/>
      <c r="F11" s="287">
        <f t="shared" si="0"/>
        <v>36</v>
      </c>
      <c r="G11" s="108"/>
    </row>
    <row r="12" spans="1:7" s="101" customFormat="1" ht="21.75" customHeight="1">
      <c r="A12" s="104">
        <v>7</v>
      </c>
      <c r="B12" s="678"/>
      <c r="C12" s="102" t="s">
        <v>235</v>
      </c>
      <c r="D12" s="288">
        <v>0</v>
      </c>
      <c r="E12" s="288"/>
      <c r="F12" s="288">
        <f t="shared" si="0"/>
        <v>0</v>
      </c>
      <c r="G12" s="109"/>
    </row>
    <row r="13" spans="1:7" s="99" customFormat="1" ht="33">
      <c r="A13" s="104">
        <v>8</v>
      </c>
      <c r="B13" s="100">
        <v>7</v>
      </c>
      <c r="C13" s="339" t="s">
        <v>303</v>
      </c>
      <c r="D13" s="287">
        <v>200</v>
      </c>
      <c r="E13" s="287"/>
      <c r="F13" s="287">
        <f t="shared" si="0"/>
        <v>200</v>
      </c>
      <c r="G13" s="370"/>
    </row>
    <row r="14" spans="1:7" ht="33" customHeight="1">
      <c r="A14" s="104">
        <v>9</v>
      </c>
      <c r="B14" s="100">
        <v>8</v>
      </c>
      <c r="C14" s="338" t="s">
        <v>111</v>
      </c>
      <c r="D14" s="287">
        <v>13.25</v>
      </c>
      <c r="E14" s="287"/>
      <c r="F14" s="287">
        <f t="shared" si="0"/>
        <v>13.25</v>
      </c>
      <c r="G14" s="110"/>
    </row>
    <row r="15" spans="1:7" ht="33" customHeight="1">
      <c r="A15" s="104">
        <v>10</v>
      </c>
      <c r="B15" s="100">
        <v>9</v>
      </c>
      <c r="C15" s="338" t="s">
        <v>369</v>
      </c>
      <c r="D15" s="287">
        <v>64</v>
      </c>
      <c r="E15" s="287">
        <v>1</v>
      </c>
      <c r="F15" s="287">
        <f t="shared" si="0"/>
        <v>65</v>
      </c>
      <c r="G15" s="110" t="s">
        <v>691</v>
      </c>
    </row>
    <row r="16" spans="1:7" ht="21.75" customHeight="1">
      <c r="A16" s="104">
        <v>12</v>
      </c>
      <c r="B16" s="97">
        <v>10</v>
      </c>
      <c r="C16" s="335" t="s">
        <v>370</v>
      </c>
      <c r="D16" s="28">
        <v>24.25</v>
      </c>
      <c r="E16" s="28"/>
      <c r="F16" s="28">
        <f t="shared" si="0"/>
        <v>24.25</v>
      </c>
      <c r="G16" s="110"/>
    </row>
    <row r="17" spans="1:7" ht="33" customHeight="1">
      <c r="A17" s="104">
        <v>13</v>
      </c>
      <c r="B17" s="100">
        <v>11</v>
      </c>
      <c r="C17" s="338" t="s">
        <v>364</v>
      </c>
      <c r="D17" s="28">
        <v>23</v>
      </c>
      <c r="E17" s="28"/>
      <c r="F17" s="28">
        <f t="shared" si="0"/>
        <v>23</v>
      </c>
      <c r="G17" s="110" t="s">
        <v>691</v>
      </c>
    </row>
    <row r="18" spans="1:7" s="99" customFormat="1" ht="21.75" customHeight="1">
      <c r="A18" s="104">
        <v>14</v>
      </c>
      <c r="B18" s="97">
        <v>12</v>
      </c>
      <c r="C18" s="98" t="s">
        <v>25</v>
      </c>
      <c r="D18" s="287">
        <v>51.5</v>
      </c>
      <c r="E18" s="287"/>
      <c r="F18" s="287">
        <f t="shared" si="0"/>
        <v>51.5</v>
      </c>
      <c r="G18" s="108"/>
    </row>
    <row r="19" spans="1:7" s="99" customFormat="1" ht="27.75" customHeight="1">
      <c r="A19" s="104">
        <v>15</v>
      </c>
      <c r="B19" s="97">
        <v>13</v>
      </c>
      <c r="C19" s="98" t="s">
        <v>32</v>
      </c>
      <c r="D19" s="287">
        <v>53</v>
      </c>
      <c r="E19" s="287"/>
      <c r="F19" s="287">
        <f t="shared" si="0"/>
        <v>53</v>
      </c>
      <c r="G19" s="113"/>
    </row>
    <row r="20" spans="1:7" s="101" customFormat="1" ht="34.5">
      <c r="A20" s="104">
        <v>16</v>
      </c>
      <c r="B20" s="100"/>
      <c r="C20" s="102" t="s">
        <v>693</v>
      </c>
      <c r="D20" s="287">
        <v>6</v>
      </c>
      <c r="E20" s="287">
        <v>-1</v>
      </c>
      <c r="F20" s="287">
        <f t="shared" si="0"/>
        <v>5</v>
      </c>
      <c r="G20" s="1250"/>
    </row>
    <row r="21" spans="1:7" ht="27.75" customHeight="1">
      <c r="A21" s="104">
        <v>18</v>
      </c>
      <c r="B21" s="97">
        <v>14</v>
      </c>
      <c r="C21" s="335" t="s">
        <v>366</v>
      </c>
      <c r="D21" s="287">
        <v>22</v>
      </c>
      <c r="E21" s="287">
        <v>-1</v>
      </c>
      <c r="F21" s="287">
        <f t="shared" si="0"/>
        <v>21</v>
      </c>
      <c r="G21" s="112" t="s">
        <v>722</v>
      </c>
    </row>
    <row r="22" spans="1:7" s="101" customFormat="1" ht="21.75" customHeight="1">
      <c r="A22" s="104">
        <v>19</v>
      </c>
      <c r="B22" s="100"/>
      <c r="C22" s="102" t="s">
        <v>235</v>
      </c>
      <c r="D22" s="288">
        <v>2</v>
      </c>
      <c r="E22" s="288"/>
      <c r="F22" s="288">
        <f t="shared" si="0"/>
        <v>2</v>
      </c>
      <c r="G22" s="109"/>
    </row>
    <row r="23" spans="1:7" s="99" customFormat="1" ht="21.75" customHeight="1">
      <c r="A23" s="104">
        <v>20</v>
      </c>
      <c r="B23" s="97">
        <v>15</v>
      </c>
      <c r="C23" s="98" t="s">
        <v>142</v>
      </c>
      <c r="D23" s="287">
        <v>102</v>
      </c>
      <c r="E23" s="287"/>
      <c r="F23" s="287">
        <f t="shared" si="0"/>
        <v>102</v>
      </c>
      <c r="G23" s="108"/>
    </row>
    <row r="24" spans="1:7" ht="21.75" customHeight="1" thickBot="1">
      <c r="A24" s="104">
        <v>21</v>
      </c>
      <c r="B24" s="336">
        <v>16</v>
      </c>
      <c r="C24" s="380" t="s">
        <v>251</v>
      </c>
      <c r="D24" s="381">
        <v>53.25</v>
      </c>
      <c r="E24" s="381"/>
      <c r="F24" s="381">
        <f t="shared" si="0"/>
        <v>53.25</v>
      </c>
      <c r="G24" s="382"/>
    </row>
    <row r="25" spans="1:7" ht="30" customHeight="1" thickBot="1" thickTop="1">
      <c r="A25" s="104">
        <v>22</v>
      </c>
      <c r="B25" s="31"/>
      <c r="C25" s="32" t="s">
        <v>112</v>
      </c>
      <c r="D25" s="289">
        <f>SUM(D6:D24)</f>
        <v>963.25</v>
      </c>
      <c r="E25" s="289">
        <f>SUM(E6:E24)</f>
        <v>-1</v>
      </c>
      <c r="F25" s="289">
        <f>SUM(F6:F24)</f>
        <v>962.25</v>
      </c>
      <c r="G25" s="111"/>
    </row>
    <row r="26" spans="1:7" ht="21.75" customHeight="1">
      <c r="A26" s="104">
        <v>23</v>
      </c>
      <c r="B26" s="97">
        <v>17</v>
      </c>
      <c r="C26" s="335" t="s">
        <v>26</v>
      </c>
      <c r="D26" s="28">
        <v>200</v>
      </c>
      <c r="E26" s="28"/>
      <c r="F26" s="28">
        <f>SUM(D26:E26)</f>
        <v>200</v>
      </c>
      <c r="G26" s="110"/>
    </row>
    <row r="27" spans="1:7" ht="21.75" customHeight="1">
      <c r="A27" s="104">
        <v>24</v>
      </c>
      <c r="B27" s="97">
        <v>18</v>
      </c>
      <c r="C27" s="335" t="s">
        <v>113</v>
      </c>
      <c r="D27" s="1"/>
      <c r="E27" s="1"/>
      <c r="F27" s="1"/>
      <c r="G27" s="112" t="s">
        <v>234</v>
      </c>
    </row>
    <row r="28" spans="1:7" ht="21.75" customHeight="1">
      <c r="A28" s="104">
        <v>25</v>
      </c>
      <c r="B28" s="27"/>
      <c r="C28" s="156" t="s">
        <v>291</v>
      </c>
      <c r="D28" s="28">
        <v>3</v>
      </c>
      <c r="E28" s="28"/>
      <c r="F28" s="28">
        <f>SUM(D28:E28)</f>
        <v>3</v>
      </c>
      <c r="G28" s="112"/>
    </row>
    <row r="29" spans="1:7" s="101" customFormat="1" ht="21.75" customHeight="1" thickBot="1">
      <c r="A29" s="104">
        <v>26</v>
      </c>
      <c r="B29" s="100"/>
      <c r="C29" s="102" t="s">
        <v>268</v>
      </c>
      <c r="D29" s="288">
        <v>4</v>
      </c>
      <c r="E29" s="288"/>
      <c r="F29" s="288">
        <f>SUM(D29:E29)</f>
        <v>4</v>
      </c>
      <c r="G29" s="113"/>
    </row>
    <row r="30" spans="1:7" ht="30" customHeight="1">
      <c r="A30" s="104">
        <v>27</v>
      </c>
      <c r="B30" s="331"/>
      <c r="C30" s="332" t="s">
        <v>13</v>
      </c>
      <c r="D30" s="333">
        <f>SUM(D25:D29)</f>
        <v>1170.25</v>
      </c>
      <c r="E30" s="333">
        <f>SUM(E25:E29)</f>
        <v>-1</v>
      </c>
      <c r="F30" s="333">
        <f>SUM(F25:F29)</f>
        <v>1169.25</v>
      </c>
      <c r="G30" s="334"/>
    </row>
    <row r="31" spans="1:7" ht="16.5" customHeight="1">
      <c r="A31" s="104">
        <v>28</v>
      </c>
      <c r="B31" s="27"/>
      <c r="C31" s="29" t="s">
        <v>114</v>
      </c>
      <c r="D31" s="28"/>
      <c r="E31" s="28"/>
      <c r="F31" s="28"/>
      <c r="G31" s="110"/>
    </row>
    <row r="32" spans="1:7" ht="16.5" customHeight="1" thickBot="1">
      <c r="A32" s="104">
        <v>29</v>
      </c>
      <c r="B32" s="31"/>
      <c r="C32" s="103" t="s">
        <v>268</v>
      </c>
      <c r="D32" s="290">
        <f>SUM(D12,D22,D29)</f>
        <v>6</v>
      </c>
      <c r="E32" s="290">
        <f>SUM(E12,E22,E29)</f>
        <v>0</v>
      </c>
      <c r="F32" s="290">
        <f>SUM(F12,F22,F29)</f>
        <v>6</v>
      </c>
      <c r="G32" s="114"/>
    </row>
    <row r="34" spans="3:7" ht="16.5">
      <c r="C34" s="33"/>
      <c r="D34" s="28"/>
      <c r="E34" s="28"/>
      <c r="F34" s="28"/>
      <c r="G34" s="115"/>
    </row>
    <row r="35" spans="3:7" ht="16.5">
      <c r="C35" s="34"/>
      <c r="D35" s="35"/>
      <c r="E35" s="35"/>
      <c r="F35" s="35"/>
      <c r="G35" s="115"/>
    </row>
    <row r="36" spans="3:7" ht="16.5">
      <c r="C36" s="34"/>
      <c r="D36" s="35"/>
      <c r="E36" s="35"/>
      <c r="F36" s="35"/>
      <c r="G36" s="115"/>
    </row>
    <row r="37" spans="3:7" ht="16.5">
      <c r="C37" s="34"/>
      <c r="D37" s="35"/>
      <c r="E37" s="35"/>
      <c r="F37" s="35"/>
      <c r="G37" s="115"/>
    </row>
    <row r="38" spans="3:7" ht="16.5">
      <c r="C38" s="33"/>
      <c r="D38" s="28"/>
      <c r="E38" s="28"/>
      <c r="F38" s="28"/>
      <c r="G38" s="115"/>
    </row>
    <row r="39" spans="3:7" ht="16.5">
      <c r="C39" s="33"/>
      <c r="D39" s="28"/>
      <c r="E39" s="28"/>
      <c r="F39" s="28"/>
      <c r="G39" s="115"/>
    </row>
    <row r="40" spans="3:7" ht="16.5">
      <c r="C40" s="33"/>
      <c r="D40" s="28"/>
      <c r="E40" s="28"/>
      <c r="F40" s="28"/>
      <c r="G40" s="115"/>
    </row>
    <row r="43" spans="1:7" s="30" customFormat="1" ht="17.25">
      <c r="A43" s="221"/>
      <c r="B43" s="552"/>
      <c r="C43" s="36"/>
      <c r="D43" s="37"/>
      <c r="E43" s="37"/>
      <c r="F43" s="37"/>
      <c r="G43" s="116"/>
    </row>
    <row r="45" spans="1:7" s="30" customFormat="1" ht="17.25">
      <c r="A45" s="221"/>
      <c r="B45" s="552"/>
      <c r="C45" s="36"/>
      <c r="D45" s="37"/>
      <c r="E45" s="37"/>
      <c r="F45" s="37"/>
      <c r="G45" s="116"/>
    </row>
    <row r="48" spans="1:7" s="30" customFormat="1" ht="17.25">
      <c r="A48" s="221"/>
      <c r="B48" s="552"/>
      <c r="C48" s="36"/>
      <c r="D48" s="37"/>
      <c r="E48" s="37"/>
      <c r="F48" s="37"/>
      <c r="G48" s="116"/>
    </row>
    <row r="66" spans="1:7" s="30" customFormat="1" ht="17.25">
      <c r="A66" s="221"/>
      <c r="B66" s="552"/>
      <c r="C66" s="36"/>
      <c r="D66" s="37"/>
      <c r="E66" s="37"/>
      <c r="F66" s="37"/>
      <c r="G66" s="116"/>
    </row>
    <row r="75" ht="16.5">
      <c r="D75" s="38"/>
    </row>
    <row r="76" ht="16.5">
      <c r="D76" s="38"/>
    </row>
    <row r="77" ht="16.5">
      <c r="D77" s="38"/>
    </row>
    <row r="78" ht="16.5">
      <c r="D78" s="38"/>
    </row>
    <row r="79" ht="16.5">
      <c r="D79" s="38"/>
    </row>
    <row r="80" ht="16.5">
      <c r="D80" s="38"/>
    </row>
    <row r="81" ht="16.5">
      <c r="D81" s="38"/>
    </row>
    <row r="82" ht="16.5">
      <c r="D82" s="38"/>
    </row>
  </sheetData>
  <sheetProtection/>
  <mergeCells count="3">
    <mergeCell ref="B1:D1"/>
    <mergeCell ref="C2:G2"/>
    <mergeCell ref="B3:G3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77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Z26"/>
  <sheetViews>
    <sheetView view="pageBreakPreview" zoomScaleSheetLayoutView="100" zoomScalePageLayoutView="0" workbookViewId="0" topLeftCell="A1">
      <selection activeCell="B1" sqref="B1:F1"/>
    </sheetView>
  </sheetViews>
  <sheetFormatPr defaultColWidth="9.00390625" defaultRowHeight="12.75"/>
  <cols>
    <col min="1" max="1" width="3.00390625" style="1202" customWidth="1"/>
    <col min="2" max="2" width="3.75390625" style="1206" customWidth="1"/>
    <col min="3" max="3" width="16.625" style="1207" customWidth="1"/>
    <col min="4" max="4" width="15.375" style="1206" customWidth="1"/>
    <col min="5" max="6" width="9.875" style="1206" bestFit="1" customWidth="1"/>
    <col min="7" max="7" width="9.375" style="1206" customWidth="1"/>
    <col min="8" max="8" width="10.625" style="1206" customWidth="1"/>
    <col min="9" max="10" width="9.375" style="1206" customWidth="1"/>
    <col min="11" max="11" width="9.875" style="1206" customWidth="1"/>
    <col min="12" max="16" width="9.375" style="1206" customWidth="1"/>
    <col min="17" max="24" width="9.375" style="1203" customWidth="1"/>
    <col min="25" max="247" width="8.00390625" style="1203" customWidth="1"/>
    <col min="248" max="248" width="2.375" style="1203" bestFit="1" customWidth="1"/>
    <col min="249" max="249" width="28.25390625" style="1203" bestFit="1" customWidth="1"/>
    <col min="250" max="250" width="14.25390625" style="1203" bestFit="1" customWidth="1"/>
    <col min="251" max="251" width="13.625" style="1203" bestFit="1" customWidth="1"/>
    <col min="252" max="252" width="10.75390625" style="1203" bestFit="1" customWidth="1"/>
    <col min="253" max="253" width="9.375" style="1203" bestFit="1" customWidth="1"/>
    <col min="254" max="254" width="9.875" style="1203" bestFit="1" customWidth="1"/>
    <col min="255" max="255" width="11.25390625" style="1203" bestFit="1" customWidth="1"/>
    <col min="256" max="16384" width="9.125" style="1203" customWidth="1"/>
  </cols>
  <sheetData>
    <row r="1" spans="2:18" ht="22.5">
      <c r="B1" s="1619" t="s">
        <v>828</v>
      </c>
      <c r="C1" s="1619"/>
      <c r="D1" s="1619"/>
      <c r="E1" s="1619"/>
      <c r="F1" s="1619"/>
      <c r="G1" s="1620"/>
      <c r="H1" s="1620"/>
      <c r="I1" s="1620"/>
      <c r="J1" s="1620"/>
      <c r="K1" s="1620"/>
      <c r="L1" s="1620"/>
      <c r="M1" s="1620"/>
      <c r="N1" s="1620"/>
      <c r="O1" s="1620"/>
      <c r="P1" s="1620"/>
      <c r="Q1" s="1620"/>
      <c r="R1" s="1620"/>
    </row>
    <row r="2" spans="1:24" s="1204" customFormat="1" ht="17.25">
      <c r="A2" s="1202"/>
      <c r="B2" s="1622" t="s">
        <v>108</v>
      </c>
      <c r="C2" s="1622"/>
      <c r="D2" s="1622"/>
      <c r="E2" s="1622"/>
      <c r="F2" s="1622"/>
      <c r="G2" s="1622"/>
      <c r="H2" s="1622"/>
      <c r="I2" s="1622"/>
      <c r="J2" s="1622"/>
      <c r="K2" s="1622"/>
      <c r="L2" s="1622"/>
      <c r="M2" s="1622"/>
      <c r="N2" s="1622"/>
      <c r="O2" s="1622"/>
      <c r="P2" s="1622"/>
      <c r="Q2" s="1622"/>
      <c r="R2" s="1622"/>
      <c r="S2" s="1622"/>
      <c r="T2" s="1622"/>
      <c r="U2" s="1622"/>
      <c r="V2" s="1622"/>
      <c r="W2" s="1622"/>
      <c r="X2" s="1622"/>
    </row>
    <row r="3" spans="1:24" s="1204" customFormat="1" ht="17.25">
      <c r="A3" s="1202"/>
      <c r="B3" s="1622" t="s">
        <v>14</v>
      </c>
      <c r="C3" s="1622"/>
      <c r="D3" s="1622"/>
      <c r="E3" s="1622"/>
      <c r="F3" s="1622"/>
      <c r="G3" s="1622"/>
      <c r="H3" s="1622"/>
      <c r="I3" s="1622"/>
      <c r="J3" s="1622"/>
      <c r="K3" s="1622"/>
      <c r="L3" s="1622"/>
      <c r="M3" s="1622"/>
      <c r="N3" s="1622"/>
      <c r="O3" s="1622"/>
      <c r="P3" s="1622"/>
      <c r="Q3" s="1622"/>
      <c r="R3" s="1622"/>
      <c r="S3" s="1622"/>
      <c r="T3" s="1622"/>
      <c r="U3" s="1622"/>
      <c r="V3" s="1622"/>
      <c r="W3" s="1622"/>
      <c r="X3" s="1622"/>
    </row>
    <row r="4" spans="1:24" s="1204" customFormat="1" ht="17.25">
      <c r="A4" s="1202"/>
      <c r="B4" s="1622" t="s">
        <v>786</v>
      </c>
      <c r="C4" s="1622"/>
      <c r="D4" s="1622"/>
      <c r="E4" s="1622"/>
      <c r="F4" s="1622"/>
      <c r="G4" s="1622"/>
      <c r="H4" s="1622"/>
      <c r="I4" s="1622"/>
      <c r="J4" s="1622"/>
      <c r="K4" s="1622"/>
      <c r="L4" s="1622"/>
      <c r="M4" s="1622"/>
      <c r="N4" s="1622"/>
      <c r="O4" s="1622"/>
      <c r="P4" s="1622"/>
      <c r="Q4" s="1622"/>
      <c r="R4" s="1622"/>
      <c r="S4" s="1622"/>
      <c r="T4" s="1622"/>
      <c r="U4" s="1622"/>
      <c r="V4" s="1622"/>
      <c r="W4" s="1622"/>
      <c r="X4" s="1622"/>
    </row>
    <row r="5" spans="2:24" ht="17.25">
      <c r="B5" s="1205"/>
      <c r="C5" s="1205"/>
      <c r="D5" s="1205"/>
      <c r="E5" s="1205"/>
      <c r="F5" s="1205"/>
      <c r="G5" s="1205"/>
      <c r="H5" s="1205"/>
      <c r="I5" s="1205"/>
      <c r="J5" s="1205"/>
      <c r="K5" s="1205"/>
      <c r="L5" s="1205"/>
      <c r="M5" s="1205"/>
      <c r="N5" s="1205"/>
      <c r="O5" s="1205"/>
      <c r="P5" s="1205"/>
      <c r="Q5" s="1205"/>
      <c r="R5" s="1621"/>
      <c r="S5" s="1621"/>
      <c r="W5" s="1621" t="s">
        <v>0</v>
      </c>
      <c r="X5" s="1621"/>
    </row>
    <row r="6" spans="1:24" s="1348" customFormat="1" ht="15.75" thickBot="1">
      <c r="A6" s="1345"/>
      <c r="B6" s="1616" t="s">
        <v>1</v>
      </c>
      <c r="C6" s="1616"/>
      <c r="D6" s="1346" t="s">
        <v>3</v>
      </c>
      <c r="E6" s="1346" t="s">
        <v>2</v>
      </c>
      <c r="F6" s="1346" t="s">
        <v>4</v>
      </c>
      <c r="G6" s="1346" t="s">
        <v>5</v>
      </c>
      <c r="H6" s="1346" t="s">
        <v>15</v>
      </c>
      <c r="I6" s="1346" t="s">
        <v>16</v>
      </c>
      <c r="J6" s="1346" t="s">
        <v>17</v>
      </c>
      <c r="K6" s="1346" t="s">
        <v>34</v>
      </c>
      <c r="L6" s="1346" t="s">
        <v>30</v>
      </c>
      <c r="M6" s="1346" t="s">
        <v>23</v>
      </c>
      <c r="N6" s="1346" t="s">
        <v>35</v>
      </c>
      <c r="O6" s="1346" t="s">
        <v>36</v>
      </c>
      <c r="P6" s="1347" t="s">
        <v>145</v>
      </c>
      <c r="Q6" s="1347" t="s">
        <v>146</v>
      </c>
      <c r="R6" s="1347" t="s">
        <v>147</v>
      </c>
      <c r="S6" s="1347" t="s">
        <v>293</v>
      </c>
      <c r="T6" s="1347" t="s">
        <v>390</v>
      </c>
      <c r="U6" s="1347" t="s">
        <v>391</v>
      </c>
      <c r="V6" s="1347" t="s">
        <v>484</v>
      </c>
      <c r="W6" s="1347" t="s">
        <v>723</v>
      </c>
      <c r="X6" s="1347" t="s">
        <v>724</v>
      </c>
    </row>
    <row r="7" spans="1:24" s="1351" customFormat="1" ht="71.25" customHeight="1" thickBot="1">
      <c r="A7" s="1345"/>
      <c r="B7" s="1617" t="s">
        <v>294</v>
      </c>
      <c r="C7" s="1618"/>
      <c r="D7" s="1349" t="s">
        <v>295</v>
      </c>
      <c r="E7" s="1349" t="s">
        <v>787</v>
      </c>
      <c r="F7" s="1349" t="s">
        <v>296</v>
      </c>
      <c r="G7" s="1349" t="s">
        <v>297</v>
      </c>
      <c r="H7" s="1349" t="s">
        <v>717</v>
      </c>
      <c r="I7" s="1349" t="s">
        <v>788</v>
      </c>
      <c r="J7" s="1349" t="s">
        <v>392</v>
      </c>
      <c r="K7" s="1349" t="s">
        <v>718</v>
      </c>
      <c r="L7" s="1349" t="s">
        <v>393</v>
      </c>
      <c r="M7" s="1349" t="s">
        <v>789</v>
      </c>
      <c r="N7" s="1349" t="s">
        <v>790</v>
      </c>
      <c r="O7" s="1349" t="s">
        <v>791</v>
      </c>
      <c r="P7" s="1349" t="s">
        <v>792</v>
      </c>
      <c r="Q7" s="1349" t="s">
        <v>793</v>
      </c>
      <c r="R7" s="1349" t="s">
        <v>794</v>
      </c>
      <c r="S7" s="1349" t="s">
        <v>795</v>
      </c>
      <c r="T7" s="1349" t="s">
        <v>796</v>
      </c>
      <c r="U7" s="1349" t="s">
        <v>797</v>
      </c>
      <c r="V7" s="1349" t="s">
        <v>798</v>
      </c>
      <c r="W7" s="1349" t="s">
        <v>799</v>
      </c>
      <c r="X7" s="1350" t="s">
        <v>800</v>
      </c>
    </row>
    <row r="8" spans="1:24" s="1348" customFormat="1" ht="15.75" thickTop="1">
      <c r="A8" s="1605">
        <v>1</v>
      </c>
      <c r="B8" s="1614" t="s">
        <v>116</v>
      </c>
      <c r="C8" s="1615" t="s">
        <v>812</v>
      </c>
      <c r="D8" s="1615" t="s">
        <v>299</v>
      </c>
      <c r="E8" s="1613">
        <v>40736</v>
      </c>
      <c r="F8" s="1613">
        <v>48040</v>
      </c>
      <c r="G8" s="1612">
        <v>484000</v>
      </c>
      <c r="H8" s="1612">
        <v>14945</v>
      </c>
      <c r="I8" s="1612">
        <v>0</v>
      </c>
      <c r="J8" s="1612">
        <f>12340</f>
        <v>12340</v>
      </c>
      <c r="K8" s="1612">
        <f>H8-J8+I8</f>
        <v>2605</v>
      </c>
      <c r="L8" s="1612">
        <v>453</v>
      </c>
      <c r="M8" s="1352">
        <v>2605</v>
      </c>
      <c r="N8" s="1352"/>
      <c r="O8" s="1352"/>
      <c r="P8" s="1352"/>
      <c r="Q8" s="1352"/>
      <c r="R8" s="1352"/>
      <c r="S8" s="1352"/>
      <c r="T8" s="1352"/>
      <c r="U8" s="1352"/>
      <c r="V8" s="1352"/>
      <c r="W8" s="1352"/>
      <c r="X8" s="1353"/>
    </row>
    <row r="9" spans="1:24" s="1348" customFormat="1" ht="15">
      <c r="A9" s="1605"/>
      <c r="B9" s="1607"/>
      <c r="C9" s="1609"/>
      <c r="D9" s="1609"/>
      <c r="E9" s="1611"/>
      <c r="F9" s="1611"/>
      <c r="G9" s="1602"/>
      <c r="H9" s="1602"/>
      <c r="I9" s="1602"/>
      <c r="J9" s="1602"/>
      <c r="K9" s="1602"/>
      <c r="L9" s="1602"/>
      <c r="M9" s="1354">
        <v>28</v>
      </c>
      <c r="N9" s="1354"/>
      <c r="O9" s="1354"/>
      <c r="P9" s="1354"/>
      <c r="Q9" s="1354"/>
      <c r="R9" s="1354"/>
      <c r="S9" s="1354"/>
      <c r="T9" s="1354"/>
      <c r="U9" s="1354"/>
      <c r="V9" s="1354"/>
      <c r="W9" s="1354"/>
      <c r="X9" s="1355"/>
    </row>
    <row r="10" spans="1:26" s="1348" customFormat="1" ht="15">
      <c r="A10" s="1605">
        <v>2</v>
      </c>
      <c r="B10" s="1606" t="s">
        <v>123</v>
      </c>
      <c r="C10" s="1608" t="s">
        <v>811</v>
      </c>
      <c r="D10" s="1608" t="s">
        <v>300</v>
      </c>
      <c r="E10" s="1610">
        <v>41555</v>
      </c>
      <c r="F10" s="1610">
        <v>48859</v>
      </c>
      <c r="G10" s="1601">
        <v>200000</v>
      </c>
      <c r="H10" s="1601">
        <v>94575</v>
      </c>
      <c r="I10" s="1601">
        <v>0</v>
      </c>
      <c r="J10" s="1601">
        <v>8918</v>
      </c>
      <c r="K10" s="1601">
        <f>H10-J10+I10</f>
        <v>85657</v>
      </c>
      <c r="L10" s="1601">
        <v>5271</v>
      </c>
      <c r="M10" s="1356">
        <v>8918</v>
      </c>
      <c r="N10" s="1356">
        <v>8918</v>
      </c>
      <c r="O10" s="1356">
        <v>8918</v>
      </c>
      <c r="P10" s="1356">
        <v>8918</v>
      </c>
      <c r="Q10" s="1356">
        <v>8918</v>
      </c>
      <c r="R10" s="1356">
        <v>8918</v>
      </c>
      <c r="S10" s="1356">
        <v>8918</v>
      </c>
      <c r="T10" s="1356">
        <v>8918</v>
      </c>
      <c r="U10" s="1356">
        <v>8918</v>
      </c>
      <c r="V10" s="1354">
        <v>5395</v>
      </c>
      <c r="W10" s="1354"/>
      <c r="X10" s="1355"/>
      <c r="Z10" s="1357"/>
    </row>
    <row r="11" spans="1:24" s="1348" customFormat="1" ht="15">
      <c r="A11" s="1605"/>
      <c r="B11" s="1607"/>
      <c r="C11" s="1609"/>
      <c r="D11" s="1609"/>
      <c r="E11" s="1611"/>
      <c r="F11" s="1611"/>
      <c r="G11" s="1602"/>
      <c r="H11" s="1602"/>
      <c r="I11" s="1602"/>
      <c r="J11" s="1602"/>
      <c r="K11" s="1602"/>
      <c r="L11" s="1602"/>
      <c r="M11" s="1356">
        <v>4756</v>
      </c>
      <c r="N11" s="1356">
        <v>4241</v>
      </c>
      <c r="O11" s="1356">
        <v>3725</v>
      </c>
      <c r="P11" s="1356">
        <v>3210</v>
      </c>
      <c r="Q11" s="1356">
        <v>2695</v>
      </c>
      <c r="R11" s="1356">
        <v>2179</v>
      </c>
      <c r="S11" s="1356">
        <v>1664</v>
      </c>
      <c r="T11" s="1356">
        <v>1149</v>
      </c>
      <c r="U11" s="1356">
        <v>634</v>
      </c>
      <c r="V11" s="1356">
        <v>124</v>
      </c>
      <c r="W11" s="1356"/>
      <c r="X11" s="1358"/>
    </row>
    <row r="12" spans="1:26" s="1348" customFormat="1" ht="15">
      <c r="A12" s="1605">
        <v>3</v>
      </c>
      <c r="B12" s="1606" t="s">
        <v>124</v>
      </c>
      <c r="C12" s="1608" t="s">
        <v>810</v>
      </c>
      <c r="D12" s="1608" t="s">
        <v>299</v>
      </c>
      <c r="E12" s="1610">
        <v>41759</v>
      </c>
      <c r="F12" s="1610">
        <v>49064</v>
      </c>
      <c r="G12" s="1601">
        <v>200000</v>
      </c>
      <c r="H12" s="1601">
        <v>111068</v>
      </c>
      <c r="I12" s="1601">
        <v>0</v>
      </c>
      <c r="J12" s="1601">
        <v>8886</v>
      </c>
      <c r="K12" s="1601">
        <f>H12-J12+I12</f>
        <v>102182</v>
      </c>
      <c r="L12" s="1601">
        <v>4605</v>
      </c>
      <c r="M12" s="1356">
        <v>8887</v>
      </c>
      <c r="N12" s="1356">
        <v>8886</v>
      </c>
      <c r="O12" s="1356">
        <v>8886</v>
      </c>
      <c r="P12" s="1356">
        <v>8886</v>
      </c>
      <c r="Q12" s="1356">
        <v>8886</v>
      </c>
      <c r="R12" s="1356">
        <v>8886</v>
      </c>
      <c r="S12" s="1356">
        <v>8886</v>
      </c>
      <c r="T12" s="1356">
        <v>8886</v>
      </c>
      <c r="U12" s="1356">
        <v>8886</v>
      </c>
      <c r="V12" s="1356">
        <v>8886</v>
      </c>
      <c r="W12" s="1356">
        <v>8886</v>
      </c>
      <c r="X12" s="1358">
        <v>4435</v>
      </c>
      <c r="Z12" s="1357"/>
    </row>
    <row r="13" spans="1:24" s="1348" customFormat="1" ht="15">
      <c r="A13" s="1605"/>
      <c r="B13" s="1607"/>
      <c r="C13" s="1609"/>
      <c r="D13" s="1609"/>
      <c r="E13" s="1611"/>
      <c r="F13" s="1611"/>
      <c r="G13" s="1602"/>
      <c r="H13" s="1602"/>
      <c r="I13" s="1602"/>
      <c r="J13" s="1602"/>
      <c r="K13" s="1602"/>
      <c r="L13" s="1602"/>
      <c r="M13" s="1356">
        <v>4225</v>
      </c>
      <c r="N13" s="1356">
        <v>3845</v>
      </c>
      <c r="O13" s="1356">
        <v>3465</v>
      </c>
      <c r="P13" s="1356">
        <v>3085</v>
      </c>
      <c r="Q13" s="1356">
        <v>2706</v>
      </c>
      <c r="R13" s="1356">
        <v>2326</v>
      </c>
      <c r="S13" s="1356">
        <v>1946</v>
      </c>
      <c r="T13" s="1356">
        <v>1566</v>
      </c>
      <c r="U13" s="1356">
        <v>1187</v>
      </c>
      <c r="V13" s="1356">
        <v>807</v>
      </c>
      <c r="W13" s="1356">
        <v>427</v>
      </c>
      <c r="X13" s="1358">
        <v>47</v>
      </c>
    </row>
    <row r="14" spans="1:24" s="1348" customFormat="1" ht="15" customHeight="1">
      <c r="A14" s="1605">
        <v>4</v>
      </c>
      <c r="B14" s="1606" t="s">
        <v>125</v>
      </c>
      <c r="C14" s="1608" t="s">
        <v>809</v>
      </c>
      <c r="D14" s="1608" t="s">
        <v>298</v>
      </c>
      <c r="E14" s="1610">
        <v>41759</v>
      </c>
      <c r="F14" s="1610">
        <v>45285</v>
      </c>
      <c r="G14" s="1601">
        <v>151317</v>
      </c>
      <c r="H14" s="1601">
        <v>38163</v>
      </c>
      <c r="I14" s="1601">
        <v>0</v>
      </c>
      <c r="J14" s="1601">
        <v>19679</v>
      </c>
      <c r="K14" s="1601">
        <f>H14-J14+I14</f>
        <v>18484</v>
      </c>
      <c r="L14" s="1601">
        <v>2075</v>
      </c>
      <c r="M14" s="1356">
        <v>18484</v>
      </c>
      <c r="N14" s="1356"/>
      <c r="O14" s="1356"/>
      <c r="P14" s="1356"/>
      <c r="Q14" s="1356"/>
      <c r="R14" s="1356"/>
      <c r="S14" s="1356"/>
      <c r="T14" s="1356"/>
      <c r="U14" s="1356"/>
      <c r="V14" s="1356"/>
      <c r="W14" s="1356"/>
      <c r="X14" s="1358"/>
    </row>
    <row r="15" spans="1:24" s="1348" customFormat="1" ht="15">
      <c r="A15" s="1605"/>
      <c r="B15" s="1607"/>
      <c r="C15" s="1609"/>
      <c r="D15" s="1609"/>
      <c r="E15" s="1611"/>
      <c r="F15" s="1611"/>
      <c r="G15" s="1602"/>
      <c r="H15" s="1602"/>
      <c r="I15" s="1602"/>
      <c r="J15" s="1602"/>
      <c r="K15" s="1602"/>
      <c r="L15" s="1602"/>
      <c r="M15" s="1356">
        <v>748</v>
      </c>
      <c r="N15" s="1356"/>
      <c r="O15" s="1356"/>
      <c r="P15" s="1356"/>
      <c r="Q15" s="1356"/>
      <c r="R15" s="1356"/>
      <c r="S15" s="1356"/>
      <c r="T15" s="1356"/>
      <c r="U15" s="1356"/>
      <c r="V15" s="1356"/>
      <c r="W15" s="1356"/>
      <c r="X15" s="1358"/>
    </row>
    <row r="16" spans="1:24" s="1348" customFormat="1" ht="15" customHeight="1">
      <c r="A16" s="1605">
        <v>5</v>
      </c>
      <c r="B16" s="1606" t="s">
        <v>126</v>
      </c>
      <c r="C16" s="1608" t="s">
        <v>808</v>
      </c>
      <c r="D16" s="1608" t="s">
        <v>298</v>
      </c>
      <c r="E16" s="1610">
        <v>42943</v>
      </c>
      <c r="F16" s="1610">
        <v>46568</v>
      </c>
      <c r="G16" s="1601">
        <v>99000</v>
      </c>
      <c r="H16" s="1601">
        <v>69000</v>
      </c>
      <c r="I16" s="1601">
        <v>0</v>
      </c>
      <c r="J16" s="1601">
        <v>12000</v>
      </c>
      <c r="K16" s="1601">
        <f>H16-J16+I16</f>
        <v>57000</v>
      </c>
      <c r="L16" s="1601">
        <v>4225</v>
      </c>
      <c r="M16" s="1356">
        <v>12000</v>
      </c>
      <c r="N16" s="1356">
        <v>12000</v>
      </c>
      <c r="O16" s="1356">
        <v>12000</v>
      </c>
      <c r="P16" s="1356">
        <v>12000</v>
      </c>
      <c r="Q16" s="1356">
        <v>9000</v>
      </c>
      <c r="R16" s="1356"/>
      <c r="S16" s="1356"/>
      <c r="T16" s="1356"/>
      <c r="U16" s="1356"/>
      <c r="V16" s="1356"/>
      <c r="W16" s="1356"/>
      <c r="X16" s="1358"/>
    </row>
    <row r="17" spans="1:24" s="1348" customFormat="1" ht="15">
      <c r="A17" s="1605"/>
      <c r="B17" s="1607"/>
      <c r="C17" s="1609"/>
      <c r="D17" s="1609"/>
      <c r="E17" s="1611"/>
      <c r="F17" s="1611"/>
      <c r="G17" s="1602"/>
      <c r="H17" s="1602"/>
      <c r="I17" s="1602"/>
      <c r="J17" s="1602"/>
      <c r="K17" s="1602"/>
      <c r="L17" s="1602"/>
      <c r="M17" s="1356">
        <v>3439</v>
      </c>
      <c r="N17" s="1356">
        <v>2653</v>
      </c>
      <c r="O17" s="1356">
        <v>1867</v>
      </c>
      <c r="P17" s="1356">
        <v>1081</v>
      </c>
      <c r="Q17" s="1356">
        <v>246</v>
      </c>
      <c r="R17" s="1356"/>
      <c r="S17" s="1356"/>
      <c r="T17" s="1356"/>
      <c r="U17" s="1356"/>
      <c r="V17" s="1356"/>
      <c r="W17" s="1356"/>
      <c r="X17" s="1358"/>
    </row>
    <row r="18" spans="1:24" s="1348" customFormat="1" ht="15">
      <c r="A18" s="1605">
        <v>6</v>
      </c>
      <c r="B18" s="1606" t="s">
        <v>207</v>
      </c>
      <c r="C18" s="1608" t="s">
        <v>807</v>
      </c>
      <c r="D18" s="1608" t="s">
        <v>298</v>
      </c>
      <c r="E18" s="1603">
        <v>43641</v>
      </c>
      <c r="F18" s="1603">
        <v>47299</v>
      </c>
      <c r="G18" s="1601">
        <v>1260000</v>
      </c>
      <c r="H18" s="1601">
        <v>964084</v>
      </c>
      <c r="I18" s="1601">
        <v>0</v>
      </c>
      <c r="J18" s="1601">
        <v>152727</v>
      </c>
      <c r="K18" s="1601">
        <f>H18-J18+I18</f>
        <v>811357</v>
      </c>
      <c r="L18" s="1601">
        <v>56947</v>
      </c>
      <c r="M18" s="1356">
        <v>152727</v>
      </c>
      <c r="N18" s="1356">
        <v>152727</v>
      </c>
      <c r="O18" s="1356">
        <v>152727</v>
      </c>
      <c r="P18" s="1356">
        <v>152728</v>
      </c>
      <c r="Q18" s="1356">
        <v>152727</v>
      </c>
      <c r="R18" s="1356">
        <v>47721</v>
      </c>
      <c r="S18" s="1356"/>
      <c r="T18" s="1356"/>
      <c r="U18" s="1356"/>
      <c r="V18" s="1356"/>
      <c r="W18" s="1356"/>
      <c r="X18" s="1358"/>
    </row>
    <row r="19" spans="1:24" s="1348" customFormat="1" ht="15">
      <c r="A19" s="1605"/>
      <c r="B19" s="1607"/>
      <c r="C19" s="1609"/>
      <c r="D19" s="1609"/>
      <c r="E19" s="1604"/>
      <c r="F19" s="1604"/>
      <c r="G19" s="1602"/>
      <c r="H19" s="1602"/>
      <c r="I19" s="1602"/>
      <c r="J19" s="1602"/>
      <c r="K19" s="1602"/>
      <c r="L19" s="1602"/>
      <c r="M19" s="1356">
        <v>47356</v>
      </c>
      <c r="N19" s="1356">
        <v>37765</v>
      </c>
      <c r="O19" s="1356">
        <v>28174</v>
      </c>
      <c r="P19" s="1356">
        <v>18583</v>
      </c>
      <c r="Q19" s="1356">
        <v>8991</v>
      </c>
      <c r="R19" s="1356">
        <v>899</v>
      </c>
      <c r="S19" s="1356"/>
      <c r="T19" s="1356"/>
      <c r="U19" s="1356"/>
      <c r="V19" s="1356"/>
      <c r="W19" s="1356"/>
      <c r="X19" s="1358"/>
    </row>
    <row r="20" spans="1:24" s="1348" customFormat="1" ht="15">
      <c r="A20" s="1605">
        <v>7</v>
      </c>
      <c r="B20" s="1606" t="s">
        <v>301</v>
      </c>
      <c r="C20" s="1608" t="s">
        <v>806</v>
      </c>
      <c r="D20" s="1608" t="s">
        <v>719</v>
      </c>
      <c r="E20" s="1603">
        <v>44424</v>
      </c>
      <c r="F20" s="1603">
        <v>48029</v>
      </c>
      <c r="G20" s="1601">
        <v>561891</v>
      </c>
      <c r="H20" s="1601">
        <v>0</v>
      </c>
      <c r="I20" s="1601">
        <v>561891</v>
      </c>
      <c r="J20" s="1601">
        <v>0</v>
      </c>
      <c r="K20" s="1601">
        <f>H20-J20+I20</f>
        <v>561891</v>
      </c>
      <c r="L20" s="1601">
        <v>25485</v>
      </c>
      <c r="M20" s="1356">
        <v>34054</v>
      </c>
      <c r="N20" s="1356">
        <v>68108</v>
      </c>
      <c r="O20" s="1356">
        <v>68108</v>
      </c>
      <c r="P20" s="1356">
        <v>68108</v>
      </c>
      <c r="Q20" s="1356">
        <v>68108</v>
      </c>
      <c r="R20" s="1356">
        <v>68108</v>
      </c>
      <c r="S20" s="1356">
        <v>68108</v>
      </c>
      <c r="T20" s="1356">
        <v>68108</v>
      </c>
      <c r="U20" s="1356">
        <v>51081</v>
      </c>
      <c r="V20" s="1356"/>
      <c r="W20" s="1356"/>
      <c r="X20" s="1358"/>
    </row>
    <row r="21" spans="1:24" s="1348" customFormat="1" ht="15">
      <c r="A21" s="1605"/>
      <c r="B21" s="1607"/>
      <c r="C21" s="1609"/>
      <c r="D21" s="1609"/>
      <c r="E21" s="1604"/>
      <c r="F21" s="1604"/>
      <c r="G21" s="1602"/>
      <c r="H21" s="1602"/>
      <c r="I21" s="1602"/>
      <c r="J21" s="1602"/>
      <c r="K21" s="1602"/>
      <c r="L21" s="1602"/>
      <c r="M21" s="1356">
        <v>25094</v>
      </c>
      <c r="N21" s="1356">
        <v>22603</v>
      </c>
      <c r="O21" s="1356">
        <v>19539</v>
      </c>
      <c r="P21" s="1356">
        <v>16474</v>
      </c>
      <c r="Q21" s="1356">
        <v>13409</v>
      </c>
      <c r="R21" s="1356">
        <v>10344</v>
      </c>
      <c r="S21" s="1356">
        <v>7279</v>
      </c>
      <c r="T21" s="1356">
        <v>4214</v>
      </c>
      <c r="U21" s="1356">
        <v>1149</v>
      </c>
      <c r="V21" s="1356"/>
      <c r="W21" s="1356"/>
      <c r="X21" s="1358"/>
    </row>
    <row r="22" spans="1:24" s="1348" customFormat="1" ht="30.75" customHeight="1" thickBot="1">
      <c r="A22" s="1345">
        <v>8</v>
      </c>
      <c r="B22" s="1359" t="s">
        <v>394</v>
      </c>
      <c r="C22" s="1360" t="s">
        <v>801</v>
      </c>
      <c r="D22" s="1360" t="s">
        <v>298</v>
      </c>
      <c r="E22" s="1361" t="s">
        <v>802</v>
      </c>
      <c r="F22" s="1362" t="s">
        <v>803</v>
      </c>
      <c r="G22" s="1363"/>
      <c r="H22" s="1363">
        <v>0</v>
      </c>
      <c r="I22" s="1363">
        <v>0</v>
      </c>
      <c r="J22" s="1363">
        <v>0</v>
      </c>
      <c r="K22" s="1363">
        <f>H22-J22+I22</f>
        <v>0</v>
      </c>
      <c r="L22" s="1363">
        <f>1500000/360*200/2*6.3/100</f>
        <v>26250</v>
      </c>
      <c r="M22" s="1363"/>
      <c r="N22" s="1363"/>
      <c r="O22" s="1363"/>
      <c r="P22" s="1363"/>
      <c r="Q22" s="1364"/>
      <c r="R22" s="1364"/>
      <c r="S22" s="1364"/>
      <c r="T22" s="1364"/>
      <c r="U22" s="1364"/>
      <c r="V22" s="1364"/>
      <c r="W22" s="1364"/>
      <c r="X22" s="1365"/>
    </row>
    <row r="23" spans="1:26" s="1368" customFormat="1" ht="30.75" customHeight="1" thickBot="1" thickTop="1">
      <c r="A23" s="1345">
        <v>9</v>
      </c>
      <c r="B23" s="1366" t="s">
        <v>236</v>
      </c>
      <c r="C23" s="1367" t="s">
        <v>302</v>
      </c>
      <c r="D23" s="1367"/>
      <c r="E23" s="1367"/>
      <c r="F23" s="1367"/>
      <c r="G23" s="1367"/>
      <c r="H23" s="1380">
        <f aca="true" t="shared" si="0" ref="H23:S23">SUM(H8:H22)</f>
        <v>1291835</v>
      </c>
      <c r="I23" s="1380">
        <f t="shared" si="0"/>
        <v>561891</v>
      </c>
      <c r="J23" s="1380">
        <f t="shared" si="0"/>
        <v>214550</v>
      </c>
      <c r="K23" s="1380">
        <f t="shared" si="0"/>
        <v>1639176</v>
      </c>
      <c r="L23" s="1380">
        <f t="shared" si="0"/>
        <v>125311</v>
      </c>
      <c r="M23" s="1380">
        <f t="shared" si="0"/>
        <v>323321</v>
      </c>
      <c r="N23" s="1380">
        <f t="shared" si="0"/>
        <v>321746</v>
      </c>
      <c r="O23" s="1380">
        <f t="shared" si="0"/>
        <v>307409</v>
      </c>
      <c r="P23" s="1380">
        <f t="shared" si="0"/>
        <v>293073</v>
      </c>
      <c r="Q23" s="1380">
        <f t="shared" si="0"/>
        <v>275686</v>
      </c>
      <c r="R23" s="1380">
        <f t="shared" si="0"/>
        <v>149381</v>
      </c>
      <c r="S23" s="1380">
        <f t="shared" si="0"/>
        <v>96801</v>
      </c>
      <c r="T23" s="1380">
        <f>SUM(T8:T22)</f>
        <v>92841</v>
      </c>
      <c r="U23" s="1380">
        <f>SUM(U8:U22)</f>
        <v>71855</v>
      </c>
      <c r="V23" s="1380">
        <f>SUM(V8:V22)</f>
        <v>15212</v>
      </c>
      <c r="W23" s="1380">
        <f>SUM(W8:W22)</f>
        <v>9313</v>
      </c>
      <c r="X23" s="1381">
        <f>SUM(X8:X22)</f>
        <v>4482</v>
      </c>
      <c r="Y23" s="1351"/>
      <c r="Z23" s="1348"/>
    </row>
    <row r="24" spans="1:26" s="1348" customFormat="1" ht="30.75" customHeight="1" thickTop="1">
      <c r="A24" s="1382">
        <v>10</v>
      </c>
      <c r="B24" s="1369"/>
      <c r="C24" s="1370" t="s">
        <v>804</v>
      </c>
      <c r="D24" s="1371"/>
      <c r="E24" s="1371"/>
      <c r="F24" s="1371"/>
      <c r="G24" s="1371"/>
      <c r="H24" s="1371"/>
      <c r="I24" s="1371"/>
      <c r="J24" s="1371"/>
      <c r="K24" s="1371"/>
      <c r="L24" s="1371"/>
      <c r="M24" s="1372">
        <f>M8+M10+M12+M14+M16+M18+M20</f>
        <v>237675</v>
      </c>
      <c r="N24" s="1372">
        <f aca="true" t="shared" si="1" ref="N24:X25">N8+N10+N12+N14+N16+N18+N20</f>
        <v>250639</v>
      </c>
      <c r="O24" s="1372">
        <f t="shared" si="1"/>
        <v>250639</v>
      </c>
      <c r="P24" s="1372">
        <f t="shared" si="1"/>
        <v>250640</v>
      </c>
      <c r="Q24" s="1372">
        <f t="shared" si="1"/>
        <v>247639</v>
      </c>
      <c r="R24" s="1372">
        <f t="shared" si="1"/>
        <v>133633</v>
      </c>
      <c r="S24" s="1372">
        <f t="shared" si="1"/>
        <v>85912</v>
      </c>
      <c r="T24" s="1372">
        <f t="shared" si="1"/>
        <v>85912</v>
      </c>
      <c r="U24" s="1372">
        <f t="shared" si="1"/>
        <v>68885</v>
      </c>
      <c r="V24" s="1372">
        <f t="shared" si="1"/>
        <v>14281</v>
      </c>
      <c r="W24" s="1372">
        <f t="shared" si="1"/>
        <v>8886</v>
      </c>
      <c r="X24" s="1373">
        <f t="shared" si="1"/>
        <v>4435</v>
      </c>
      <c r="Z24" s="1368"/>
    </row>
    <row r="25" spans="1:24" s="1348" customFormat="1" ht="30.75" customHeight="1" thickBot="1">
      <c r="A25" s="1382">
        <v>11</v>
      </c>
      <c r="B25" s="1374"/>
      <c r="C25" s="1375" t="s">
        <v>805</v>
      </c>
      <c r="D25" s="1376"/>
      <c r="E25" s="1376"/>
      <c r="F25" s="1376"/>
      <c r="G25" s="1376"/>
      <c r="H25" s="1376"/>
      <c r="I25" s="1376"/>
      <c r="J25" s="1376"/>
      <c r="K25" s="1376"/>
      <c r="L25" s="1376"/>
      <c r="M25" s="1377">
        <f>M9+M11+M13+M15+M17+M19+M21</f>
        <v>85646</v>
      </c>
      <c r="N25" s="1377">
        <f t="shared" si="1"/>
        <v>71107</v>
      </c>
      <c r="O25" s="1377">
        <f t="shared" si="1"/>
        <v>56770</v>
      </c>
      <c r="P25" s="1377">
        <f t="shared" si="1"/>
        <v>42433</v>
      </c>
      <c r="Q25" s="1377">
        <f t="shared" si="1"/>
        <v>28047</v>
      </c>
      <c r="R25" s="1377">
        <f t="shared" si="1"/>
        <v>15748</v>
      </c>
      <c r="S25" s="1377">
        <f t="shared" si="1"/>
        <v>10889</v>
      </c>
      <c r="T25" s="1377">
        <f t="shared" si="1"/>
        <v>6929</v>
      </c>
      <c r="U25" s="1377">
        <f t="shared" si="1"/>
        <v>2970</v>
      </c>
      <c r="V25" s="1377">
        <f t="shared" si="1"/>
        <v>931</v>
      </c>
      <c r="W25" s="1377">
        <f t="shared" si="1"/>
        <v>427</v>
      </c>
      <c r="X25" s="1378">
        <f t="shared" si="1"/>
        <v>47</v>
      </c>
    </row>
    <row r="26" spans="13:26" ht="16.5">
      <c r="M26" s="1379"/>
      <c r="N26" s="1379"/>
      <c r="O26" s="1379"/>
      <c r="P26" s="1379"/>
      <c r="Q26" s="1379"/>
      <c r="R26" s="1379"/>
      <c r="S26" s="1379"/>
      <c r="T26" s="1379"/>
      <c r="U26" s="1379"/>
      <c r="V26" s="1379"/>
      <c r="W26" s="1379"/>
      <c r="X26" s="1379"/>
      <c r="Z26" s="1348"/>
    </row>
  </sheetData>
  <sheetProtection/>
  <mergeCells count="93">
    <mergeCell ref="B6:C6"/>
    <mergeCell ref="B7:C7"/>
    <mergeCell ref="B1:F1"/>
    <mergeCell ref="G1:R1"/>
    <mergeCell ref="R5:S5"/>
    <mergeCell ref="B2:X2"/>
    <mergeCell ref="B3:X3"/>
    <mergeCell ref="B4:X4"/>
    <mergeCell ref="W5:X5"/>
    <mergeCell ref="H8:H9"/>
    <mergeCell ref="I8:I9"/>
    <mergeCell ref="J8:J9"/>
    <mergeCell ref="A8:A9"/>
    <mergeCell ref="B8:B9"/>
    <mergeCell ref="C8:C9"/>
    <mergeCell ref="D8:D9"/>
    <mergeCell ref="E8:E9"/>
    <mergeCell ref="K8:K9"/>
    <mergeCell ref="L8:L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F8:F9"/>
    <mergeCell ref="G8:G9"/>
    <mergeCell ref="H12:H13"/>
    <mergeCell ref="I12:I13"/>
    <mergeCell ref="J12:J13"/>
    <mergeCell ref="A12:A13"/>
    <mergeCell ref="B12:B13"/>
    <mergeCell ref="C12:C13"/>
    <mergeCell ref="D12:D13"/>
    <mergeCell ref="E12:E13"/>
    <mergeCell ref="K12:K13"/>
    <mergeCell ref="L12:L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F12:F13"/>
    <mergeCell ref="G12:G13"/>
    <mergeCell ref="H16:H17"/>
    <mergeCell ref="I16:I17"/>
    <mergeCell ref="J16:J17"/>
    <mergeCell ref="A16:A17"/>
    <mergeCell ref="B16:B17"/>
    <mergeCell ref="C16:C17"/>
    <mergeCell ref="D16:D17"/>
    <mergeCell ref="E16:E17"/>
    <mergeCell ref="K16:K17"/>
    <mergeCell ref="L16:L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F16:F17"/>
    <mergeCell ref="G16:G17"/>
    <mergeCell ref="A20:A21"/>
    <mergeCell ref="B20:B21"/>
    <mergeCell ref="C20:C21"/>
    <mergeCell ref="D20:D21"/>
    <mergeCell ref="E20:E21"/>
    <mergeCell ref="K20:K21"/>
    <mergeCell ref="L20:L21"/>
    <mergeCell ref="F20:F21"/>
    <mergeCell ref="G20:G21"/>
    <mergeCell ref="H20:H21"/>
    <mergeCell ref="I20:I21"/>
    <mergeCell ref="J20:J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9"/>
  <sheetViews>
    <sheetView view="pageBreakPreview" zoomScaleSheetLayoutView="100" zoomScalePageLayoutView="0" workbookViewId="0" topLeftCell="A1">
      <selection activeCell="A4" sqref="A4:E4"/>
    </sheetView>
  </sheetViews>
  <sheetFormatPr defaultColWidth="3.00390625" defaultRowHeight="12.75"/>
  <cols>
    <col min="1" max="3" width="4.375" style="358" customWidth="1"/>
    <col min="4" max="4" width="58.375" style="364" customWidth="1"/>
    <col min="5" max="5" width="17.625" style="365" customWidth="1"/>
    <col min="6" max="252" width="8.00390625" style="362" customWidth="1"/>
    <col min="253" max="253" width="3.00390625" style="362" bestFit="1" customWidth="1"/>
    <col min="254" max="16384" width="3.00390625" style="40" customWidth="1"/>
  </cols>
  <sheetData>
    <row r="1" spans="2:254" ht="17.25">
      <c r="B1" s="1" t="s">
        <v>829</v>
      </c>
      <c r="D1" s="1"/>
      <c r="E1" s="359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  <c r="AJ1" s="360"/>
      <c r="AK1" s="360"/>
      <c r="AL1" s="360"/>
      <c r="AM1" s="360"/>
      <c r="AN1" s="360"/>
      <c r="AO1" s="360"/>
      <c r="AP1" s="360"/>
      <c r="AQ1" s="360"/>
      <c r="AR1" s="360"/>
      <c r="AS1" s="360"/>
      <c r="AT1" s="360"/>
      <c r="AU1" s="360"/>
      <c r="AV1" s="360"/>
      <c r="AW1" s="360"/>
      <c r="AX1" s="360"/>
      <c r="AY1" s="360"/>
      <c r="AZ1" s="360"/>
      <c r="BA1" s="360"/>
      <c r="BB1" s="360"/>
      <c r="BC1" s="360"/>
      <c r="BD1" s="360"/>
      <c r="BE1" s="360"/>
      <c r="BF1" s="360"/>
      <c r="BG1" s="360"/>
      <c r="BH1" s="360"/>
      <c r="BI1" s="360"/>
      <c r="BJ1" s="360"/>
      <c r="BK1" s="360"/>
      <c r="BL1" s="360"/>
      <c r="BM1" s="360"/>
      <c r="BN1" s="360"/>
      <c r="BO1" s="360"/>
      <c r="BP1" s="360"/>
      <c r="BQ1" s="360"/>
      <c r="BR1" s="360"/>
      <c r="BS1" s="360"/>
      <c r="BT1" s="360"/>
      <c r="BU1" s="360"/>
      <c r="BV1" s="360"/>
      <c r="BW1" s="360"/>
      <c r="BX1" s="360"/>
      <c r="BY1" s="360"/>
      <c r="BZ1" s="360"/>
      <c r="CA1" s="360"/>
      <c r="CB1" s="360"/>
      <c r="CC1" s="360"/>
      <c r="CD1" s="360"/>
      <c r="CE1" s="360"/>
      <c r="CF1" s="360"/>
      <c r="CG1" s="360"/>
      <c r="CH1" s="360"/>
      <c r="CI1" s="360"/>
      <c r="CJ1" s="360"/>
      <c r="CK1" s="360"/>
      <c r="CL1" s="360"/>
      <c r="CM1" s="360"/>
      <c r="CN1" s="360"/>
      <c r="CO1" s="360"/>
      <c r="CP1" s="360"/>
      <c r="CQ1" s="360"/>
      <c r="CR1" s="360"/>
      <c r="CS1" s="360"/>
      <c r="CT1" s="360"/>
      <c r="CU1" s="360"/>
      <c r="CV1" s="360"/>
      <c r="CW1" s="360"/>
      <c r="CX1" s="360"/>
      <c r="CY1" s="360"/>
      <c r="CZ1" s="360"/>
      <c r="DA1" s="360"/>
      <c r="DB1" s="360"/>
      <c r="DC1" s="360"/>
      <c r="DD1" s="360"/>
      <c r="DE1" s="360"/>
      <c r="DF1" s="360"/>
      <c r="DG1" s="360"/>
      <c r="DH1" s="360"/>
      <c r="DI1" s="360"/>
      <c r="DJ1" s="360"/>
      <c r="DK1" s="360"/>
      <c r="DL1" s="360"/>
      <c r="DM1" s="360"/>
      <c r="DN1" s="360"/>
      <c r="DO1" s="360"/>
      <c r="DP1" s="360"/>
      <c r="DQ1" s="360"/>
      <c r="DR1" s="360"/>
      <c r="DS1" s="360"/>
      <c r="DT1" s="360"/>
      <c r="DU1" s="360"/>
      <c r="DV1" s="360"/>
      <c r="DW1" s="360"/>
      <c r="DX1" s="360"/>
      <c r="DY1" s="360"/>
      <c r="DZ1" s="360"/>
      <c r="EA1" s="360"/>
      <c r="EB1" s="360"/>
      <c r="EC1" s="360"/>
      <c r="ED1" s="360"/>
      <c r="EE1" s="360"/>
      <c r="EF1" s="360"/>
      <c r="EG1" s="360"/>
      <c r="EH1" s="360"/>
      <c r="EI1" s="360"/>
      <c r="EJ1" s="360"/>
      <c r="EK1" s="360"/>
      <c r="EL1" s="360"/>
      <c r="EM1" s="360"/>
      <c r="EN1" s="360"/>
      <c r="EO1" s="360"/>
      <c r="EP1" s="360"/>
      <c r="EQ1" s="360"/>
      <c r="ER1" s="360"/>
      <c r="ES1" s="360"/>
      <c r="ET1" s="360"/>
      <c r="EU1" s="360"/>
      <c r="EV1" s="360"/>
      <c r="EW1" s="360"/>
      <c r="EX1" s="360"/>
      <c r="EY1" s="360"/>
      <c r="EZ1" s="360"/>
      <c r="FA1" s="360"/>
      <c r="FB1" s="360"/>
      <c r="FC1" s="360"/>
      <c r="FD1" s="360"/>
      <c r="FE1" s="360"/>
      <c r="FF1" s="360"/>
      <c r="FG1" s="360"/>
      <c r="FH1" s="360"/>
      <c r="FI1" s="360"/>
      <c r="FJ1" s="360"/>
      <c r="FK1" s="360"/>
      <c r="FL1" s="360"/>
      <c r="FM1" s="360"/>
      <c r="FN1" s="360"/>
      <c r="FO1" s="360"/>
      <c r="FP1" s="360"/>
      <c r="FQ1" s="360"/>
      <c r="FR1" s="360"/>
      <c r="FS1" s="360"/>
      <c r="FT1" s="360"/>
      <c r="FU1" s="360"/>
      <c r="FV1" s="360"/>
      <c r="FW1" s="360"/>
      <c r="FX1" s="360"/>
      <c r="FY1" s="360"/>
      <c r="FZ1" s="360"/>
      <c r="GA1" s="360"/>
      <c r="GB1" s="360"/>
      <c r="GC1" s="360"/>
      <c r="GD1" s="360"/>
      <c r="GE1" s="360"/>
      <c r="GF1" s="360"/>
      <c r="GG1" s="360"/>
      <c r="GH1" s="360"/>
      <c r="GI1" s="360"/>
      <c r="GJ1" s="360"/>
      <c r="GK1" s="360"/>
      <c r="GL1" s="360"/>
      <c r="GM1" s="360"/>
      <c r="GN1" s="360"/>
      <c r="GO1" s="360"/>
      <c r="GP1" s="360"/>
      <c r="GQ1" s="360"/>
      <c r="GR1" s="360"/>
      <c r="GS1" s="360"/>
      <c r="GT1" s="360"/>
      <c r="GU1" s="360"/>
      <c r="GV1" s="360"/>
      <c r="GW1" s="360"/>
      <c r="GX1" s="360"/>
      <c r="GY1" s="360"/>
      <c r="GZ1" s="360"/>
      <c r="HA1" s="360"/>
      <c r="HB1" s="360"/>
      <c r="HC1" s="360"/>
      <c r="HD1" s="360"/>
      <c r="HE1" s="360"/>
      <c r="HF1" s="360"/>
      <c r="HG1" s="360"/>
      <c r="HH1" s="360"/>
      <c r="HI1" s="360"/>
      <c r="HJ1" s="360"/>
      <c r="HK1" s="360"/>
      <c r="HL1" s="360"/>
      <c r="HM1" s="360"/>
      <c r="HN1" s="360"/>
      <c r="HO1" s="360"/>
      <c r="HP1" s="360"/>
      <c r="HQ1" s="360"/>
      <c r="HR1" s="360"/>
      <c r="HS1" s="360"/>
      <c r="HT1" s="360"/>
      <c r="HU1" s="360"/>
      <c r="HV1" s="360"/>
      <c r="HW1" s="360"/>
      <c r="HX1" s="360"/>
      <c r="HY1" s="360"/>
      <c r="HZ1" s="360"/>
      <c r="IA1" s="360"/>
      <c r="IB1" s="360"/>
      <c r="IC1" s="360"/>
      <c r="ID1" s="360"/>
      <c r="IE1" s="360"/>
      <c r="IF1" s="360"/>
      <c r="IG1" s="360"/>
      <c r="IH1" s="360"/>
      <c r="II1" s="360"/>
      <c r="IJ1" s="360"/>
      <c r="IK1" s="360"/>
      <c r="IL1" s="360"/>
      <c r="IM1" s="360"/>
      <c r="IN1" s="360"/>
      <c r="IO1" s="360"/>
      <c r="IP1" s="360"/>
      <c r="IQ1" s="360"/>
      <c r="IR1" s="360"/>
      <c r="IS1" s="360"/>
      <c r="IT1" s="157"/>
    </row>
    <row r="2" spans="4:254" ht="17.25">
      <c r="D2" s="806"/>
      <c r="E2" s="359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  <c r="AO2" s="360"/>
      <c r="AP2" s="360"/>
      <c r="AQ2" s="360"/>
      <c r="AR2" s="360"/>
      <c r="AS2" s="360"/>
      <c r="AT2" s="360"/>
      <c r="AU2" s="360"/>
      <c r="AV2" s="360"/>
      <c r="AW2" s="360"/>
      <c r="AX2" s="360"/>
      <c r="AY2" s="360"/>
      <c r="AZ2" s="360"/>
      <c r="BA2" s="360"/>
      <c r="BB2" s="360"/>
      <c r="BC2" s="360"/>
      <c r="BD2" s="360"/>
      <c r="BE2" s="360"/>
      <c r="BF2" s="360"/>
      <c r="BG2" s="360"/>
      <c r="BH2" s="360"/>
      <c r="BI2" s="360"/>
      <c r="BJ2" s="360"/>
      <c r="BK2" s="360"/>
      <c r="BL2" s="360"/>
      <c r="BM2" s="360"/>
      <c r="BN2" s="360"/>
      <c r="BO2" s="360"/>
      <c r="BP2" s="360"/>
      <c r="BQ2" s="360"/>
      <c r="BR2" s="360"/>
      <c r="BS2" s="360"/>
      <c r="BT2" s="360"/>
      <c r="BU2" s="360"/>
      <c r="BV2" s="360"/>
      <c r="BW2" s="360"/>
      <c r="BX2" s="360"/>
      <c r="BY2" s="360"/>
      <c r="BZ2" s="360"/>
      <c r="CA2" s="360"/>
      <c r="CB2" s="360"/>
      <c r="CC2" s="360"/>
      <c r="CD2" s="360"/>
      <c r="CE2" s="360"/>
      <c r="CF2" s="360"/>
      <c r="CG2" s="360"/>
      <c r="CH2" s="360"/>
      <c r="CI2" s="360"/>
      <c r="CJ2" s="360"/>
      <c r="CK2" s="360"/>
      <c r="CL2" s="360"/>
      <c r="CM2" s="360"/>
      <c r="CN2" s="360"/>
      <c r="CO2" s="360"/>
      <c r="CP2" s="360"/>
      <c r="CQ2" s="360"/>
      <c r="CR2" s="360"/>
      <c r="CS2" s="360"/>
      <c r="CT2" s="360"/>
      <c r="CU2" s="360"/>
      <c r="CV2" s="360"/>
      <c r="CW2" s="360"/>
      <c r="CX2" s="360"/>
      <c r="CY2" s="360"/>
      <c r="CZ2" s="360"/>
      <c r="DA2" s="360"/>
      <c r="DB2" s="360"/>
      <c r="DC2" s="360"/>
      <c r="DD2" s="360"/>
      <c r="DE2" s="360"/>
      <c r="DF2" s="360"/>
      <c r="DG2" s="360"/>
      <c r="DH2" s="360"/>
      <c r="DI2" s="360"/>
      <c r="DJ2" s="360"/>
      <c r="DK2" s="360"/>
      <c r="DL2" s="360"/>
      <c r="DM2" s="360"/>
      <c r="DN2" s="360"/>
      <c r="DO2" s="360"/>
      <c r="DP2" s="360"/>
      <c r="DQ2" s="360"/>
      <c r="DR2" s="360"/>
      <c r="DS2" s="360"/>
      <c r="DT2" s="360"/>
      <c r="DU2" s="360"/>
      <c r="DV2" s="360"/>
      <c r="DW2" s="360"/>
      <c r="DX2" s="360"/>
      <c r="DY2" s="360"/>
      <c r="DZ2" s="360"/>
      <c r="EA2" s="360"/>
      <c r="EB2" s="360"/>
      <c r="EC2" s="360"/>
      <c r="ED2" s="360"/>
      <c r="EE2" s="360"/>
      <c r="EF2" s="360"/>
      <c r="EG2" s="360"/>
      <c r="EH2" s="360"/>
      <c r="EI2" s="360"/>
      <c r="EJ2" s="360"/>
      <c r="EK2" s="360"/>
      <c r="EL2" s="360"/>
      <c r="EM2" s="360"/>
      <c r="EN2" s="360"/>
      <c r="EO2" s="360"/>
      <c r="EP2" s="360"/>
      <c r="EQ2" s="360"/>
      <c r="ER2" s="360"/>
      <c r="ES2" s="360"/>
      <c r="ET2" s="360"/>
      <c r="EU2" s="360"/>
      <c r="EV2" s="360"/>
      <c r="EW2" s="360"/>
      <c r="EX2" s="360"/>
      <c r="EY2" s="360"/>
      <c r="EZ2" s="360"/>
      <c r="FA2" s="360"/>
      <c r="FB2" s="360"/>
      <c r="FC2" s="360"/>
      <c r="FD2" s="360"/>
      <c r="FE2" s="360"/>
      <c r="FF2" s="360"/>
      <c r="FG2" s="360"/>
      <c r="FH2" s="360"/>
      <c r="FI2" s="360"/>
      <c r="FJ2" s="360"/>
      <c r="FK2" s="360"/>
      <c r="FL2" s="360"/>
      <c r="FM2" s="360"/>
      <c r="FN2" s="360"/>
      <c r="FO2" s="360"/>
      <c r="FP2" s="360"/>
      <c r="FQ2" s="360"/>
      <c r="FR2" s="360"/>
      <c r="FS2" s="360"/>
      <c r="FT2" s="360"/>
      <c r="FU2" s="360"/>
      <c r="FV2" s="360"/>
      <c r="FW2" s="360"/>
      <c r="FX2" s="360"/>
      <c r="FY2" s="360"/>
      <c r="FZ2" s="360"/>
      <c r="GA2" s="360"/>
      <c r="GB2" s="360"/>
      <c r="GC2" s="360"/>
      <c r="GD2" s="360"/>
      <c r="GE2" s="360"/>
      <c r="GF2" s="360"/>
      <c r="GG2" s="360"/>
      <c r="GH2" s="360"/>
      <c r="GI2" s="360"/>
      <c r="GJ2" s="360"/>
      <c r="GK2" s="360"/>
      <c r="GL2" s="360"/>
      <c r="GM2" s="360"/>
      <c r="GN2" s="360"/>
      <c r="GO2" s="360"/>
      <c r="GP2" s="360"/>
      <c r="GQ2" s="360"/>
      <c r="GR2" s="360"/>
      <c r="GS2" s="360"/>
      <c r="GT2" s="360"/>
      <c r="GU2" s="360"/>
      <c r="GV2" s="360"/>
      <c r="GW2" s="360"/>
      <c r="GX2" s="360"/>
      <c r="GY2" s="360"/>
      <c r="GZ2" s="360"/>
      <c r="HA2" s="360"/>
      <c r="HB2" s="360"/>
      <c r="HC2" s="360"/>
      <c r="HD2" s="360"/>
      <c r="HE2" s="360"/>
      <c r="HF2" s="360"/>
      <c r="HG2" s="360"/>
      <c r="HH2" s="360"/>
      <c r="HI2" s="360"/>
      <c r="HJ2" s="360"/>
      <c r="HK2" s="360"/>
      <c r="HL2" s="360"/>
      <c r="HM2" s="360"/>
      <c r="HN2" s="360"/>
      <c r="HO2" s="360"/>
      <c r="HP2" s="360"/>
      <c r="HQ2" s="360"/>
      <c r="HR2" s="360"/>
      <c r="HS2" s="360"/>
      <c r="HT2" s="360"/>
      <c r="HU2" s="360"/>
      <c r="HV2" s="360"/>
      <c r="HW2" s="360"/>
      <c r="HX2" s="360"/>
      <c r="HY2" s="360"/>
      <c r="HZ2" s="360"/>
      <c r="IA2" s="360"/>
      <c r="IB2" s="360"/>
      <c r="IC2" s="360"/>
      <c r="ID2" s="360"/>
      <c r="IE2" s="360"/>
      <c r="IF2" s="360"/>
      <c r="IG2" s="360"/>
      <c r="IH2" s="360"/>
      <c r="II2" s="360"/>
      <c r="IJ2" s="360"/>
      <c r="IK2" s="360"/>
      <c r="IL2" s="360"/>
      <c r="IM2" s="360"/>
      <c r="IN2" s="360"/>
      <c r="IO2" s="360"/>
      <c r="IP2" s="360"/>
      <c r="IQ2" s="360"/>
      <c r="IR2" s="360"/>
      <c r="IS2" s="360"/>
      <c r="IT2" s="157"/>
    </row>
    <row r="3" spans="1:254" ht="17.25">
      <c r="A3" s="1623" t="s">
        <v>542</v>
      </c>
      <c r="B3" s="1623"/>
      <c r="C3" s="1623"/>
      <c r="D3" s="1623"/>
      <c r="E3" s="1623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1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1"/>
      <c r="BO3" s="361"/>
      <c r="BP3" s="361"/>
      <c r="BQ3" s="361"/>
      <c r="BR3" s="361"/>
      <c r="BS3" s="361"/>
      <c r="BT3" s="361"/>
      <c r="BU3" s="361"/>
      <c r="BV3" s="361"/>
      <c r="BW3" s="361"/>
      <c r="BX3" s="361"/>
      <c r="BY3" s="361"/>
      <c r="BZ3" s="361"/>
      <c r="CA3" s="361"/>
      <c r="CB3" s="361"/>
      <c r="CC3" s="361"/>
      <c r="CD3" s="361"/>
      <c r="CE3" s="361"/>
      <c r="CF3" s="361"/>
      <c r="CG3" s="361"/>
      <c r="CH3" s="361"/>
      <c r="CI3" s="361"/>
      <c r="CJ3" s="361"/>
      <c r="CK3" s="361"/>
      <c r="CL3" s="361"/>
      <c r="CM3" s="361"/>
      <c r="CN3" s="361"/>
      <c r="CO3" s="361"/>
      <c r="CP3" s="361"/>
      <c r="CQ3" s="361"/>
      <c r="CR3" s="361"/>
      <c r="CS3" s="361"/>
      <c r="CT3" s="361"/>
      <c r="CU3" s="361"/>
      <c r="CV3" s="361"/>
      <c r="CW3" s="361"/>
      <c r="CX3" s="361"/>
      <c r="CY3" s="361"/>
      <c r="CZ3" s="361"/>
      <c r="DA3" s="361"/>
      <c r="DB3" s="361"/>
      <c r="DC3" s="361"/>
      <c r="DD3" s="361"/>
      <c r="DE3" s="361"/>
      <c r="DF3" s="361"/>
      <c r="DG3" s="361"/>
      <c r="DH3" s="361"/>
      <c r="DI3" s="361"/>
      <c r="DJ3" s="361"/>
      <c r="DK3" s="361"/>
      <c r="DL3" s="361"/>
      <c r="DM3" s="361"/>
      <c r="DN3" s="361"/>
      <c r="DO3" s="361"/>
      <c r="DP3" s="361"/>
      <c r="DQ3" s="361"/>
      <c r="DR3" s="361"/>
      <c r="DS3" s="361"/>
      <c r="DT3" s="361"/>
      <c r="DU3" s="361"/>
      <c r="DV3" s="361"/>
      <c r="DW3" s="361"/>
      <c r="DX3" s="361"/>
      <c r="DY3" s="361"/>
      <c r="DZ3" s="361"/>
      <c r="EA3" s="361"/>
      <c r="EB3" s="361"/>
      <c r="EC3" s="361"/>
      <c r="ED3" s="361"/>
      <c r="EE3" s="361"/>
      <c r="EF3" s="361"/>
      <c r="EG3" s="361"/>
      <c r="EH3" s="361"/>
      <c r="EI3" s="361"/>
      <c r="EJ3" s="361"/>
      <c r="EK3" s="361"/>
      <c r="EL3" s="361"/>
      <c r="EM3" s="361"/>
      <c r="EN3" s="361"/>
      <c r="EO3" s="361"/>
      <c r="EP3" s="361"/>
      <c r="EQ3" s="361"/>
      <c r="ER3" s="361"/>
      <c r="ES3" s="361"/>
      <c r="ET3" s="361"/>
      <c r="EU3" s="361"/>
      <c r="EV3" s="361"/>
      <c r="EW3" s="361"/>
      <c r="EX3" s="361"/>
      <c r="EY3" s="361"/>
      <c r="EZ3" s="361"/>
      <c r="FA3" s="361"/>
      <c r="FB3" s="361"/>
      <c r="FC3" s="361"/>
      <c r="FD3" s="361"/>
      <c r="FE3" s="361"/>
      <c r="FF3" s="361"/>
      <c r="FG3" s="361"/>
      <c r="FH3" s="361"/>
      <c r="FI3" s="361"/>
      <c r="FJ3" s="361"/>
      <c r="FK3" s="361"/>
      <c r="FL3" s="361"/>
      <c r="FM3" s="361"/>
      <c r="FN3" s="361"/>
      <c r="FO3" s="361"/>
      <c r="FP3" s="361"/>
      <c r="FQ3" s="361"/>
      <c r="FR3" s="361"/>
      <c r="FS3" s="361"/>
      <c r="FT3" s="361"/>
      <c r="FU3" s="361"/>
      <c r="FV3" s="361"/>
      <c r="FW3" s="361"/>
      <c r="FX3" s="361"/>
      <c r="FY3" s="361"/>
      <c r="FZ3" s="361"/>
      <c r="GA3" s="361"/>
      <c r="GB3" s="361"/>
      <c r="GC3" s="361"/>
      <c r="GD3" s="361"/>
      <c r="GE3" s="361"/>
      <c r="GF3" s="361"/>
      <c r="GG3" s="361"/>
      <c r="GH3" s="361"/>
      <c r="GI3" s="361"/>
      <c r="GJ3" s="361"/>
      <c r="GK3" s="361"/>
      <c r="GL3" s="361"/>
      <c r="GM3" s="361"/>
      <c r="GN3" s="361"/>
      <c r="GO3" s="361"/>
      <c r="GP3" s="361"/>
      <c r="GQ3" s="361"/>
      <c r="GR3" s="361"/>
      <c r="GS3" s="361"/>
      <c r="GT3" s="361"/>
      <c r="GU3" s="361"/>
      <c r="GV3" s="361"/>
      <c r="GW3" s="361"/>
      <c r="GX3" s="361"/>
      <c r="GY3" s="361"/>
      <c r="GZ3" s="361"/>
      <c r="HA3" s="361"/>
      <c r="HB3" s="361"/>
      <c r="HC3" s="361"/>
      <c r="HD3" s="361"/>
      <c r="HE3" s="361"/>
      <c r="HF3" s="361"/>
      <c r="HG3" s="361"/>
      <c r="HH3" s="361"/>
      <c r="HI3" s="361"/>
      <c r="HJ3" s="361"/>
      <c r="HK3" s="361"/>
      <c r="HL3" s="361"/>
      <c r="HM3" s="361"/>
      <c r="HN3" s="361"/>
      <c r="HO3" s="361"/>
      <c r="HP3" s="361"/>
      <c r="HQ3" s="361"/>
      <c r="HR3" s="361"/>
      <c r="HS3" s="361"/>
      <c r="HT3" s="361"/>
      <c r="HU3" s="361"/>
      <c r="HV3" s="361"/>
      <c r="HW3" s="361"/>
      <c r="HX3" s="361"/>
      <c r="HY3" s="361"/>
      <c r="HZ3" s="361"/>
      <c r="IA3" s="361"/>
      <c r="IB3" s="361"/>
      <c r="IC3" s="361"/>
      <c r="ID3" s="361"/>
      <c r="IE3" s="361"/>
      <c r="IF3" s="361"/>
      <c r="IG3" s="361"/>
      <c r="IH3" s="361"/>
      <c r="II3" s="361"/>
      <c r="IJ3" s="361"/>
      <c r="IK3" s="361"/>
      <c r="IL3" s="361"/>
      <c r="IM3" s="361"/>
      <c r="IN3" s="361"/>
      <c r="IO3" s="361"/>
      <c r="IP3" s="361"/>
      <c r="IQ3" s="361"/>
      <c r="IR3" s="361"/>
      <c r="IS3" s="361"/>
      <c r="IT3" s="41"/>
    </row>
    <row r="4" spans="1:5" ht="17.25">
      <c r="A4" s="1624" t="s">
        <v>720</v>
      </c>
      <c r="B4" s="1624"/>
      <c r="C4" s="1624"/>
      <c r="D4" s="1624"/>
      <c r="E4" s="1624"/>
    </row>
    <row r="5" spans="4:5" ht="17.25">
      <c r="D5" s="807"/>
      <c r="E5" s="807"/>
    </row>
    <row r="6" spans="1:5" ht="40.5" customHeight="1">
      <c r="A6" s="1639" t="s">
        <v>402</v>
      </c>
      <c r="B6" s="1639"/>
      <c r="C6" s="1639"/>
      <c r="D6" s="1639"/>
      <c r="E6" s="1639"/>
    </row>
    <row r="7" spans="4:5" ht="17.25" customHeight="1">
      <c r="D7" s="808"/>
      <c r="E7" s="808"/>
    </row>
    <row r="8" spans="4:5" ht="17.25">
      <c r="D8" s="808"/>
      <c r="E8" s="388" t="s">
        <v>0</v>
      </c>
    </row>
    <row r="9" spans="4:254" ht="17.25" thickBot="1">
      <c r="D9" s="374" t="s">
        <v>1</v>
      </c>
      <c r="E9" s="367" t="s">
        <v>3</v>
      </c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4"/>
      <c r="AE9" s="374"/>
      <c r="AF9" s="374"/>
      <c r="AG9" s="374"/>
      <c r="AH9" s="374"/>
      <c r="AI9" s="374"/>
      <c r="AJ9" s="374"/>
      <c r="AK9" s="374"/>
      <c r="AL9" s="374"/>
      <c r="AM9" s="374"/>
      <c r="AN9" s="374"/>
      <c r="AO9" s="374"/>
      <c r="AP9" s="374"/>
      <c r="AQ9" s="374"/>
      <c r="AR9" s="374"/>
      <c r="AS9" s="374"/>
      <c r="AT9" s="374"/>
      <c r="AU9" s="374"/>
      <c r="AV9" s="374"/>
      <c r="AW9" s="374"/>
      <c r="AX9" s="374"/>
      <c r="AY9" s="374"/>
      <c r="AZ9" s="374"/>
      <c r="BA9" s="374"/>
      <c r="BB9" s="374"/>
      <c r="BC9" s="374"/>
      <c r="BD9" s="374"/>
      <c r="BE9" s="374"/>
      <c r="BF9" s="374"/>
      <c r="BG9" s="374"/>
      <c r="BH9" s="374"/>
      <c r="BI9" s="374"/>
      <c r="BJ9" s="374"/>
      <c r="BK9" s="374"/>
      <c r="BL9" s="374"/>
      <c r="BM9" s="374"/>
      <c r="BN9" s="374"/>
      <c r="BO9" s="374"/>
      <c r="BP9" s="374"/>
      <c r="BQ9" s="374"/>
      <c r="BR9" s="374"/>
      <c r="BS9" s="374"/>
      <c r="BT9" s="374"/>
      <c r="BU9" s="374"/>
      <c r="BV9" s="374"/>
      <c r="BW9" s="374"/>
      <c r="BX9" s="374"/>
      <c r="BY9" s="374"/>
      <c r="BZ9" s="374"/>
      <c r="CA9" s="374"/>
      <c r="CB9" s="374"/>
      <c r="CC9" s="374"/>
      <c r="CD9" s="374"/>
      <c r="CE9" s="374"/>
      <c r="CF9" s="374"/>
      <c r="CG9" s="374"/>
      <c r="CH9" s="374"/>
      <c r="CI9" s="374"/>
      <c r="CJ9" s="374"/>
      <c r="CK9" s="374"/>
      <c r="CL9" s="374"/>
      <c r="CM9" s="374"/>
      <c r="CN9" s="374"/>
      <c r="CO9" s="374"/>
      <c r="CP9" s="374"/>
      <c r="CQ9" s="374"/>
      <c r="CR9" s="374"/>
      <c r="CS9" s="374"/>
      <c r="CT9" s="374"/>
      <c r="CU9" s="374"/>
      <c r="CV9" s="374"/>
      <c r="CW9" s="374"/>
      <c r="CX9" s="374"/>
      <c r="CY9" s="374"/>
      <c r="CZ9" s="374"/>
      <c r="DA9" s="374"/>
      <c r="DB9" s="374"/>
      <c r="DC9" s="374"/>
      <c r="DD9" s="374"/>
      <c r="DE9" s="374"/>
      <c r="DF9" s="374"/>
      <c r="DG9" s="374"/>
      <c r="DH9" s="374"/>
      <c r="DI9" s="374"/>
      <c r="DJ9" s="374"/>
      <c r="DK9" s="374"/>
      <c r="DL9" s="374"/>
      <c r="DM9" s="374"/>
      <c r="DN9" s="374"/>
      <c r="DO9" s="374"/>
      <c r="DP9" s="374"/>
      <c r="DQ9" s="374"/>
      <c r="DR9" s="374"/>
      <c r="DS9" s="374"/>
      <c r="DT9" s="374"/>
      <c r="DU9" s="374"/>
      <c r="DV9" s="374"/>
      <c r="DW9" s="374"/>
      <c r="DX9" s="374"/>
      <c r="DY9" s="374"/>
      <c r="DZ9" s="374"/>
      <c r="EA9" s="374"/>
      <c r="EB9" s="374"/>
      <c r="EC9" s="374"/>
      <c r="ED9" s="374"/>
      <c r="EE9" s="374"/>
      <c r="EF9" s="374"/>
      <c r="EG9" s="374"/>
      <c r="EH9" s="374"/>
      <c r="EI9" s="374"/>
      <c r="EJ9" s="374"/>
      <c r="EK9" s="374"/>
      <c r="EL9" s="374"/>
      <c r="EM9" s="374"/>
      <c r="EN9" s="374"/>
      <c r="EO9" s="374"/>
      <c r="EP9" s="374"/>
      <c r="EQ9" s="374"/>
      <c r="ER9" s="374"/>
      <c r="ES9" s="374"/>
      <c r="ET9" s="374"/>
      <c r="EU9" s="374"/>
      <c r="EV9" s="374"/>
      <c r="EW9" s="374"/>
      <c r="EX9" s="374"/>
      <c r="EY9" s="374"/>
      <c r="EZ9" s="374"/>
      <c r="FA9" s="374"/>
      <c r="FB9" s="374"/>
      <c r="FC9" s="374"/>
      <c r="FD9" s="374"/>
      <c r="FE9" s="374"/>
      <c r="FF9" s="374"/>
      <c r="FG9" s="374"/>
      <c r="FH9" s="374"/>
      <c r="FI9" s="374"/>
      <c r="FJ9" s="374"/>
      <c r="FK9" s="374"/>
      <c r="FL9" s="374"/>
      <c r="FM9" s="374"/>
      <c r="FN9" s="374"/>
      <c r="FO9" s="374"/>
      <c r="FP9" s="374"/>
      <c r="FQ9" s="374"/>
      <c r="FR9" s="374"/>
      <c r="FS9" s="374"/>
      <c r="FT9" s="374"/>
      <c r="FU9" s="374"/>
      <c r="FV9" s="374"/>
      <c r="FW9" s="374"/>
      <c r="FX9" s="374"/>
      <c r="FY9" s="374"/>
      <c r="FZ9" s="374"/>
      <c r="GA9" s="374"/>
      <c r="GB9" s="374"/>
      <c r="GC9" s="374"/>
      <c r="GD9" s="374"/>
      <c r="GE9" s="374"/>
      <c r="GF9" s="374"/>
      <c r="GG9" s="374"/>
      <c r="GH9" s="374"/>
      <c r="GI9" s="374"/>
      <c r="GJ9" s="374"/>
      <c r="GK9" s="374"/>
      <c r="GL9" s="374"/>
      <c r="GM9" s="374"/>
      <c r="GN9" s="374"/>
      <c r="GO9" s="374"/>
      <c r="GP9" s="374"/>
      <c r="GQ9" s="374"/>
      <c r="GR9" s="374"/>
      <c r="GS9" s="374"/>
      <c r="GT9" s="374"/>
      <c r="GU9" s="374"/>
      <c r="GV9" s="374"/>
      <c r="GW9" s="374"/>
      <c r="GX9" s="374"/>
      <c r="GY9" s="374"/>
      <c r="GZ9" s="374"/>
      <c r="HA9" s="374"/>
      <c r="HB9" s="374"/>
      <c r="HC9" s="374"/>
      <c r="HD9" s="374"/>
      <c r="HE9" s="374"/>
      <c r="HF9" s="374"/>
      <c r="HG9" s="374"/>
      <c r="HH9" s="374"/>
      <c r="HI9" s="374"/>
      <c r="HJ9" s="374"/>
      <c r="HK9" s="374"/>
      <c r="HL9" s="374"/>
      <c r="HM9" s="374"/>
      <c r="HN9" s="374"/>
      <c r="HO9" s="374"/>
      <c r="HP9" s="374"/>
      <c r="HQ9" s="374"/>
      <c r="HR9" s="374"/>
      <c r="HS9" s="374"/>
      <c r="HT9" s="374"/>
      <c r="HU9" s="374"/>
      <c r="HV9" s="374"/>
      <c r="HW9" s="374"/>
      <c r="HX9" s="374"/>
      <c r="HY9" s="374"/>
      <c r="HZ9" s="374"/>
      <c r="IA9" s="374"/>
      <c r="IB9" s="374"/>
      <c r="IC9" s="374"/>
      <c r="ID9" s="374"/>
      <c r="IE9" s="374"/>
      <c r="IF9" s="374"/>
      <c r="IG9" s="374"/>
      <c r="IH9" s="374"/>
      <c r="II9" s="374"/>
      <c r="IJ9" s="374"/>
      <c r="IK9" s="374"/>
      <c r="IL9" s="374"/>
      <c r="IM9" s="374"/>
      <c r="IN9" s="374"/>
      <c r="IO9" s="374"/>
      <c r="IP9" s="374"/>
      <c r="IQ9" s="374"/>
      <c r="IR9" s="374"/>
      <c r="IS9" s="374"/>
      <c r="IT9" s="41"/>
    </row>
    <row r="10" spans="1:5" ht="35.25" thickBot="1">
      <c r="A10" s="363">
        <v>1</v>
      </c>
      <c r="B10" s="1631" t="s">
        <v>480</v>
      </c>
      <c r="C10" s="1632"/>
      <c r="D10" s="1633"/>
      <c r="E10" s="1248" t="s">
        <v>773</v>
      </c>
    </row>
    <row r="11" spans="1:254" ht="36.75" customHeight="1">
      <c r="A11" s="1646">
        <v>2</v>
      </c>
      <c r="B11" s="1634">
        <v>1</v>
      </c>
      <c r="C11" s="1636" t="s">
        <v>543</v>
      </c>
      <c r="D11" s="1637"/>
      <c r="E11" s="1638">
        <v>21891</v>
      </c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1"/>
      <c r="AZ11" s="361"/>
      <c r="BA11" s="361"/>
      <c r="BB11" s="361"/>
      <c r="BC11" s="361"/>
      <c r="BD11" s="361"/>
      <c r="BE11" s="361"/>
      <c r="BF11" s="361"/>
      <c r="BG11" s="361"/>
      <c r="BH11" s="361"/>
      <c r="BI11" s="361"/>
      <c r="BJ11" s="361"/>
      <c r="BK11" s="361"/>
      <c r="BL11" s="361"/>
      <c r="BM11" s="361"/>
      <c r="BN11" s="361"/>
      <c r="BO11" s="361"/>
      <c r="BP11" s="361"/>
      <c r="BQ11" s="361"/>
      <c r="BR11" s="361"/>
      <c r="BS11" s="361"/>
      <c r="BT11" s="361"/>
      <c r="BU11" s="361"/>
      <c r="BV11" s="361"/>
      <c r="BW11" s="361"/>
      <c r="BX11" s="361"/>
      <c r="BY11" s="361"/>
      <c r="BZ11" s="361"/>
      <c r="CA11" s="361"/>
      <c r="CB11" s="361"/>
      <c r="CC11" s="361"/>
      <c r="CD11" s="361"/>
      <c r="CE11" s="361"/>
      <c r="CF11" s="361"/>
      <c r="CG11" s="361"/>
      <c r="CH11" s="361"/>
      <c r="CI11" s="361"/>
      <c r="CJ11" s="361"/>
      <c r="CK11" s="361"/>
      <c r="CL11" s="361"/>
      <c r="CM11" s="361"/>
      <c r="CN11" s="361"/>
      <c r="CO11" s="361"/>
      <c r="CP11" s="361"/>
      <c r="CQ11" s="361"/>
      <c r="CR11" s="361"/>
      <c r="CS11" s="361"/>
      <c r="CT11" s="361"/>
      <c r="CU11" s="361"/>
      <c r="CV11" s="361"/>
      <c r="CW11" s="361"/>
      <c r="CX11" s="361"/>
      <c r="CY11" s="361"/>
      <c r="CZ11" s="361"/>
      <c r="DA11" s="361"/>
      <c r="DB11" s="361"/>
      <c r="DC11" s="361"/>
      <c r="DD11" s="361"/>
      <c r="DE11" s="361"/>
      <c r="DF11" s="361"/>
      <c r="DG11" s="361"/>
      <c r="DH11" s="361"/>
      <c r="DI11" s="361"/>
      <c r="DJ11" s="361"/>
      <c r="DK11" s="361"/>
      <c r="DL11" s="361"/>
      <c r="DM11" s="361"/>
      <c r="DN11" s="361"/>
      <c r="DO11" s="361"/>
      <c r="DP11" s="361"/>
      <c r="DQ11" s="361"/>
      <c r="DR11" s="361"/>
      <c r="DS11" s="361"/>
      <c r="DT11" s="361"/>
      <c r="DU11" s="361"/>
      <c r="DV11" s="361"/>
      <c r="DW11" s="361"/>
      <c r="DX11" s="361"/>
      <c r="DY11" s="361"/>
      <c r="DZ11" s="361"/>
      <c r="EA11" s="361"/>
      <c r="EB11" s="361"/>
      <c r="EC11" s="361"/>
      <c r="ED11" s="361"/>
      <c r="EE11" s="361"/>
      <c r="EF11" s="361"/>
      <c r="EG11" s="361"/>
      <c r="EH11" s="361"/>
      <c r="EI11" s="361"/>
      <c r="EJ11" s="361"/>
      <c r="EK11" s="361"/>
      <c r="EL11" s="361"/>
      <c r="EM11" s="361"/>
      <c r="EN11" s="361"/>
      <c r="EO11" s="361"/>
      <c r="EP11" s="361"/>
      <c r="EQ11" s="361"/>
      <c r="ER11" s="361"/>
      <c r="ES11" s="361"/>
      <c r="ET11" s="361"/>
      <c r="EU11" s="361"/>
      <c r="EV11" s="361"/>
      <c r="EW11" s="361"/>
      <c r="EX11" s="361"/>
      <c r="EY11" s="361"/>
      <c r="EZ11" s="361"/>
      <c r="FA11" s="361"/>
      <c r="FB11" s="361"/>
      <c r="FC11" s="361"/>
      <c r="FD11" s="361"/>
      <c r="FE11" s="361"/>
      <c r="FF11" s="361"/>
      <c r="FG11" s="361"/>
      <c r="FH11" s="361"/>
      <c r="FI11" s="361"/>
      <c r="FJ11" s="361"/>
      <c r="FK11" s="361"/>
      <c r="FL11" s="361"/>
      <c r="FM11" s="361"/>
      <c r="FN11" s="361"/>
      <c r="FO11" s="361"/>
      <c r="FP11" s="361"/>
      <c r="FQ11" s="361"/>
      <c r="FR11" s="361"/>
      <c r="FS11" s="361"/>
      <c r="FT11" s="361"/>
      <c r="FU11" s="361"/>
      <c r="FV11" s="361"/>
      <c r="FW11" s="361"/>
      <c r="FX11" s="361"/>
      <c r="FY11" s="361"/>
      <c r="FZ11" s="361"/>
      <c r="GA11" s="361"/>
      <c r="GB11" s="361"/>
      <c r="GC11" s="361"/>
      <c r="GD11" s="361"/>
      <c r="GE11" s="361"/>
      <c r="GF11" s="361"/>
      <c r="GG11" s="361"/>
      <c r="GH11" s="361"/>
      <c r="GI11" s="361"/>
      <c r="GJ11" s="361"/>
      <c r="GK11" s="361"/>
      <c r="GL11" s="361"/>
      <c r="GM11" s="361"/>
      <c r="GN11" s="361"/>
      <c r="GO11" s="361"/>
      <c r="GP11" s="361"/>
      <c r="GQ11" s="361"/>
      <c r="GR11" s="361"/>
      <c r="GS11" s="361"/>
      <c r="GT11" s="361"/>
      <c r="GU11" s="361"/>
      <c r="GV11" s="361"/>
      <c r="GW11" s="361"/>
      <c r="GX11" s="361"/>
      <c r="GY11" s="361"/>
      <c r="GZ11" s="361"/>
      <c r="HA11" s="361"/>
      <c r="HB11" s="361"/>
      <c r="HC11" s="361"/>
      <c r="HD11" s="361"/>
      <c r="HE11" s="361"/>
      <c r="HF11" s="361"/>
      <c r="HG11" s="361"/>
      <c r="HH11" s="361"/>
      <c r="HI11" s="361"/>
      <c r="HJ11" s="361"/>
      <c r="HK11" s="361"/>
      <c r="HL11" s="361"/>
      <c r="HM11" s="361"/>
      <c r="HN11" s="361"/>
      <c r="HO11" s="361"/>
      <c r="HP11" s="361"/>
      <c r="HQ11" s="361"/>
      <c r="HR11" s="361"/>
      <c r="HS11" s="361"/>
      <c r="HT11" s="361"/>
      <c r="HU11" s="361"/>
      <c r="HV11" s="361"/>
      <c r="HW11" s="361"/>
      <c r="HX11" s="361"/>
      <c r="HY11" s="361"/>
      <c r="HZ11" s="361"/>
      <c r="IA11" s="361"/>
      <c r="IB11" s="361"/>
      <c r="IC11" s="361"/>
      <c r="ID11" s="361"/>
      <c r="IE11" s="361"/>
      <c r="IF11" s="361"/>
      <c r="IG11" s="361"/>
      <c r="IH11" s="361"/>
      <c r="II11" s="361"/>
      <c r="IJ11" s="361"/>
      <c r="IK11" s="361"/>
      <c r="IL11" s="361"/>
      <c r="IM11" s="361"/>
      <c r="IN11" s="361"/>
      <c r="IO11" s="361"/>
      <c r="IP11" s="361"/>
      <c r="IQ11" s="361"/>
      <c r="IR11" s="361"/>
      <c r="IS11" s="361"/>
      <c r="IT11" s="41"/>
    </row>
    <row r="12" spans="1:254" ht="36.75" customHeight="1">
      <c r="A12" s="1646"/>
      <c r="B12" s="1635"/>
      <c r="C12" s="810"/>
      <c r="D12" s="811" t="s">
        <v>456</v>
      </c>
      <c r="E12" s="1630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61"/>
      <c r="AQ12" s="361"/>
      <c r="AR12" s="361"/>
      <c r="AS12" s="361"/>
      <c r="AT12" s="361"/>
      <c r="AU12" s="361"/>
      <c r="AV12" s="361"/>
      <c r="AW12" s="361"/>
      <c r="AX12" s="361"/>
      <c r="AY12" s="361"/>
      <c r="AZ12" s="361"/>
      <c r="BA12" s="361"/>
      <c r="BB12" s="361"/>
      <c r="BC12" s="361"/>
      <c r="BD12" s="361"/>
      <c r="BE12" s="361"/>
      <c r="BF12" s="361"/>
      <c r="BG12" s="361"/>
      <c r="BH12" s="361"/>
      <c r="BI12" s="361"/>
      <c r="BJ12" s="361"/>
      <c r="BK12" s="361"/>
      <c r="BL12" s="361"/>
      <c r="BM12" s="361"/>
      <c r="BN12" s="361"/>
      <c r="BO12" s="361"/>
      <c r="BP12" s="361"/>
      <c r="BQ12" s="361"/>
      <c r="BR12" s="361"/>
      <c r="BS12" s="361"/>
      <c r="BT12" s="361"/>
      <c r="BU12" s="361"/>
      <c r="BV12" s="361"/>
      <c r="BW12" s="361"/>
      <c r="BX12" s="361"/>
      <c r="BY12" s="361"/>
      <c r="BZ12" s="361"/>
      <c r="CA12" s="361"/>
      <c r="CB12" s="361"/>
      <c r="CC12" s="361"/>
      <c r="CD12" s="361"/>
      <c r="CE12" s="361"/>
      <c r="CF12" s="361"/>
      <c r="CG12" s="361"/>
      <c r="CH12" s="361"/>
      <c r="CI12" s="361"/>
      <c r="CJ12" s="361"/>
      <c r="CK12" s="361"/>
      <c r="CL12" s="361"/>
      <c r="CM12" s="361"/>
      <c r="CN12" s="361"/>
      <c r="CO12" s="361"/>
      <c r="CP12" s="361"/>
      <c r="CQ12" s="361"/>
      <c r="CR12" s="361"/>
      <c r="CS12" s="361"/>
      <c r="CT12" s="361"/>
      <c r="CU12" s="361"/>
      <c r="CV12" s="361"/>
      <c r="CW12" s="361"/>
      <c r="CX12" s="361"/>
      <c r="CY12" s="361"/>
      <c r="CZ12" s="361"/>
      <c r="DA12" s="361"/>
      <c r="DB12" s="361"/>
      <c r="DC12" s="361"/>
      <c r="DD12" s="361"/>
      <c r="DE12" s="361"/>
      <c r="DF12" s="361"/>
      <c r="DG12" s="361"/>
      <c r="DH12" s="361"/>
      <c r="DI12" s="361"/>
      <c r="DJ12" s="361"/>
      <c r="DK12" s="361"/>
      <c r="DL12" s="361"/>
      <c r="DM12" s="361"/>
      <c r="DN12" s="361"/>
      <c r="DO12" s="361"/>
      <c r="DP12" s="361"/>
      <c r="DQ12" s="361"/>
      <c r="DR12" s="361"/>
      <c r="DS12" s="361"/>
      <c r="DT12" s="361"/>
      <c r="DU12" s="361"/>
      <c r="DV12" s="361"/>
      <c r="DW12" s="361"/>
      <c r="DX12" s="361"/>
      <c r="DY12" s="361"/>
      <c r="DZ12" s="361"/>
      <c r="EA12" s="361"/>
      <c r="EB12" s="361"/>
      <c r="EC12" s="361"/>
      <c r="ED12" s="361"/>
      <c r="EE12" s="361"/>
      <c r="EF12" s="361"/>
      <c r="EG12" s="361"/>
      <c r="EH12" s="361"/>
      <c r="EI12" s="361"/>
      <c r="EJ12" s="361"/>
      <c r="EK12" s="361"/>
      <c r="EL12" s="361"/>
      <c r="EM12" s="361"/>
      <c r="EN12" s="361"/>
      <c r="EO12" s="361"/>
      <c r="EP12" s="361"/>
      <c r="EQ12" s="361"/>
      <c r="ER12" s="361"/>
      <c r="ES12" s="361"/>
      <c r="ET12" s="361"/>
      <c r="EU12" s="361"/>
      <c r="EV12" s="361"/>
      <c r="EW12" s="361"/>
      <c r="EX12" s="361"/>
      <c r="EY12" s="361"/>
      <c r="EZ12" s="361"/>
      <c r="FA12" s="361"/>
      <c r="FB12" s="361"/>
      <c r="FC12" s="361"/>
      <c r="FD12" s="361"/>
      <c r="FE12" s="361"/>
      <c r="FF12" s="361"/>
      <c r="FG12" s="361"/>
      <c r="FH12" s="361"/>
      <c r="FI12" s="361"/>
      <c r="FJ12" s="361"/>
      <c r="FK12" s="361"/>
      <c r="FL12" s="361"/>
      <c r="FM12" s="361"/>
      <c r="FN12" s="361"/>
      <c r="FO12" s="361"/>
      <c r="FP12" s="361"/>
      <c r="FQ12" s="361"/>
      <c r="FR12" s="361"/>
      <c r="FS12" s="361"/>
      <c r="FT12" s="361"/>
      <c r="FU12" s="361"/>
      <c r="FV12" s="361"/>
      <c r="FW12" s="361"/>
      <c r="FX12" s="361"/>
      <c r="FY12" s="361"/>
      <c r="FZ12" s="361"/>
      <c r="GA12" s="361"/>
      <c r="GB12" s="361"/>
      <c r="GC12" s="361"/>
      <c r="GD12" s="361"/>
      <c r="GE12" s="361"/>
      <c r="GF12" s="361"/>
      <c r="GG12" s="361"/>
      <c r="GH12" s="361"/>
      <c r="GI12" s="361"/>
      <c r="GJ12" s="361"/>
      <c r="GK12" s="361"/>
      <c r="GL12" s="361"/>
      <c r="GM12" s="361"/>
      <c r="GN12" s="361"/>
      <c r="GO12" s="361"/>
      <c r="GP12" s="361"/>
      <c r="GQ12" s="361"/>
      <c r="GR12" s="361"/>
      <c r="GS12" s="361"/>
      <c r="GT12" s="361"/>
      <c r="GU12" s="361"/>
      <c r="GV12" s="361"/>
      <c r="GW12" s="361"/>
      <c r="GX12" s="361"/>
      <c r="GY12" s="361"/>
      <c r="GZ12" s="361"/>
      <c r="HA12" s="361"/>
      <c r="HB12" s="361"/>
      <c r="HC12" s="361"/>
      <c r="HD12" s="361"/>
      <c r="HE12" s="361"/>
      <c r="HF12" s="361"/>
      <c r="HG12" s="361"/>
      <c r="HH12" s="361"/>
      <c r="HI12" s="361"/>
      <c r="HJ12" s="361"/>
      <c r="HK12" s="361"/>
      <c r="HL12" s="361"/>
      <c r="HM12" s="361"/>
      <c r="HN12" s="361"/>
      <c r="HO12" s="361"/>
      <c r="HP12" s="361"/>
      <c r="HQ12" s="361"/>
      <c r="HR12" s="361"/>
      <c r="HS12" s="361"/>
      <c r="HT12" s="361"/>
      <c r="HU12" s="361"/>
      <c r="HV12" s="361"/>
      <c r="HW12" s="361"/>
      <c r="HX12" s="361"/>
      <c r="HY12" s="361"/>
      <c r="HZ12" s="361"/>
      <c r="IA12" s="361"/>
      <c r="IB12" s="361"/>
      <c r="IC12" s="361"/>
      <c r="ID12" s="361"/>
      <c r="IE12" s="361"/>
      <c r="IF12" s="361"/>
      <c r="IG12" s="361"/>
      <c r="IH12" s="361"/>
      <c r="II12" s="361"/>
      <c r="IJ12" s="361"/>
      <c r="IK12" s="361"/>
      <c r="IL12" s="361"/>
      <c r="IM12" s="361"/>
      <c r="IN12" s="361"/>
      <c r="IO12" s="361"/>
      <c r="IP12" s="361"/>
      <c r="IQ12" s="361"/>
      <c r="IR12" s="361"/>
      <c r="IS12" s="361"/>
      <c r="IT12" s="41"/>
    </row>
    <row r="13" spans="1:254" ht="24.75" customHeight="1">
      <c r="A13" s="1646">
        <v>3</v>
      </c>
      <c r="B13" s="1642">
        <v>2</v>
      </c>
      <c r="C13" s="1640" t="s">
        <v>544</v>
      </c>
      <c r="D13" s="1641"/>
      <c r="E13" s="1644">
        <v>5000</v>
      </c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361"/>
      <c r="AN13" s="361"/>
      <c r="AO13" s="361"/>
      <c r="AP13" s="361"/>
      <c r="AQ13" s="361"/>
      <c r="AR13" s="361"/>
      <c r="AS13" s="361"/>
      <c r="AT13" s="361"/>
      <c r="AU13" s="361"/>
      <c r="AV13" s="361"/>
      <c r="AW13" s="361"/>
      <c r="AX13" s="361"/>
      <c r="AY13" s="361"/>
      <c r="AZ13" s="361"/>
      <c r="BA13" s="361"/>
      <c r="BB13" s="361"/>
      <c r="BC13" s="361"/>
      <c r="BD13" s="361"/>
      <c r="BE13" s="361"/>
      <c r="BF13" s="361"/>
      <c r="BG13" s="361"/>
      <c r="BH13" s="361"/>
      <c r="BI13" s="361"/>
      <c r="BJ13" s="361"/>
      <c r="BK13" s="361"/>
      <c r="BL13" s="361"/>
      <c r="BM13" s="361"/>
      <c r="BN13" s="361"/>
      <c r="BO13" s="361"/>
      <c r="BP13" s="361"/>
      <c r="BQ13" s="361"/>
      <c r="BR13" s="361"/>
      <c r="BS13" s="361"/>
      <c r="BT13" s="361"/>
      <c r="BU13" s="361"/>
      <c r="BV13" s="361"/>
      <c r="BW13" s="361"/>
      <c r="BX13" s="361"/>
      <c r="BY13" s="361"/>
      <c r="BZ13" s="361"/>
      <c r="CA13" s="361"/>
      <c r="CB13" s="361"/>
      <c r="CC13" s="361"/>
      <c r="CD13" s="361"/>
      <c r="CE13" s="361"/>
      <c r="CF13" s="361"/>
      <c r="CG13" s="361"/>
      <c r="CH13" s="361"/>
      <c r="CI13" s="361"/>
      <c r="CJ13" s="361"/>
      <c r="CK13" s="361"/>
      <c r="CL13" s="361"/>
      <c r="CM13" s="361"/>
      <c r="CN13" s="361"/>
      <c r="CO13" s="361"/>
      <c r="CP13" s="361"/>
      <c r="CQ13" s="361"/>
      <c r="CR13" s="361"/>
      <c r="CS13" s="361"/>
      <c r="CT13" s="361"/>
      <c r="CU13" s="361"/>
      <c r="CV13" s="361"/>
      <c r="CW13" s="361"/>
      <c r="CX13" s="361"/>
      <c r="CY13" s="361"/>
      <c r="CZ13" s="361"/>
      <c r="DA13" s="361"/>
      <c r="DB13" s="361"/>
      <c r="DC13" s="361"/>
      <c r="DD13" s="361"/>
      <c r="DE13" s="361"/>
      <c r="DF13" s="361"/>
      <c r="DG13" s="361"/>
      <c r="DH13" s="361"/>
      <c r="DI13" s="361"/>
      <c r="DJ13" s="361"/>
      <c r="DK13" s="361"/>
      <c r="DL13" s="361"/>
      <c r="DM13" s="361"/>
      <c r="DN13" s="361"/>
      <c r="DO13" s="361"/>
      <c r="DP13" s="361"/>
      <c r="DQ13" s="361"/>
      <c r="DR13" s="361"/>
      <c r="DS13" s="361"/>
      <c r="DT13" s="361"/>
      <c r="DU13" s="361"/>
      <c r="DV13" s="361"/>
      <c r="DW13" s="361"/>
      <c r="DX13" s="361"/>
      <c r="DY13" s="361"/>
      <c r="DZ13" s="361"/>
      <c r="EA13" s="361"/>
      <c r="EB13" s="361"/>
      <c r="EC13" s="361"/>
      <c r="ED13" s="361"/>
      <c r="EE13" s="361"/>
      <c r="EF13" s="361"/>
      <c r="EG13" s="361"/>
      <c r="EH13" s="361"/>
      <c r="EI13" s="361"/>
      <c r="EJ13" s="361"/>
      <c r="EK13" s="361"/>
      <c r="EL13" s="361"/>
      <c r="EM13" s="361"/>
      <c r="EN13" s="361"/>
      <c r="EO13" s="361"/>
      <c r="EP13" s="361"/>
      <c r="EQ13" s="361"/>
      <c r="ER13" s="361"/>
      <c r="ES13" s="361"/>
      <c r="ET13" s="361"/>
      <c r="EU13" s="361"/>
      <c r="EV13" s="361"/>
      <c r="EW13" s="361"/>
      <c r="EX13" s="361"/>
      <c r="EY13" s="361"/>
      <c r="EZ13" s="361"/>
      <c r="FA13" s="361"/>
      <c r="FB13" s="361"/>
      <c r="FC13" s="361"/>
      <c r="FD13" s="361"/>
      <c r="FE13" s="361"/>
      <c r="FF13" s="361"/>
      <c r="FG13" s="361"/>
      <c r="FH13" s="361"/>
      <c r="FI13" s="361"/>
      <c r="FJ13" s="361"/>
      <c r="FK13" s="361"/>
      <c r="FL13" s="361"/>
      <c r="FM13" s="361"/>
      <c r="FN13" s="361"/>
      <c r="FO13" s="361"/>
      <c r="FP13" s="361"/>
      <c r="FQ13" s="361"/>
      <c r="FR13" s="361"/>
      <c r="FS13" s="361"/>
      <c r="FT13" s="361"/>
      <c r="FU13" s="361"/>
      <c r="FV13" s="361"/>
      <c r="FW13" s="361"/>
      <c r="FX13" s="361"/>
      <c r="FY13" s="361"/>
      <c r="FZ13" s="361"/>
      <c r="GA13" s="361"/>
      <c r="GB13" s="361"/>
      <c r="GC13" s="361"/>
      <c r="GD13" s="361"/>
      <c r="GE13" s="361"/>
      <c r="GF13" s="361"/>
      <c r="GG13" s="361"/>
      <c r="GH13" s="361"/>
      <c r="GI13" s="361"/>
      <c r="GJ13" s="361"/>
      <c r="GK13" s="361"/>
      <c r="GL13" s="361"/>
      <c r="GM13" s="361"/>
      <c r="GN13" s="361"/>
      <c r="GO13" s="361"/>
      <c r="GP13" s="361"/>
      <c r="GQ13" s="361"/>
      <c r="GR13" s="361"/>
      <c r="GS13" s="361"/>
      <c r="GT13" s="361"/>
      <c r="GU13" s="361"/>
      <c r="GV13" s="361"/>
      <c r="GW13" s="361"/>
      <c r="GX13" s="361"/>
      <c r="GY13" s="361"/>
      <c r="GZ13" s="361"/>
      <c r="HA13" s="361"/>
      <c r="HB13" s="361"/>
      <c r="HC13" s="361"/>
      <c r="HD13" s="361"/>
      <c r="HE13" s="361"/>
      <c r="HF13" s="361"/>
      <c r="HG13" s="361"/>
      <c r="HH13" s="361"/>
      <c r="HI13" s="361"/>
      <c r="HJ13" s="361"/>
      <c r="HK13" s="361"/>
      <c r="HL13" s="361"/>
      <c r="HM13" s="361"/>
      <c r="HN13" s="361"/>
      <c r="HO13" s="361"/>
      <c r="HP13" s="361"/>
      <c r="HQ13" s="361"/>
      <c r="HR13" s="361"/>
      <c r="HS13" s="361"/>
      <c r="HT13" s="361"/>
      <c r="HU13" s="361"/>
      <c r="HV13" s="361"/>
      <c r="HW13" s="361"/>
      <c r="HX13" s="361"/>
      <c r="HY13" s="361"/>
      <c r="HZ13" s="361"/>
      <c r="IA13" s="361"/>
      <c r="IB13" s="361"/>
      <c r="IC13" s="361"/>
      <c r="ID13" s="361"/>
      <c r="IE13" s="361"/>
      <c r="IF13" s="361"/>
      <c r="IG13" s="361"/>
      <c r="IH13" s="361"/>
      <c r="II13" s="361"/>
      <c r="IJ13" s="361"/>
      <c r="IK13" s="361"/>
      <c r="IL13" s="361"/>
      <c r="IM13" s="361"/>
      <c r="IN13" s="361"/>
      <c r="IO13" s="361"/>
      <c r="IP13" s="361"/>
      <c r="IQ13" s="361"/>
      <c r="IR13" s="361"/>
      <c r="IS13" s="361"/>
      <c r="IT13" s="41"/>
    </row>
    <row r="14" spans="1:254" ht="56.25" customHeight="1">
      <c r="A14" s="1646"/>
      <c r="B14" s="1643"/>
      <c r="C14" s="1310"/>
      <c r="D14" s="1309" t="s">
        <v>430</v>
      </c>
      <c r="E14" s="1645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61"/>
      <c r="BB14" s="361"/>
      <c r="BC14" s="361"/>
      <c r="BD14" s="361"/>
      <c r="BE14" s="361"/>
      <c r="BF14" s="361"/>
      <c r="BG14" s="361"/>
      <c r="BH14" s="361"/>
      <c r="BI14" s="361"/>
      <c r="BJ14" s="361"/>
      <c r="BK14" s="361"/>
      <c r="BL14" s="361"/>
      <c r="BM14" s="361"/>
      <c r="BN14" s="361"/>
      <c r="BO14" s="361"/>
      <c r="BP14" s="361"/>
      <c r="BQ14" s="361"/>
      <c r="BR14" s="361"/>
      <c r="BS14" s="361"/>
      <c r="BT14" s="361"/>
      <c r="BU14" s="361"/>
      <c r="BV14" s="361"/>
      <c r="BW14" s="361"/>
      <c r="BX14" s="361"/>
      <c r="BY14" s="361"/>
      <c r="BZ14" s="361"/>
      <c r="CA14" s="361"/>
      <c r="CB14" s="361"/>
      <c r="CC14" s="361"/>
      <c r="CD14" s="361"/>
      <c r="CE14" s="361"/>
      <c r="CF14" s="361"/>
      <c r="CG14" s="361"/>
      <c r="CH14" s="361"/>
      <c r="CI14" s="361"/>
      <c r="CJ14" s="361"/>
      <c r="CK14" s="361"/>
      <c r="CL14" s="361"/>
      <c r="CM14" s="361"/>
      <c r="CN14" s="361"/>
      <c r="CO14" s="361"/>
      <c r="CP14" s="361"/>
      <c r="CQ14" s="361"/>
      <c r="CR14" s="361"/>
      <c r="CS14" s="361"/>
      <c r="CT14" s="361"/>
      <c r="CU14" s="361"/>
      <c r="CV14" s="361"/>
      <c r="CW14" s="361"/>
      <c r="CX14" s="361"/>
      <c r="CY14" s="361"/>
      <c r="CZ14" s="361"/>
      <c r="DA14" s="361"/>
      <c r="DB14" s="361"/>
      <c r="DC14" s="361"/>
      <c r="DD14" s="361"/>
      <c r="DE14" s="361"/>
      <c r="DF14" s="361"/>
      <c r="DG14" s="361"/>
      <c r="DH14" s="361"/>
      <c r="DI14" s="361"/>
      <c r="DJ14" s="361"/>
      <c r="DK14" s="361"/>
      <c r="DL14" s="361"/>
      <c r="DM14" s="361"/>
      <c r="DN14" s="361"/>
      <c r="DO14" s="361"/>
      <c r="DP14" s="361"/>
      <c r="DQ14" s="361"/>
      <c r="DR14" s="361"/>
      <c r="DS14" s="361"/>
      <c r="DT14" s="361"/>
      <c r="DU14" s="361"/>
      <c r="DV14" s="361"/>
      <c r="DW14" s="361"/>
      <c r="DX14" s="361"/>
      <c r="DY14" s="361"/>
      <c r="DZ14" s="361"/>
      <c r="EA14" s="361"/>
      <c r="EB14" s="361"/>
      <c r="EC14" s="361"/>
      <c r="ED14" s="361"/>
      <c r="EE14" s="361"/>
      <c r="EF14" s="361"/>
      <c r="EG14" s="361"/>
      <c r="EH14" s="361"/>
      <c r="EI14" s="361"/>
      <c r="EJ14" s="361"/>
      <c r="EK14" s="361"/>
      <c r="EL14" s="361"/>
      <c r="EM14" s="361"/>
      <c r="EN14" s="361"/>
      <c r="EO14" s="361"/>
      <c r="EP14" s="361"/>
      <c r="EQ14" s="361"/>
      <c r="ER14" s="361"/>
      <c r="ES14" s="361"/>
      <c r="ET14" s="361"/>
      <c r="EU14" s="361"/>
      <c r="EV14" s="361"/>
      <c r="EW14" s="361"/>
      <c r="EX14" s="361"/>
      <c r="EY14" s="361"/>
      <c r="EZ14" s="361"/>
      <c r="FA14" s="361"/>
      <c r="FB14" s="361"/>
      <c r="FC14" s="361"/>
      <c r="FD14" s="361"/>
      <c r="FE14" s="361"/>
      <c r="FF14" s="361"/>
      <c r="FG14" s="361"/>
      <c r="FH14" s="361"/>
      <c r="FI14" s="361"/>
      <c r="FJ14" s="361"/>
      <c r="FK14" s="361"/>
      <c r="FL14" s="361"/>
      <c r="FM14" s="361"/>
      <c r="FN14" s="361"/>
      <c r="FO14" s="361"/>
      <c r="FP14" s="361"/>
      <c r="FQ14" s="361"/>
      <c r="FR14" s="361"/>
      <c r="FS14" s="361"/>
      <c r="FT14" s="361"/>
      <c r="FU14" s="361"/>
      <c r="FV14" s="361"/>
      <c r="FW14" s="361"/>
      <c r="FX14" s="361"/>
      <c r="FY14" s="361"/>
      <c r="FZ14" s="361"/>
      <c r="GA14" s="361"/>
      <c r="GB14" s="361"/>
      <c r="GC14" s="361"/>
      <c r="GD14" s="361"/>
      <c r="GE14" s="361"/>
      <c r="GF14" s="361"/>
      <c r="GG14" s="361"/>
      <c r="GH14" s="361"/>
      <c r="GI14" s="361"/>
      <c r="GJ14" s="361"/>
      <c r="GK14" s="361"/>
      <c r="GL14" s="361"/>
      <c r="GM14" s="361"/>
      <c r="GN14" s="361"/>
      <c r="GO14" s="361"/>
      <c r="GP14" s="361"/>
      <c r="GQ14" s="361"/>
      <c r="GR14" s="361"/>
      <c r="GS14" s="361"/>
      <c r="GT14" s="361"/>
      <c r="GU14" s="361"/>
      <c r="GV14" s="361"/>
      <c r="GW14" s="361"/>
      <c r="GX14" s="361"/>
      <c r="GY14" s="361"/>
      <c r="GZ14" s="361"/>
      <c r="HA14" s="361"/>
      <c r="HB14" s="361"/>
      <c r="HC14" s="361"/>
      <c r="HD14" s="361"/>
      <c r="HE14" s="361"/>
      <c r="HF14" s="361"/>
      <c r="HG14" s="361"/>
      <c r="HH14" s="361"/>
      <c r="HI14" s="361"/>
      <c r="HJ14" s="361"/>
      <c r="HK14" s="361"/>
      <c r="HL14" s="361"/>
      <c r="HM14" s="361"/>
      <c r="HN14" s="361"/>
      <c r="HO14" s="361"/>
      <c r="HP14" s="361"/>
      <c r="HQ14" s="361"/>
      <c r="HR14" s="361"/>
      <c r="HS14" s="361"/>
      <c r="HT14" s="361"/>
      <c r="HU14" s="361"/>
      <c r="HV14" s="361"/>
      <c r="HW14" s="361"/>
      <c r="HX14" s="361"/>
      <c r="HY14" s="361"/>
      <c r="HZ14" s="361"/>
      <c r="IA14" s="361"/>
      <c r="IB14" s="361"/>
      <c r="IC14" s="361"/>
      <c r="ID14" s="361"/>
      <c r="IE14" s="361"/>
      <c r="IF14" s="361"/>
      <c r="IG14" s="361"/>
      <c r="IH14" s="361"/>
      <c r="II14" s="361"/>
      <c r="IJ14" s="361"/>
      <c r="IK14" s="361"/>
      <c r="IL14" s="361"/>
      <c r="IM14" s="361"/>
      <c r="IN14" s="361"/>
      <c r="IO14" s="361"/>
      <c r="IP14" s="361"/>
      <c r="IQ14" s="361"/>
      <c r="IR14" s="361"/>
      <c r="IS14" s="361"/>
      <c r="IT14" s="41"/>
    </row>
    <row r="15" spans="1:254" ht="16.5" customHeight="1">
      <c r="A15" s="1646">
        <v>4</v>
      </c>
      <c r="B15" s="1650">
        <v>3</v>
      </c>
      <c r="C15" s="1652" t="s">
        <v>481</v>
      </c>
      <c r="D15" s="1653"/>
      <c r="E15" s="1307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  <c r="BL15" s="361"/>
      <c r="BM15" s="361"/>
      <c r="BN15" s="361"/>
      <c r="BO15" s="361"/>
      <c r="BP15" s="361"/>
      <c r="BQ15" s="361"/>
      <c r="BR15" s="361"/>
      <c r="BS15" s="361"/>
      <c r="BT15" s="361"/>
      <c r="BU15" s="361"/>
      <c r="BV15" s="361"/>
      <c r="BW15" s="361"/>
      <c r="BX15" s="361"/>
      <c r="BY15" s="361"/>
      <c r="BZ15" s="361"/>
      <c r="CA15" s="361"/>
      <c r="CB15" s="361"/>
      <c r="CC15" s="361"/>
      <c r="CD15" s="361"/>
      <c r="CE15" s="361"/>
      <c r="CF15" s="361"/>
      <c r="CG15" s="361"/>
      <c r="CH15" s="361"/>
      <c r="CI15" s="361"/>
      <c r="CJ15" s="361"/>
      <c r="CK15" s="361"/>
      <c r="CL15" s="361"/>
      <c r="CM15" s="361"/>
      <c r="CN15" s="361"/>
      <c r="CO15" s="361"/>
      <c r="CP15" s="361"/>
      <c r="CQ15" s="361"/>
      <c r="CR15" s="361"/>
      <c r="CS15" s="361"/>
      <c r="CT15" s="361"/>
      <c r="CU15" s="361"/>
      <c r="CV15" s="361"/>
      <c r="CW15" s="361"/>
      <c r="CX15" s="361"/>
      <c r="CY15" s="361"/>
      <c r="CZ15" s="361"/>
      <c r="DA15" s="361"/>
      <c r="DB15" s="361"/>
      <c r="DC15" s="361"/>
      <c r="DD15" s="361"/>
      <c r="DE15" s="361"/>
      <c r="DF15" s="361"/>
      <c r="DG15" s="361"/>
      <c r="DH15" s="361"/>
      <c r="DI15" s="361"/>
      <c r="DJ15" s="361"/>
      <c r="DK15" s="361"/>
      <c r="DL15" s="361"/>
      <c r="DM15" s="361"/>
      <c r="DN15" s="361"/>
      <c r="DO15" s="361"/>
      <c r="DP15" s="361"/>
      <c r="DQ15" s="361"/>
      <c r="DR15" s="361"/>
      <c r="DS15" s="361"/>
      <c r="DT15" s="361"/>
      <c r="DU15" s="361"/>
      <c r="DV15" s="361"/>
      <c r="DW15" s="361"/>
      <c r="DX15" s="361"/>
      <c r="DY15" s="361"/>
      <c r="DZ15" s="361"/>
      <c r="EA15" s="361"/>
      <c r="EB15" s="361"/>
      <c r="EC15" s="361"/>
      <c r="ED15" s="361"/>
      <c r="EE15" s="361"/>
      <c r="EF15" s="361"/>
      <c r="EG15" s="361"/>
      <c r="EH15" s="361"/>
      <c r="EI15" s="361"/>
      <c r="EJ15" s="361"/>
      <c r="EK15" s="361"/>
      <c r="EL15" s="361"/>
      <c r="EM15" s="361"/>
      <c r="EN15" s="361"/>
      <c r="EO15" s="361"/>
      <c r="EP15" s="361"/>
      <c r="EQ15" s="361"/>
      <c r="ER15" s="361"/>
      <c r="ES15" s="361"/>
      <c r="ET15" s="361"/>
      <c r="EU15" s="361"/>
      <c r="EV15" s="361"/>
      <c r="EW15" s="361"/>
      <c r="EX15" s="361"/>
      <c r="EY15" s="361"/>
      <c r="EZ15" s="361"/>
      <c r="FA15" s="361"/>
      <c r="FB15" s="361"/>
      <c r="FC15" s="361"/>
      <c r="FD15" s="361"/>
      <c r="FE15" s="361"/>
      <c r="FF15" s="361"/>
      <c r="FG15" s="361"/>
      <c r="FH15" s="361"/>
      <c r="FI15" s="361"/>
      <c r="FJ15" s="361"/>
      <c r="FK15" s="361"/>
      <c r="FL15" s="361"/>
      <c r="FM15" s="361"/>
      <c r="FN15" s="361"/>
      <c r="FO15" s="361"/>
      <c r="FP15" s="361"/>
      <c r="FQ15" s="361"/>
      <c r="FR15" s="361"/>
      <c r="FS15" s="361"/>
      <c r="FT15" s="361"/>
      <c r="FU15" s="361"/>
      <c r="FV15" s="361"/>
      <c r="FW15" s="361"/>
      <c r="FX15" s="361"/>
      <c r="FY15" s="361"/>
      <c r="FZ15" s="361"/>
      <c r="GA15" s="361"/>
      <c r="GB15" s="361"/>
      <c r="GC15" s="361"/>
      <c r="GD15" s="361"/>
      <c r="GE15" s="361"/>
      <c r="GF15" s="361"/>
      <c r="GG15" s="361"/>
      <c r="GH15" s="361"/>
      <c r="GI15" s="361"/>
      <c r="GJ15" s="361"/>
      <c r="GK15" s="361"/>
      <c r="GL15" s="361"/>
      <c r="GM15" s="361"/>
      <c r="GN15" s="361"/>
      <c r="GO15" s="361"/>
      <c r="GP15" s="361"/>
      <c r="GQ15" s="361"/>
      <c r="GR15" s="361"/>
      <c r="GS15" s="361"/>
      <c r="GT15" s="361"/>
      <c r="GU15" s="361"/>
      <c r="GV15" s="361"/>
      <c r="GW15" s="361"/>
      <c r="GX15" s="361"/>
      <c r="GY15" s="361"/>
      <c r="GZ15" s="361"/>
      <c r="HA15" s="361"/>
      <c r="HB15" s="361"/>
      <c r="HC15" s="361"/>
      <c r="HD15" s="361"/>
      <c r="HE15" s="361"/>
      <c r="HF15" s="361"/>
      <c r="HG15" s="361"/>
      <c r="HH15" s="361"/>
      <c r="HI15" s="361"/>
      <c r="HJ15" s="361"/>
      <c r="HK15" s="361"/>
      <c r="HL15" s="361"/>
      <c r="HM15" s="361"/>
      <c r="HN15" s="361"/>
      <c r="HO15" s="361"/>
      <c r="HP15" s="361"/>
      <c r="HQ15" s="361"/>
      <c r="HR15" s="361"/>
      <c r="HS15" s="361"/>
      <c r="HT15" s="361"/>
      <c r="HU15" s="361"/>
      <c r="HV15" s="361"/>
      <c r="HW15" s="361"/>
      <c r="HX15" s="361"/>
      <c r="HY15" s="361"/>
      <c r="HZ15" s="361"/>
      <c r="IA15" s="361"/>
      <c r="IB15" s="361"/>
      <c r="IC15" s="361"/>
      <c r="ID15" s="361"/>
      <c r="IE15" s="361"/>
      <c r="IF15" s="361"/>
      <c r="IG15" s="361"/>
      <c r="IH15" s="361"/>
      <c r="II15" s="361"/>
      <c r="IJ15" s="361"/>
      <c r="IK15" s="361"/>
      <c r="IL15" s="361"/>
      <c r="IM15" s="361"/>
      <c r="IN15" s="361"/>
      <c r="IO15" s="361"/>
      <c r="IP15" s="361"/>
      <c r="IQ15" s="361"/>
      <c r="IR15" s="361"/>
      <c r="IS15" s="361"/>
      <c r="IT15" s="41"/>
    </row>
    <row r="16" spans="1:254" ht="16.5">
      <c r="A16" s="1646"/>
      <c r="B16" s="1651"/>
      <c r="C16" s="810"/>
      <c r="D16" s="812" t="s">
        <v>545</v>
      </c>
      <c r="E16" s="1308">
        <v>500000</v>
      </c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  <c r="AZ16" s="361"/>
      <c r="BA16" s="361"/>
      <c r="BB16" s="361"/>
      <c r="BC16" s="361"/>
      <c r="BD16" s="361"/>
      <c r="BE16" s="361"/>
      <c r="BF16" s="361"/>
      <c r="BG16" s="361"/>
      <c r="BH16" s="361"/>
      <c r="BI16" s="361"/>
      <c r="BJ16" s="361"/>
      <c r="BK16" s="361"/>
      <c r="BL16" s="361"/>
      <c r="BM16" s="361"/>
      <c r="BN16" s="361"/>
      <c r="BO16" s="361"/>
      <c r="BP16" s="361"/>
      <c r="BQ16" s="361"/>
      <c r="BR16" s="361"/>
      <c r="BS16" s="361"/>
      <c r="BT16" s="361"/>
      <c r="BU16" s="361"/>
      <c r="BV16" s="361"/>
      <c r="BW16" s="361"/>
      <c r="BX16" s="361"/>
      <c r="BY16" s="361"/>
      <c r="BZ16" s="361"/>
      <c r="CA16" s="361"/>
      <c r="CB16" s="361"/>
      <c r="CC16" s="361"/>
      <c r="CD16" s="361"/>
      <c r="CE16" s="361"/>
      <c r="CF16" s="361"/>
      <c r="CG16" s="361"/>
      <c r="CH16" s="361"/>
      <c r="CI16" s="361"/>
      <c r="CJ16" s="361"/>
      <c r="CK16" s="361"/>
      <c r="CL16" s="361"/>
      <c r="CM16" s="361"/>
      <c r="CN16" s="361"/>
      <c r="CO16" s="361"/>
      <c r="CP16" s="361"/>
      <c r="CQ16" s="361"/>
      <c r="CR16" s="361"/>
      <c r="CS16" s="361"/>
      <c r="CT16" s="361"/>
      <c r="CU16" s="361"/>
      <c r="CV16" s="361"/>
      <c r="CW16" s="361"/>
      <c r="CX16" s="361"/>
      <c r="CY16" s="361"/>
      <c r="CZ16" s="361"/>
      <c r="DA16" s="361"/>
      <c r="DB16" s="361"/>
      <c r="DC16" s="361"/>
      <c r="DD16" s="361"/>
      <c r="DE16" s="361"/>
      <c r="DF16" s="361"/>
      <c r="DG16" s="361"/>
      <c r="DH16" s="361"/>
      <c r="DI16" s="361"/>
      <c r="DJ16" s="361"/>
      <c r="DK16" s="361"/>
      <c r="DL16" s="361"/>
      <c r="DM16" s="361"/>
      <c r="DN16" s="361"/>
      <c r="DO16" s="361"/>
      <c r="DP16" s="361"/>
      <c r="DQ16" s="361"/>
      <c r="DR16" s="361"/>
      <c r="DS16" s="361"/>
      <c r="DT16" s="361"/>
      <c r="DU16" s="361"/>
      <c r="DV16" s="361"/>
      <c r="DW16" s="361"/>
      <c r="DX16" s="361"/>
      <c r="DY16" s="361"/>
      <c r="DZ16" s="361"/>
      <c r="EA16" s="361"/>
      <c r="EB16" s="361"/>
      <c r="EC16" s="361"/>
      <c r="ED16" s="361"/>
      <c r="EE16" s="361"/>
      <c r="EF16" s="361"/>
      <c r="EG16" s="361"/>
      <c r="EH16" s="361"/>
      <c r="EI16" s="361"/>
      <c r="EJ16" s="361"/>
      <c r="EK16" s="361"/>
      <c r="EL16" s="361"/>
      <c r="EM16" s="361"/>
      <c r="EN16" s="361"/>
      <c r="EO16" s="361"/>
      <c r="EP16" s="361"/>
      <c r="EQ16" s="361"/>
      <c r="ER16" s="361"/>
      <c r="ES16" s="361"/>
      <c r="ET16" s="361"/>
      <c r="EU16" s="361"/>
      <c r="EV16" s="361"/>
      <c r="EW16" s="361"/>
      <c r="EX16" s="361"/>
      <c r="EY16" s="361"/>
      <c r="EZ16" s="361"/>
      <c r="FA16" s="361"/>
      <c r="FB16" s="361"/>
      <c r="FC16" s="361"/>
      <c r="FD16" s="361"/>
      <c r="FE16" s="361"/>
      <c r="FF16" s="361"/>
      <c r="FG16" s="361"/>
      <c r="FH16" s="361"/>
      <c r="FI16" s="361"/>
      <c r="FJ16" s="361"/>
      <c r="FK16" s="361"/>
      <c r="FL16" s="361"/>
      <c r="FM16" s="361"/>
      <c r="FN16" s="361"/>
      <c r="FO16" s="361"/>
      <c r="FP16" s="361"/>
      <c r="FQ16" s="361"/>
      <c r="FR16" s="361"/>
      <c r="FS16" s="361"/>
      <c r="FT16" s="361"/>
      <c r="FU16" s="361"/>
      <c r="FV16" s="361"/>
      <c r="FW16" s="361"/>
      <c r="FX16" s="361"/>
      <c r="FY16" s="361"/>
      <c r="FZ16" s="361"/>
      <c r="GA16" s="361"/>
      <c r="GB16" s="361"/>
      <c r="GC16" s="361"/>
      <c r="GD16" s="361"/>
      <c r="GE16" s="361"/>
      <c r="GF16" s="361"/>
      <c r="GG16" s="361"/>
      <c r="GH16" s="361"/>
      <c r="GI16" s="361"/>
      <c r="GJ16" s="361"/>
      <c r="GK16" s="361"/>
      <c r="GL16" s="361"/>
      <c r="GM16" s="361"/>
      <c r="GN16" s="361"/>
      <c r="GO16" s="361"/>
      <c r="GP16" s="361"/>
      <c r="GQ16" s="361"/>
      <c r="GR16" s="361"/>
      <c r="GS16" s="361"/>
      <c r="GT16" s="361"/>
      <c r="GU16" s="361"/>
      <c r="GV16" s="361"/>
      <c r="GW16" s="361"/>
      <c r="GX16" s="361"/>
      <c r="GY16" s="361"/>
      <c r="GZ16" s="361"/>
      <c r="HA16" s="361"/>
      <c r="HB16" s="361"/>
      <c r="HC16" s="361"/>
      <c r="HD16" s="361"/>
      <c r="HE16" s="361"/>
      <c r="HF16" s="361"/>
      <c r="HG16" s="361"/>
      <c r="HH16" s="361"/>
      <c r="HI16" s="361"/>
      <c r="HJ16" s="361"/>
      <c r="HK16" s="361"/>
      <c r="HL16" s="361"/>
      <c r="HM16" s="361"/>
      <c r="HN16" s="361"/>
      <c r="HO16" s="361"/>
      <c r="HP16" s="361"/>
      <c r="HQ16" s="361"/>
      <c r="HR16" s="361"/>
      <c r="HS16" s="361"/>
      <c r="HT16" s="361"/>
      <c r="HU16" s="361"/>
      <c r="HV16" s="361"/>
      <c r="HW16" s="361"/>
      <c r="HX16" s="361"/>
      <c r="HY16" s="361"/>
      <c r="HZ16" s="361"/>
      <c r="IA16" s="361"/>
      <c r="IB16" s="361"/>
      <c r="IC16" s="361"/>
      <c r="ID16" s="361"/>
      <c r="IE16" s="361"/>
      <c r="IF16" s="361"/>
      <c r="IG16" s="361"/>
      <c r="IH16" s="361"/>
      <c r="II16" s="361"/>
      <c r="IJ16" s="361"/>
      <c r="IK16" s="361"/>
      <c r="IL16" s="361"/>
      <c r="IM16" s="361"/>
      <c r="IN16" s="361"/>
      <c r="IO16" s="361"/>
      <c r="IP16" s="361"/>
      <c r="IQ16" s="361"/>
      <c r="IR16" s="361"/>
      <c r="IS16" s="361"/>
      <c r="IT16" s="41"/>
    </row>
    <row r="17" spans="1:254" ht="30.75" customHeight="1">
      <c r="A17" s="1646">
        <v>5</v>
      </c>
      <c r="B17" s="1650">
        <v>4</v>
      </c>
      <c r="C17" s="1652" t="s">
        <v>546</v>
      </c>
      <c r="D17" s="1653"/>
      <c r="E17" s="1629">
        <v>20000</v>
      </c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  <c r="BL17" s="361"/>
      <c r="BM17" s="361"/>
      <c r="BN17" s="361"/>
      <c r="BO17" s="361"/>
      <c r="BP17" s="361"/>
      <c r="BQ17" s="361"/>
      <c r="BR17" s="361"/>
      <c r="BS17" s="361"/>
      <c r="BT17" s="361"/>
      <c r="BU17" s="361"/>
      <c r="BV17" s="361"/>
      <c r="BW17" s="361"/>
      <c r="BX17" s="361"/>
      <c r="BY17" s="361"/>
      <c r="BZ17" s="361"/>
      <c r="CA17" s="361"/>
      <c r="CB17" s="361"/>
      <c r="CC17" s="361"/>
      <c r="CD17" s="361"/>
      <c r="CE17" s="361"/>
      <c r="CF17" s="361"/>
      <c r="CG17" s="361"/>
      <c r="CH17" s="361"/>
      <c r="CI17" s="361"/>
      <c r="CJ17" s="361"/>
      <c r="CK17" s="361"/>
      <c r="CL17" s="361"/>
      <c r="CM17" s="361"/>
      <c r="CN17" s="361"/>
      <c r="CO17" s="361"/>
      <c r="CP17" s="361"/>
      <c r="CQ17" s="361"/>
      <c r="CR17" s="361"/>
      <c r="CS17" s="361"/>
      <c r="CT17" s="361"/>
      <c r="CU17" s="361"/>
      <c r="CV17" s="361"/>
      <c r="CW17" s="361"/>
      <c r="CX17" s="361"/>
      <c r="CY17" s="361"/>
      <c r="CZ17" s="361"/>
      <c r="DA17" s="361"/>
      <c r="DB17" s="361"/>
      <c r="DC17" s="361"/>
      <c r="DD17" s="361"/>
      <c r="DE17" s="361"/>
      <c r="DF17" s="361"/>
      <c r="DG17" s="361"/>
      <c r="DH17" s="361"/>
      <c r="DI17" s="361"/>
      <c r="DJ17" s="361"/>
      <c r="DK17" s="361"/>
      <c r="DL17" s="361"/>
      <c r="DM17" s="361"/>
      <c r="DN17" s="361"/>
      <c r="DO17" s="361"/>
      <c r="DP17" s="361"/>
      <c r="DQ17" s="361"/>
      <c r="DR17" s="361"/>
      <c r="DS17" s="361"/>
      <c r="DT17" s="361"/>
      <c r="DU17" s="361"/>
      <c r="DV17" s="361"/>
      <c r="DW17" s="361"/>
      <c r="DX17" s="361"/>
      <c r="DY17" s="361"/>
      <c r="DZ17" s="361"/>
      <c r="EA17" s="361"/>
      <c r="EB17" s="361"/>
      <c r="EC17" s="361"/>
      <c r="ED17" s="361"/>
      <c r="EE17" s="361"/>
      <c r="EF17" s="361"/>
      <c r="EG17" s="361"/>
      <c r="EH17" s="361"/>
      <c r="EI17" s="361"/>
      <c r="EJ17" s="361"/>
      <c r="EK17" s="361"/>
      <c r="EL17" s="361"/>
      <c r="EM17" s="361"/>
      <c r="EN17" s="361"/>
      <c r="EO17" s="361"/>
      <c r="EP17" s="361"/>
      <c r="EQ17" s="361"/>
      <c r="ER17" s="361"/>
      <c r="ES17" s="361"/>
      <c r="ET17" s="361"/>
      <c r="EU17" s="361"/>
      <c r="EV17" s="361"/>
      <c r="EW17" s="361"/>
      <c r="EX17" s="361"/>
      <c r="EY17" s="361"/>
      <c r="EZ17" s="361"/>
      <c r="FA17" s="361"/>
      <c r="FB17" s="361"/>
      <c r="FC17" s="361"/>
      <c r="FD17" s="361"/>
      <c r="FE17" s="361"/>
      <c r="FF17" s="361"/>
      <c r="FG17" s="361"/>
      <c r="FH17" s="361"/>
      <c r="FI17" s="361"/>
      <c r="FJ17" s="361"/>
      <c r="FK17" s="361"/>
      <c r="FL17" s="361"/>
      <c r="FM17" s="361"/>
      <c r="FN17" s="361"/>
      <c r="FO17" s="361"/>
      <c r="FP17" s="361"/>
      <c r="FQ17" s="361"/>
      <c r="FR17" s="361"/>
      <c r="FS17" s="361"/>
      <c r="FT17" s="361"/>
      <c r="FU17" s="361"/>
      <c r="FV17" s="361"/>
      <c r="FW17" s="361"/>
      <c r="FX17" s="361"/>
      <c r="FY17" s="361"/>
      <c r="FZ17" s="361"/>
      <c r="GA17" s="361"/>
      <c r="GB17" s="361"/>
      <c r="GC17" s="361"/>
      <c r="GD17" s="361"/>
      <c r="GE17" s="361"/>
      <c r="GF17" s="361"/>
      <c r="GG17" s="361"/>
      <c r="GH17" s="361"/>
      <c r="GI17" s="361"/>
      <c r="GJ17" s="361"/>
      <c r="GK17" s="361"/>
      <c r="GL17" s="361"/>
      <c r="GM17" s="361"/>
      <c r="GN17" s="361"/>
      <c r="GO17" s="361"/>
      <c r="GP17" s="361"/>
      <c r="GQ17" s="361"/>
      <c r="GR17" s="361"/>
      <c r="GS17" s="361"/>
      <c r="GT17" s="361"/>
      <c r="GU17" s="361"/>
      <c r="GV17" s="361"/>
      <c r="GW17" s="361"/>
      <c r="GX17" s="361"/>
      <c r="GY17" s="361"/>
      <c r="GZ17" s="361"/>
      <c r="HA17" s="361"/>
      <c r="HB17" s="361"/>
      <c r="HC17" s="361"/>
      <c r="HD17" s="361"/>
      <c r="HE17" s="361"/>
      <c r="HF17" s="361"/>
      <c r="HG17" s="361"/>
      <c r="HH17" s="361"/>
      <c r="HI17" s="361"/>
      <c r="HJ17" s="361"/>
      <c r="HK17" s="361"/>
      <c r="HL17" s="361"/>
      <c r="HM17" s="361"/>
      <c r="HN17" s="361"/>
      <c r="HO17" s="361"/>
      <c r="HP17" s="361"/>
      <c r="HQ17" s="361"/>
      <c r="HR17" s="361"/>
      <c r="HS17" s="361"/>
      <c r="HT17" s="361"/>
      <c r="HU17" s="361"/>
      <c r="HV17" s="361"/>
      <c r="HW17" s="361"/>
      <c r="HX17" s="361"/>
      <c r="HY17" s="361"/>
      <c r="HZ17" s="361"/>
      <c r="IA17" s="361"/>
      <c r="IB17" s="361"/>
      <c r="IC17" s="361"/>
      <c r="ID17" s="361"/>
      <c r="IE17" s="361"/>
      <c r="IF17" s="361"/>
      <c r="IG17" s="361"/>
      <c r="IH17" s="361"/>
      <c r="II17" s="361"/>
      <c r="IJ17" s="361"/>
      <c r="IK17" s="361"/>
      <c r="IL17" s="361"/>
      <c r="IM17" s="361"/>
      <c r="IN17" s="361"/>
      <c r="IO17" s="361"/>
      <c r="IP17" s="361"/>
      <c r="IQ17" s="361"/>
      <c r="IR17" s="361"/>
      <c r="IS17" s="361"/>
      <c r="IT17" s="41"/>
    </row>
    <row r="18" spans="1:254" ht="33">
      <c r="A18" s="1646"/>
      <c r="B18" s="1651"/>
      <c r="C18" s="810"/>
      <c r="D18" s="812" t="s">
        <v>547</v>
      </c>
      <c r="E18" s="1630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  <c r="BL18" s="361"/>
      <c r="BM18" s="361"/>
      <c r="BN18" s="361"/>
      <c r="BO18" s="361"/>
      <c r="BP18" s="361"/>
      <c r="BQ18" s="361"/>
      <c r="BR18" s="361"/>
      <c r="BS18" s="361"/>
      <c r="BT18" s="361"/>
      <c r="BU18" s="361"/>
      <c r="BV18" s="361"/>
      <c r="BW18" s="361"/>
      <c r="BX18" s="361"/>
      <c r="BY18" s="361"/>
      <c r="BZ18" s="361"/>
      <c r="CA18" s="361"/>
      <c r="CB18" s="361"/>
      <c r="CC18" s="361"/>
      <c r="CD18" s="361"/>
      <c r="CE18" s="361"/>
      <c r="CF18" s="361"/>
      <c r="CG18" s="361"/>
      <c r="CH18" s="361"/>
      <c r="CI18" s="361"/>
      <c r="CJ18" s="361"/>
      <c r="CK18" s="361"/>
      <c r="CL18" s="361"/>
      <c r="CM18" s="361"/>
      <c r="CN18" s="361"/>
      <c r="CO18" s="361"/>
      <c r="CP18" s="361"/>
      <c r="CQ18" s="361"/>
      <c r="CR18" s="361"/>
      <c r="CS18" s="361"/>
      <c r="CT18" s="361"/>
      <c r="CU18" s="361"/>
      <c r="CV18" s="361"/>
      <c r="CW18" s="361"/>
      <c r="CX18" s="361"/>
      <c r="CY18" s="361"/>
      <c r="CZ18" s="361"/>
      <c r="DA18" s="361"/>
      <c r="DB18" s="361"/>
      <c r="DC18" s="361"/>
      <c r="DD18" s="361"/>
      <c r="DE18" s="361"/>
      <c r="DF18" s="361"/>
      <c r="DG18" s="361"/>
      <c r="DH18" s="361"/>
      <c r="DI18" s="361"/>
      <c r="DJ18" s="361"/>
      <c r="DK18" s="361"/>
      <c r="DL18" s="361"/>
      <c r="DM18" s="361"/>
      <c r="DN18" s="361"/>
      <c r="DO18" s="361"/>
      <c r="DP18" s="361"/>
      <c r="DQ18" s="361"/>
      <c r="DR18" s="361"/>
      <c r="DS18" s="361"/>
      <c r="DT18" s="361"/>
      <c r="DU18" s="361"/>
      <c r="DV18" s="361"/>
      <c r="DW18" s="361"/>
      <c r="DX18" s="361"/>
      <c r="DY18" s="361"/>
      <c r="DZ18" s="361"/>
      <c r="EA18" s="361"/>
      <c r="EB18" s="361"/>
      <c r="EC18" s="361"/>
      <c r="ED18" s="361"/>
      <c r="EE18" s="361"/>
      <c r="EF18" s="361"/>
      <c r="EG18" s="361"/>
      <c r="EH18" s="361"/>
      <c r="EI18" s="361"/>
      <c r="EJ18" s="361"/>
      <c r="EK18" s="361"/>
      <c r="EL18" s="361"/>
      <c r="EM18" s="361"/>
      <c r="EN18" s="361"/>
      <c r="EO18" s="361"/>
      <c r="EP18" s="361"/>
      <c r="EQ18" s="361"/>
      <c r="ER18" s="361"/>
      <c r="ES18" s="361"/>
      <c r="ET18" s="361"/>
      <c r="EU18" s="361"/>
      <c r="EV18" s="361"/>
      <c r="EW18" s="361"/>
      <c r="EX18" s="361"/>
      <c r="EY18" s="361"/>
      <c r="EZ18" s="361"/>
      <c r="FA18" s="361"/>
      <c r="FB18" s="361"/>
      <c r="FC18" s="361"/>
      <c r="FD18" s="361"/>
      <c r="FE18" s="361"/>
      <c r="FF18" s="361"/>
      <c r="FG18" s="361"/>
      <c r="FH18" s="361"/>
      <c r="FI18" s="361"/>
      <c r="FJ18" s="361"/>
      <c r="FK18" s="361"/>
      <c r="FL18" s="361"/>
      <c r="FM18" s="361"/>
      <c r="FN18" s="361"/>
      <c r="FO18" s="361"/>
      <c r="FP18" s="361"/>
      <c r="FQ18" s="361"/>
      <c r="FR18" s="361"/>
      <c r="FS18" s="361"/>
      <c r="FT18" s="361"/>
      <c r="FU18" s="361"/>
      <c r="FV18" s="361"/>
      <c r="FW18" s="361"/>
      <c r="FX18" s="361"/>
      <c r="FY18" s="361"/>
      <c r="FZ18" s="361"/>
      <c r="GA18" s="361"/>
      <c r="GB18" s="361"/>
      <c r="GC18" s="361"/>
      <c r="GD18" s="361"/>
      <c r="GE18" s="361"/>
      <c r="GF18" s="361"/>
      <c r="GG18" s="361"/>
      <c r="GH18" s="361"/>
      <c r="GI18" s="361"/>
      <c r="GJ18" s="361"/>
      <c r="GK18" s="361"/>
      <c r="GL18" s="361"/>
      <c r="GM18" s="361"/>
      <c r="GN18" s="361"/>
      <c r="GO18" s="361"/>
      <c r="GP18" s="361"/>
      <c r="GQ18" s="361"/>
      <c r="GR18" s="361"/>
      <c r="GS18" s="361"/>
      <c r="GT18" s="361"/>
      <c r="GU18" s="361"/>
      <c r="GV18" s="361"/>
      <c r="GW18" s="361"/>
      <c r="GX18" s="361"/>
      <c r="GY18" s="361"/>
      <c r="GZ18" s="361"/>
      <c r="HA18" s="361"/>
      <c r="HB18" s="361"/>
      <c r="HC18" s="361"/>
      <c r="HD18" s="361"/>
      <c r="HE18" s="361"/>
      <c r="HF18" s="361"/>
      <c r="HG18" s="361"/>
      <c r="HH18" s="361"/>
      <c r="HI18" s="361"/>
      <c r="HJ18" s="361"/>
      <c r="HK18" s="361"/>
      <c r="HL18" s="361"/>
      <c r="HM18" s="361"/>
      <c r="HN18" s="361"/>
      <c r="HO18" s="361"/>
      <c r="HP18" s="361"/>
      <c r="HQ18" s="361"/>
      <c r="HR18" s="361"/>
      <c r="HS18" s="361"/>
      <c r="HT18" s="361"/>
      <c r="HU18" s="361"/>
      <c r="HV18" s="361"/>
      <c r="HW18" s="361"/>
      <c r="HX18" s="361"/>
      <c r="HY18" s="361"/>
      <c r="HZ18" s="361"/>
      <c r="IA18" s="361"/>
      <c r="IB18" s="361"/>
      <c r="IC18" s="361"/>
      <c r="ID18" s="361"/>
      <c r="IE18" s="361"/>
      <c r="IF18" s="361"/>
      <c r="IG18" s="361"/>
      <c r="IH18" s="361"/>
      <c r="II18" s="361"/>
      <c r="IJ18" s="361"/>
      <c r="IK18" s="361"/>
      <c r="IL18" s="361"/>
      <c r="IM18" s="361"/>
      <c r="IN18" s="361"/>
      <c r="IO18" s="361"/>
      <c r="IP18" s="361"/>
      <c r="IQ18" s="361"/>
      <c r="IR18" s="361"/>
      <c r="IS18" s="361"/>
      <c r="IT18" s="41"/>
    </row>
    <row r="19" spans="1:254" ht="16.5" customHeight="1">
      <c r="A19" s="1646">
        <v>6</v>
      </c>
      <c r="B19" s="1625">
        <v>5</v>
      </c>
      <c r="C19" s="1627" t="s">
        <v>548</v>
      </c>
      <c r="D19" s="1628"/>
      <c r="E19" s="1629">
        <f>15000</f>
        <v>15000</v>
      </c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 t="s">
        <v>234</v>
      </c>
      <c r="Q19" s="361"/>
      <c r="R19" s="361"/>
      <c r="S19" s="361"/>
      <c r="T19" s="361"/>
      <c r="U19" s="361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61"/>
      <c r="AT19" s="361"/>
      <c r="AU19" s="361"/>
      <c r="AV19" s="361"/>
      <c r="AW19" s="361"/>
      <c r="AX19" s="361"/>
      <c r="AY19" s="361"/>
      <c r="AZ19" s="361"/>
      <c r="BA19" s="361"/>
      <c r="BB19" s="361"/>
      <c r="BC19" s="361"/>
      <c r="BD19" s="361"/>
      <c r="BE19" s="361"/>
      <c r="BF19" s="361"/>
      <c r="BG19" s="361"/>
      <c r="BH19" s="361"/>
      <c r="BI19" s="361"/>
      <c r="BJ19" s="361"/>
      <c r="BK19" s="361"/>
      <c r="BL19" s="361"/>
      <c r="BM19" s="361"/>
      <c r="BN19" s="361"/>
      <c r="BO19" s="361"/>
      <c r="BP19" s="361"/>
      <c r="BQ19" s="361"/>
      <c r="BR19" s="361"/>
      <c r="BS19" s="361"/>
      <c r="BT19" s="361"/>
      <c r="BU19" s="361"/>
      <c r="BV19" s="361"/>
      <c r="BW19" s="361"/>
      <c r="BX19" s="361"/>
      <c r="BY19" s="361"/>
      <c r="BZ19" s="361"/>
      <c r="CA19" s="361"/>
      <c r="CB19" s="361"/>
      <c r="CC19" s="361"/>
      <c r="CD19" s="361"/>
      <c r="CE19" s="361"/>
      <c r="CF19" s="361"/>
      <c r="CG19" s="361"/>
      <c r="CH19" s="361"/>
      <c r="CI19" s="361"/>
      <c r="CJ19" s="361"/>
      <c r="CK19" s="361"/>
      <c r="CL19" s="361"/>
      <c r="CM19" s="361"/>
      <c r="CN19" s="361"/>
      <c r="CO19" s="361"/>
      <c r="CP19" s="361"/>
      <c r="CQ19" s="361"/>
      <c r="CR19" s="361"/>
      <c r="CS19" s="361"/>
      <c r="CT19" s="361"/>
      <c r="CU19" s="361"/>
      <c r="CV19" s="361"/>
      <c r="CW19" s="361"/>
      <c r="CX19" s="361"/>
      <c r="CY19" s="361"/>
      <c r="CZ19" s="361"/>
      <c r="DA19" s="361"/>
      <c r="DB19" s="361"/>
      <c r="DC19" s="361"/>
      <c r="DD19" s="361"/>
      <c r="DE19" s="361"/>
      <c r="DF19" s="361"/>
      <c r="DG19" s="361"/>
      <c r="DH19" s="361"/>
      <c r="DI19" s="361"/>
      <c r="DJ19" s="361"/>
      <c r="DK19" s="361"/>
      <c r="DL19" s="361"/>
      <c r="DM19" s="361"/>
      <c r="DN19" s="361"/>
      <c r="DO19" s="361"/>
      <c r="DP19" s="361"/>
      <c r="DQ19" s="361"/>
      <c r="DR19" s="361"/>
      <c r="DS19" s="361"/>
      <c r="DT19" s="361"/>
      <c r="DU19" s="361"/>
      <c r="DV19" s="361"/>
      <c r="DW19" s="361"/>
      <c r="DX19" s="361"/>
      <c r="DY19" s="361"/>
      <c r="DZ19" s="361"/>
      <c r="EA19" s="361"/>
      <c r="EB19" s="361"/>
      <c r="EC19" s="361"/>
      <c r="ED19" s="361"/>
      <c r="EE19" s="361"/>
      <c r="EF19" s="361"/>
      <c r="EG19" s="361"/>
      <c r="EH19" s="361"/>
      <c r="EI19" s="361"/>
      <c r="EJ19" s="361"/>
      <c r="EK19" s="361"/>
      <c r="EL19" s="361"/>
      <c r="EM19" s="361"/>
      <c r="EN19" s="361"/>
      <c r="EO19" s="361"/>
      <c r="EP19" s="361"/>
      <c r="EQ19" s="361"/>
      <c r="ER19" s="361"/>
      <c r="ES19" s="361"/>
      <c r="ET19" s="361"/>
      <c r="EU19" s="361"/>
      <c r="EV19" s="361"/>
      <c r="EW19" s="361"/>
      <c r="EX19" s="361"/>
      <c r="EY19" s="361"/>
      <c r="EZ19" s="361"/>
      <c r="FA19" s="361"/>
      <c r="FB19" s="361"/>
      <c r="FC19" s="361"/>
      <c r="FD19" s="361"/>
      <c r="FE19" s="361"/>
      <c r="FF19" s="361"/>
      <c r="FG19" s="361"/>
      <c r="FH19" s="361"/>
      <c r="FI19" s="361"/>
      <c r="FJ19" s="361"/>
      <c r="FK19" s="361"/>
      <c r="FL19" s="361"/>
      <c r="FM19" s="361"/>
      <c r="FN19" s="361"/>
      <c r="FO19" s="361"/>
      <c r="FP19" s="361"/>
      <c r="FQ19" s="361"/>
      <c r="FR19" s="361"/>
      <c r="FS19" s="361"/>
      <c r="FT19" s="361"/>
      <c r="FU19" s="361"/>
      <c r="FV19" s="361"/>
      <c r="FW19" s="361"/>
      <c r="FX19" s="361"/>
      <c r="FY19" s="361"/>
      <c r="FZ19" s="361"/>
      <c r="GA19" s="361"/>
      <c r="GB19" s="361"/>
      <c r="GC19" s="361"/>
      <c r="GD19" s="361"/>
      <c r="GE19" s="361"/>
      <c r="GF19" s="361"/>
      <c r="GG19" s="361"/>
      <c r="GH19" s="361"/>
      <c r="GI19" s="361"/>
      <c r="GJ19" s="361"/>
      <c r="GK19" s="361"/>
      <c r="GL19" s="361"/>
      <c r="GM19" s="361"/>
      <c r="GN19" s="361"/>
      <c r="GO19" s="361"/>
      <c r="GP19" s="361"/>
      <c r="GQ19" s="361"/>
      <c r="GR19" s="361"/>
      <c r="GS19" s="361"/>
      <c r="GT19" s="361"/>
      <c r="GU19" s="361"/>
      <c r="GV19" s="361"/>
      <c r="GW19" s="361"/>
      <c r="GX19" s="361"/>
      <c r="GY19" s="361"/>
      <c r="GZ19" s="361"/>
      <c r="HA19" s="361"/>
      <c r="HB19" s="361"/>
      <c r="HC19" s="361"/>
      <c r="HD19" s="361"/>
      <c r="HE19" s="361"/>
      <c r="HF19" s="361"/>
      <c r="HG19" s="361"/>
      <c r="HH19" s="361"/>
      <c r="HI19" s="361"/>
      <c r="HJ19" s="361"/>
      <c r="HK19" s="361"/>
      <c r="HL19" s="361"/>
      <c r="HM19" s="361"/>
      <c r="HN19" s="361"/>
      <c r="HO19" s="361"/>
      <c r="HP19" s="361"/>
      <c r="HQ19" s="361"/>
      <c r="HR19" s="361"/>
      <c r="HS19" s="361"/>
      <c r="HT19" s="361"/>
      <c r="HU19" s="361"/>
      <c r="HV19" s="361"/>
      <c r="HW19" s="361"/>
      <c r="HX19" s="361"/>
      <c r="HY19" s="361"/>
      <c r="HZ19" s="361"/>
      <c r="IA19" s="361"/>
      <c r="IB19" s="361"/>
      <c r="IC19" s="361"/>
      <c r="ID19" s="361"/>
      <c r="IE19" s="361"/>
      <c r="IF19" s="361"/>
      <c r="IG19" s="361"/>
      <c r="IH19" s="361"/>
      <c r="II19" s="361"/>
      <c r="IJ19" s="361"/>
      <c r="IK19" s="361"/>
      <c r="IL19" s="361"/>
      <c r="IM19" s="361"/>
      <c r="IN19" s="361"/>
      <c r="IO19" s="361"/>
      <c r="IP19" s="361"/>
      <c r="IQ19" s="361"/>
      <c r="IR19" s="361"/>
      <c r="IS19" s="361"/>
      <c r="IT19" s="41"/>
    </row>
    <row r="20" spans="1:254" ht="16.5">
      <c r="A20" s="1646"/>
      <c r="B20" s="1626"/>
      <c r="C20" s="810"/>
      <c r="D20" s="813" t="s">
        <v>433</v>
      </c>
      <c r="E20" s="1630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  <c r="BL20" s="361"/>
      <c r="BM20" s="361"/>
      <c r="BN20" s="361"/>
      <c r="BO20" s="361"/>
      <c r="BP20" s="361"/>
      <c r="BQ20" s="361"/>
      <c r="BR20" s="361"/>
      <c r="BS20" s="361"/>
      <c r="BT20" s="361"/>
      <c r="BU20" s="361"/>
      <c r="BV20" s="361"/>
      <c r="BW20" s="361"/>
      <c r="BX20" s="361"/>
      <c r="BY20" s="361"/>
      <c r="BZ20" s="361"/>
      <c r="CA20" s="361"/>
      <c r="CB20" s="361"/>
      <c r="CC20" s="361"/>
      <c r="CD20" s="361"/>
      <c r="CE20" s="361"/>
      <c r="CF20" s="361"/>
      <c r="CG20" s="361"/>
      <c r="CH20" s="361"/>
      <c r="CI20" s="361"/>
      <c r="CJ20" s="361"/>
      <c r="CK20" s="361"/>
      <c r="CL20" s="361"/>
      <c r="CM20" s="361"/>
      <c r="CN20" s="361"/>
      <c r="CO20" s="361"/>
      <c r="CP20" s="361"/>
      <c r="CQ20" s="361"/>
      <c r="CR20" s="361"/>
      <c r="CS20" s="361"/>
      <c r="CT20" s="361"/>
      <c r="CU20" s="361"/>
      <c r="CV20" s="361"/>
      <c r="CW20" s="361"/>
      <c r="CX20" s="361"/>
      <c r="CY20" s="361"/>
      <c r="CZ20" s="361"/>
      <c r="DA20" s="361"/>
      <c r="DB20" s="361"/>
      <c r="DC20" s="361"/>
      <c r="DD20" s="361"/>
      <c r="DE20" s="361"/>
      <c r="DF20" s="361"/>
      <c r="DG20" s="361"/>
      <c r="DH20" s="361"/>
      <c r="DI20" s="361"/>
      <c r="DJ20" s="361"/>
      <c r="DK20" s="361"/>
      <c r="DL20" s="361"/>
      <c r="DM20" s="361"/>
      <c r="DN20" s="361"/>
      <c r="DO20" s="361"/>
      <c r="DP20" s="361"/>
      <c r="DQ20" s="361"/>
      <c r="DR20" s="361"/>
      <c r="DS20" s="361"/>
      <c r="DT20" s="361"/>
      <c r="DU20" s="361"/>
      <c r="DV20" s="361"/>
      <c r="DW20" s="361"/>
      <c r="DX20" s="361"/>
      <c r="DY20" s="361"/>
      <c r="DZ20" s="361"/>
      <c r="EA20" s="361"/>
      <c r="EB20" s="361"/>
      <c r="EC20" s="361"/>
      <c r="ED20" s="361"/>
      <c r="EE20" s="361"/>
      <c r="EF20" s="361"/>
      <c r="EG20" s="361"/>
      <c r="EH20" s="361"/>
      <c r="EI20" s="361"/>
      <c r="EJ20" s="361"/>
      <c r="EK20" s="361"/>
      <c r="EL20" s="361"/>
      <c r="EM20" s="361"/>
      <c r="EN20" s="361"/>
      <c r="EO20" s="361"/>
      <c r="EP20" s="361"/>
      <c r="EQ20" s="361"/>
      <c r="ER20" s="361"/>
      <c r="ES20" s="361"/>
      <c r="ET20" s="361"/>
      <c r="EU20" s="361"/>
      <c r="EV20" s="361"/>
      <c r="EW20" s="361"/>
      <c r="EX20" s="361"/>
      <c r="EY20" s="361"/>
      <c r="EZ20" s="361"/>
      <c r="FA20" s="361"/>
      <c r="FB20" s="361"/>
      <c r="FC20" s="361"/>
      <c r="FD20" s="361"/>
      <c r="FE20" s="361"/>
      <c r="FF20" s="361"/>
      <c r="FG20" s="361"/>
      <c r="FH20" s="361"/>
      <c r="FI20" s="361"/>
      <c r="FJ20" s="361"/>
      <c r="FK20" s="361"/>
      <c r="FL20" s="361"/>
      <c r="FM20" s="361"/>
      <c r="FN20" s="361"/>
      <c r="FO20" s="361"/>
      <c r="FP20" s="361"/>
      <c r="FQ20" s="361"/>
      <c r="FR20" s="361"/>
      <c r="FS20" s="361"/>
      <c r="FT20" s="361"/>
      <c r="FU20" s="361"/>
      <c r="FV20" s="361"/>
      <c r="FW20" s="361"/>
      <c r="FX20" s="361"/>
      <c r="FY20" s="361"/>
      <c r="FZ20" s="361"/>
      <c r="GA20" s="361"/>
      <c r="GB20" s="361"/>
      <c r="GC20" s="361"/>
      <c r="GD20" s="361"/>
      <c r="GE20" s="361"/>
      <c r="GF20" s="361"/>
      <c r="GG20" s="361"/>
      <c r="GH20" s="361"/>
      <c r="GI20" s="361"/>
      <c r="GJ20" s="361"/>
      <c r="GK20" s="361"/>
      <c r="GL20" s="361"/>
      <c r="GM20" s="361"/>
      <c r="GN20" s="361"/>
      <c r="GO20" s="361"/>
      <c r="GP20" s="361"/>
      <c r="GQ20" s="361"/>
      <c r="GR20" s="361"/>
      <c r="GS20" s="361"/>
      <c r="GT20" s="361"/>
      <c r="GU20" s="361"/>
      <c r="GV20" s="361"/>
      <c r="GW20" s="361"/>
      <c r="GX20" s="361"/>
      <c r="GY20" s="361"/>
      <c r="GZ20" s="361"/>
      <c r="HA20" s="361"/>
      <c r="HB20" s="361"/>
      <c r="HC20" s="361"/>
      <c r="HD20" s="361"/>
      <c r="HE20" s="361"/>
      <c r="HF20" s="361"/>
      <c r="HG20" s="361"/>
      <c r="HH20" s="361"/>
      <c r="HI20" s="361"/>
      <c r="HJ20" s="361"/>
      <c r="HK20" s="361"/>
      <c r="HL20" s="361"/>
      <c r="HM20" s="361"/>
      <c r="HN20" s="361"/>
      <c r="HO20" s="361"/>
      <c r="HP20" s="361"/>
      <c r="HQ20" s="361"/>
      <c r="HR20" s="361"/>
      <c r="HS20" s="361"/>
      <c r="HT20" s="361"/>
      <c r="HU20" s="361"/>
      <c r="HV20" s="361"/>
      <c r="HW20" s="361"/>
      <c r="HX20" s="361"/>
      <c r="HY20" s="361"/>
      <c r="HZ20" s="361"/>
      <c r="IA20" s="361"/>
      <c r="IB20" s="361"/>
      <c r="IC20" s="361"/>
      <c r="ID20" s="361"/>
      <c r="IE20" s="361"/>
      <c r="IF20" s="361"/>
      <c r="IG20" s="361"/>
      <c r="IH20" s="361"/>
      <c r="II20" s="361"/>
      <c r="IJ20" s="361"/>
      <c r="IK20" s="361"/>
      <c r="IL20" s="361"/>
      <c r="IM20" s="361"/>
      <c r="IN20" s="361"/>
      <c r="IO20" s="361"/>
      <c r="IP20" s="361"/>
      <c r="IQ20" s="361"/>
      <c r="IR20" s="361"/>
      <c r="IS20" s="361"/>
      <c r="IT20" s="41"/>
    </row>
    <row r="21" spans="1:254" ht="17.25">
      <c r="A21" s="363">
        <v>7</v>
      </c>
      <c r="B21" s="1647" t="s">
        <v>115</v>
      </c>
      <c r="C21" s="1648"/>
      <c r="D21" s="1649"/>
      <c r="E21" s="814">
        <f>SUM(E11:E19)</f>
        <v>561891</v>
      </c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  <c r="AR21" s="361"/>
      <c r="AS21" s="361"/>
      <c r="AT21" s="361"/>
      <c r="AU21" s="361"/>
      <c r="AV21" s="361"/>
      <c r="AW21" s="361"/>
      <c r="AX21" s="361"/>
      <c r="AY21" s="361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  <c r="BL21" s="361"/>
      <c r="BM21" s="361"/>
      <c r="BN21" s="361"/>
      <c r="BO21" s="361"/>
      <c r="BP21" s="361"/>
      <c r="BQ21" s="361"/>
      <c r="BR21" s="361"/>
      <c r="BS21" s="361"/>
      <c r="BT21" s="361"/>
      <c r="BU21" s="361"/>
      <c r="BV21" s="361"/>
      <c r="BW21" s="361"/>
      <c r="BX21" s="361"/>
      <c r="BY21" s="361"/>
      <c r="BZ21" s="361"/>
      <c r="CA21" s="361"/>
      <c r="CB21" s="361"/>
      <c r="CC21" s="361"/>
      <c r="CD21" s="361"/>
      <c r="CE21" s="361"/>
      <c r="CF21" s="361"/>
      <c r="CG21" s="361"/>
      <c r="CH21" s="361"/>
      <c r="CI21" s="361"/>
      <c r="CJ21" s="361"/>
      <c r="CK21" s="361"/>
      <c r="CL21" s="361"/>
      <c r="CM21" s="361"/>
      <c r="CN21" s="361"/>
      <c r="CO21" s="361"/>
      <c r="CP21" s="361"/>
      <c r="CQ21" s="361"/>
      <c r="CR21" s="361"/>
      <c r="CS21" s="361"/>
      <c r="CT21" s="361"/>
      <c r="CU21" s="361"/>
      <c r="CV21" s="361"/>
      <c r="CW21" s="361"/>
      <c r="CX21" s="361"/>
      <c r="CY21" s="361"/>
      <c r="CZ21" s="361"/>
      <c r="DA21" s="361"/>
      <c r="DB21" s="361"/>
      <c r="DC21" s="361"/>
      <c r="DD21" s="361"/>
      <c r="DE21" s="361"/>
      <c r="DF21" s="361"/>
      <c r="DG21" s="361"/>
      <c r="DH21" s="361"/>
      <c r="DI21" s="361"/>
      <c r="DJ21" s="361"/>
      <c r="DK21" s="361"/>
      <c r="DL21" s="361"/>
      <c r="DM21" s="361"/>
      <c r="DN21" s="361"/>
      <c r="DO21" s="361"/>
      <c r="DP21" s="361"/>
      <c r="DQ21" s="361"/>
      <c r="DR21" s="361"/>
      <c r="DS21" s="361"/>
      <c r="DT21" s="361"/>
      <c r="DU21" s="361"/>
      <c r="DV21" s="361"/>
      <c r="DW21" s="361"/>
      <c r="DX21" s="361"/>
      <c r="DY21" s="361"/>
      <c r="DZ21" s="361"/>
      <c r="EA21" s="361"/>
      <c r="EB21" s="361"/>
      <c r="EC21" s="361"/>
      <c r="ED21" s="361"/>
      <c r="EE21" s="361"/>
      <c r="EF21" s="361"/>
      <c r="EG21" s="361"/>
      <c r="EH21" s="361"/>
      <c r="EI21" s="361"/>
      <c r="EJ21" s="361"/>
      <c r="EK21" s="361"/>
      <c r="EL21" s="361"/>
      <c r="EM21" s="361"/>
      <c r="EN21" s="361"/>
      <c r="EO21" s="361"/>
      <c r="EP21" s="361"/>
      <c r="EQ21" s="361"/>
      <c r="ER21" s="361"/>
      <c r="ES21" s="361"/>
      <c r="ET21" s="361"/>
      <c r="EU21" s="361"/>
      <c r="EV21" s="361"/>
      <c r="EW21" s="361"/>
      <c r="EX21" s="361"/>
      <c r="EY21" s="361"/>
      <c r="EZ21" s="361"/>
      <c r="FA21" s="361"/>
      <c r="FB21" s="361"/>
      <c r="FC21" s="361"/>
      <c r="FD21" s="361"/>
      <c r="FE21" s="361"/>
      <c r="FF21" s="361"/>
      <c r="FG21" s="361"/>
      <c r="FH21" s="361"/>
      <c r="FI21" s="361"/>
      <c r="FJ21" s="361"/>
      <c r="FK21" s="361"/>
      <c r="FL21" s="361"/>
      <c r="FM21" s="361"/>
      <c r="FN21" s="361"/>
      <c r="FO21" s="361"/>
      <c r="FP21" s="361"/>
      <c r="FQ21" s="361"/>
      <c r="FR21" s="361"/>
      <c r="FS21" s="361"/>
      <c r="FT21" s="361"/>
      <c r="FU21" s="361"/>
      <c r="FV21" s="361"/>
      <c r="FW21" s="361"/>
      <c r="FX21" s="361"/>
      <c r="FY21" s="361"/>
      <c r="FZ21" s="361"/>
      <c r="GA21" s="361"/>
      <c r="GB21" s="361"/>
      <c r="GC21" s="361"/>
      <c r="GD21" s="361"/>
      <c r="GE21" s="361"/>
      <c r="GF21" s="361"/>
      <c r="GG21" s="361"/>
      <c r="GH21" s="361"/>
      <c r="GI21" s="361"/>
      <c r="GJ21" s="361"/>
      <c r="GK21" s="361"/>
      <c r="GL21" s="361"/>
      <c r="GM21" s="361"/>
      <c r="GN21" s="361"/>
      <c r="GO21" s="361"/>
      <c r="GP21" s="361"/>
      <c r="GQ21" s="361"/>
      <c r="GR21" s="361"/>
      <c r="GS21" s="361"/>
      <c r="GT21" s="361"/>
      <c r="GU21" s="361"/>
      <c r="GV21" s="361"/>
      <c r="GW21" s="361"/>
      <c r="GX21" s="361"/>
      <c r="GY21" s="361"/>
      <c r="GZ21" s="361"/>
      <c r="HA21" s="361"/>
      <c r="HB21" s="361"/>
      <c r="HC21" s="361"/>
      <c r="HD21" s="361"/>
      <c r="HE21" s="361"/>
      <c r="HF21" s="361"/>
      <c r="HG21" s="361"/>
      <c r="HH21" s="361"/>
      <c r="HI21" s="361"/>
      <c r="HJ21" s="361"/>
      <c r="HK21" s="361"/>
      <c r="HL21" s="361"/>
      <c r="HM21" s="361"/>
      <c r="HN21" s="361"/>
      <c r="HO21" s="361"/>
      <c r="HP21" s="361"/>
      <c r="HQ21" s="361"/>
      <c r="HR21" s="361"/>
      <c r="HS21" s="361"/>
      <c r="HT21" s="361"/>
      <c r="HU21" s="361"/>
      <c r="HV21" s="361"/>
      <c r="HW21" s="361"/>
      <c r="HX21" s="361"/>
      <c r="HY21" s="361"/>
      <c r="HZ21" s="361"/>
      <c r="IA21" s="361"/>
      <c r="IB21" s="361"/>
      <c r="IC21" s="361"/>
      <c r="ID21" s="361"/>
      <c r="IE21" s="361"/>
      <c r="IF21" s="361"/>
      <c r="IG21" s="361"/>
      <c r="IH21" s="361"/>
      <c r="II21" s="361"/>
      <c r="IJ21" s="361"/>
      <c r="IK21" s="361"/>
      <c r="IL21" s="361"/>
      <c r="IM21" s="361"/>
      <c r="IN21" s="361"/>
      <c r="IO21" s="361"/>
      <c r="IP21" s="361"/>
      <c r="IQ21" s="361"/>
      <c r="IR21" s="361"/>
      <c r="IS21" s="361"/>
      <c r="IT21" s="41"/>
    </row>
    <row r="24" spans="1:7" ht="33" hidden="1">
      <c r="A24" s="363">
        <v>1</v>
      </c>
      <c r="B24" s="363"/>
      <c r="C24" s="363"/>
      <c r="D24" s="815" t="s">
        <v>543</v>
      </c>
      <c r="E24" s="816">
        <v>21891</v>
      </c>
      <c r="G24" s="362" t="s">
        <v>549</v>
      </c>
    </row>
    <row r="25" spans="1:5" ht="16.5" hidden="1">
      <c r="A25" s="363">
        <v>2</v>
      </c>
      <c r="B25" s="363"/>
      <c r="C25" s="363"/>
      <c r="D25" s="817" t="s">
        <v>544</v>
      </c>
      <c r="E25" s="818">
        <v>288000</v>
      </c>
    </row>
    <row r="26" spans="1:5" ht="16.5" hidden="1">
      <c r="A26" s="363">
        <v>3</v>
      </c>
      <c r="B26" s="363"/>
      <c r="C26" s="363"/>
      <c r="D26" s="819" t="s">
        <v>481</v>
      </c>
      <c r="E26" s="818">
        <v>217000</v>
      </c>
    </row>
    <row r="27" spans="1:5" ht="33" hidden="1">
      <c r="A27" s="363">
        <v>4</v>
      </c>
      <c r="B27" s="363"/>
      <c r="C27" s="363"/>
      <c r="D27" s="819" t="s">
        <v>546</v>
      </c>
      <c r="E27" s="818">
        <v>20000</v>
      </c>
    </row>
    <row r="28" spans="1:5" ht="17.25" hidden="1" thickBot="1">
      <c r="A28" s="363">
        <v>5</v>
      </c>
      <c r="B28" s="363"/>
      <c r="C28" s="363"/>
      <c r="D28" s="820" t="s">
        <v>548</v>
      </c>
      <c r="E28" s="821">
        <v>15000</v>
      </c>
    </row>
    <row r="29" spans="1:5" ht="18" hidden="1" thickBot="1">
      <c r="A29" s="363">
        <v>6</v>
      </c>
      <c r="B29" s="363"/>
      <c r="C29" s="363"/>
      <c r="D29" s="822" t="s">
        <v>491</v>
      </c>
      <c r="E29" s="823">
        <f>SUM(E24:E28)</f>
        <v>561891</v>
      </c>
    </row>
    <row r="30" ht="17.25" hidden="1"/>
  </sheetData>
  <sheetProtection/>
  <mergeCells count="24">
    <mergeCell ref="B21:D21"/>
    <mergeCell ref="A11:A12"/>
    <mergeCell ref="A15:A16"/>
    <mergeCell ref="A17:A18"/>
    <mergeCell ref="A19:A20"/>
    <mergeCell ref="B15:B16"/>
    <mergeCell ref="C15:D15"/>
    <mergeCell ref="B17:B18"/>
    <mergeCell ref="C17:D17"/>
    <mergeCell ref="A3:E3"/>
    <mergeCell ref="A4:E4"/>
    <mergeCell ref="B19:B20"/>
    <mergeCell ref="C19:D19"/>
    <mergeCell ref="E19:E20"/>
    <mergeCell ref="E17:E18"/>
    <mergeCell ref="B10:D10"/>
    <mergeCell ref="B11:B12"/>
    <mergeCell ref="C11:D11"/>
    <mergeCell ref="E11:E12"/>
    <mergeCell ref="A6:E6"/>
    <mergeCell ref="C13:D13"/>
    <mergeCell ref="B13:B14"/>
    <mergeCell ref="E13:E14"/>
    <mergeCell ref="A13:A14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portrait" paperSize="9" r:id="rId1"/>
  <headerFooter>
    <oddFooter>&amp;C-&amp;P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view="pageBreakPreview" zoomScaleSheetLayoutView="100" zoomScalePageLayoutView="0" workbookViewId="0" topLeftCell="A10">
      <selection activeCell="B1" sqref="B1:V1"/>
    </sheetView>
  </sheetViews>
  <sheetFormatPr defaultColWidth="10.375" defaultRowHeight="12.75"/>
  <cols>
    <col min="1" max="1" width="3.75390625" style="534" customWidth="1"/>
    <col min="2" max="3" width="5.75390625" style="197" customWidth="1"/>
    <col min="4" max="4" width="51.75390625" style="721" customWidth="1"/>
    <col min="5" max="5" width="19.75390625" style="198" customWidth="1"/>
    <col min="6" max="6" width="3.00390625" style="196" customWidth="1"/>
    <col min="7" max="8" width="13.75390625" style="196" customWidth="1"/>
    <col min="9" max="11" width="12.25390625" style="196" customWidth="1"/>
    <col min="12" max="13" width="13.75390625" style="196" customWidth="1"/>
    <col min="14" max="14" width="13.75390625" style="1209" customWidth="1"/>
    <col min="15" max="16" width="13.75390625" style="196" customWidth="1"/>
    <col min="17" max="17" width="15.75390625" style="196" customWidth="1"/>
    <col min="18" max="20" width="12.25390625" style="196" customWidth="1"/>
    <col min="21" max="25" width="13.75390625" style="196" customWidth="1"/>
    <col min="26" max="26" width="15.75390625" style="196" customWidth="1"/>
    <col min="27" max="16384" width="10.375" style="196" customWidth="1"/>
  </cols>
  <sheetData>
    <row r="1" spans="1:26" ht="16.5">
      <c r="A1" s="735"/>
      <c r="B1" s="1657" t="s">
        <v>830</v>
      </c>
      <c r="C1" s="1657"/>
      <c r="D1" s="1657"/>
      <c r="E1" s="1657"/>
      <c r="F1" s="1657"/>
      <c r="G1" s="1657"/>
      <c r="H1" s="1657"/>
      <c r="I1" s="1657"/>
      <c r="J1" s="1657"/>
      <c r="K1" s="1657"/>
      <c r="L1" s="1657"/>
      <c r="M1" s="1657"/>
      <c r="N1" s="1657"/>
      <c r="O1" s="1657"/>
      <c r="P1" s="1657"/>
      <c r="Q1" s="1657"/>
      <c r="R1" s="1657"/>
      <c r="S1" s="1657"/>
      <c r="T1" s="1657"/>
      <c r="U1" s="1657"/>
      <c r="V1" s="1657"/>
      <c r="W1" s="755"/>
      <c r="X1" s="755"/>
      <c r="Y1" s="755"/>
      <c r="Z1" s="755"/>
    </row>
    <row r="2" spans="2:26" ht="24.75" customHeight="1">
      <c r="B2" s="1689" t="s">
        <v>108</v>
      </c>
      <c r="C2" s="1689"/>
      <c r="D2" s="1689"/>
      <c r="E2" s="1689"/>
      <c r="F2" s="1689"/>
      <c r="G2" s="1689"/>
      <c r="H2" s="1689"/>
      <c r="I2" s="1689"/>
      <c r="J2" s="1689"/>
      <c r="K2" s="1689"/>
      <c r="L2" s="1689"/>
      <c r="M2" s="1689"/>
      <c r="N2" s="1689"/>
      <c r="O2" s="1689"/>
      <c r="P2" s="1689"/>
      <c r="Q2" s="1689"/>
      <c r="R2" s="1689"/>
      <c r="S2" s="1689"/>
      <c r="T2" s="1689"/>
      <c r="U2" s="1689"/>
      <c r="V2" s="1689"/>
      <c r="W2" s="1689"/>
      <c r="X2" s="1689"/>
      <c r="Y2" s="1689"/>
      <c r="Z2" s="1689"/>
    </row>
    <row r="3" spans="2:26" ht="24.75" customHeight="1">
      <c r="B3" s="1689" t="s">
        <v>322</v>
      </c>
      <c r="C3" s="1689"/>
      <c r="D3" s="1689"/>
      <c r="E3" s="1689"/>
      <c r="F3" s="1689"/>
      <c r="G3" s="1689"/>
      <c r="H3" s="1689"/>
      <c r="I3" s="1689"/>
      <c r="J3" s="1689"/>
      <c r="K3" s="1689"/>
      <c r="L3" s="1689"/>
      <c r="M3" s="1689"/>
      <c r="N3" s="1689"/>
      <c r="O3" s="1689"/>
      <c r="P3" s="1689"/>
      <c r="Q3" s="1689"/>
      <c r="R3" s="1689"/>
      <c r="S3" s="1689"/>
      <c r="T3" s="1689"/>
      <c r="U3" s="1689"/>
      <c r="V3" s="1689"/>
      <c r="W3" s="1689"/>
      <c r="X3" s="1689"/>
      <c r="Y3" s="1689"/>
      <c r="Z3" s="1689"/>
    </row>
    <row r="4" spans="2:26" ht="24.75" customHeight="1">
      <c r="B4" s="1689" t="s">
        <v>308</v>
      </c>
      <c r="C4" s="1689"/>
      <c r="D4" s="1689"/>
      <c r="E4" s="1689"/>
      <c r="F4" s="1689"/>
      <c r="G4" s="1689"/>
      <c r="H4" s="1689"/>
      <c r="I4" s="1689"/>
      <c r="J4" s="1689"/>
      <c r="K4" s="1689"/>
      <c r="L4" s="1689"/>
      <c r="M4" s="1689"/>
      <c r="N4" s="1689"/>
      <c r="O4" s="1689"/>
      <c r="P4" s="1689"/>
      <c r="Q4" s="1689"/>
      <c r="R4" s="1689"/>
      <c r="S4" s="1689"/>
      <c r="T4" s="1689"/>
      <c r="U4" s="1689"/>
      <c r="V4" s="1689"/>
      <c r="W4" s="1689"/>
      <c r="X4" s="1689"/>
      <c r="Y4" s="1689"/>
      <c r="Z4" s="1689"/>
    </row>
    <row r="5" spans="1:26" s="533" customFormat="1" ht="15">
      <c r="A5" s="534"/>
      <c r="B5" s="534"/>
      <c r="C5" s="534"/>
      <c r="D5" s="535"/>
      <c r="E5" s="536"/>
      <c r="G5" s="1219"/>
      <c r="H5" s="1219"/>
      <c r="I5" s="1219"/>
      <c r="J5" s="1219"/>
      <c r="K5" s="1219"/>
      <c r="L5" s="1219"/>
      <c r="M5" s="1219"/>
      <c r="N5" s="1219"/>
      <c r="O5" s="1219"/>
      <c r="P5" s="1219"/>
      <c r="Q5" s="1219"/>
      <c r="X5" s="1690" t="s">
        <v>0</v>
      </c>
      <c r="Y5" s="1690"/>
      <c r="Z5" s="1690"/>
    </row>
    <row r="6" spans="2:26" s="534" customFormat="1" ht="15.75" thickBot="1">
      <c r="B6" s="534" t="s">
        <v>483</v>
      </c>
      <c r="C6" s="534" t="s">
        <v>3</v>
      </c>
      <c r="D6" s="589" t="s">
        <v>2</v>
      </c>
      <c r="E6" s="536" t="s">
        <v>4</v>
      </c>
      <c r="G6" s="1220" t="s">
        <v>5</v>
      </c>
      <c r="H6" s="1220" t="s">
        <v>15</v>
      </c>
      <c r="I6" s="1220" t="s">
        <v>16</v>
      </c>
      <c r="J6" s="1220" t="s">
        <v>17</v>
      </c>
      <c r="K6" s="1220" t="s">
        <v>34</v>
      </c>
      <c r="L6" s="1220" t="s">
        <v>30</v>
      </c>
      <c r="M6" s="1220" t="s">
        <v>23</v>
      </c>
      <c r="N6" s="1220" t="s">
        <v>35</v>
      </c>
      <c r="O6" s="1220" t="s">
        <v>36</v>
      </c>
      <c r="P6" s="1220" t="s">
        <v>145</v>
      </c>
      <c r="Q6" s="1220" t="s">
        <v>146</v>
      </c>
      <c r="R6" s="1247" t="s">
        <v>147</v>
      </c>
      <c r="S6" s="534" t="s">
        <v>293</v>
      </c>
      <c r="T6" s="534" t="s">
        <v>390</v>
      </c>
      <c r="U6" s="590" t="s">
        <v>391</v>
      </c>
      <c r="V6" s="590" t="s">
        <v>484</v>
      </c>
      <c r="W6" s="590" t="s">
        <v>723</v>
      </c>
      <c r="X6" s="590" t="s">
        <v>724</v>
      </c>
      <c r="Y6" s="590" t="s">
        <v>725</v>
      </c>
      <c r="Z6" s="590" t="s">
        <v>726</v>
      </c>
    </row>
    <row r="7" spans="1:26" s="199" customFormat="1" ht="24.75" customHeight="1">
      <c r="A7" s="591"/>
      <c r="B7" s="1667" t="s">
        <v>18</v>
      </c>
      <c r="C7" s="1670" t="s">
        <v>19</v>
      </c>
      <c r="D7" s="1673" t="s">
        <v>309</v>
      </c>
      <c r="E7" s="1676" t="s">
        <v>310</v>
      </c>
      <c r="F7" s="592"/>
      <c r="G7" s="1679" t="s">
        <v>317</v>
      </c>
      <c r="H7" s="1679"/>
      <c r="I7" s="1680"/>
      <c r="J7" s="1680"/>
      <c r="K7" s="1680"/>
      <c r="L7" s="1680"/>
      <c r="M7" s="1680"/>
      <c r="N7" s="1680"/>
      <c r="O7" s="1680"/>
      <c r="P7" s="1681"/>
      <c r="Q7" s="1682"/>
      <c r="R7" s="1683" t="s">
        <v>318</v>
      </c>
      <c r="S7" s="1684"/>
      <c r="T7" s="1684"/>
      <c r="U7" s="1684"/>
      <c r="V7" s="1684"/>
      <c r="W7" s="1684"/>
      <c r="X7" s="1685"/>
      <c r="Y7" s="1673"/>
      <c r="Z7" s="1658" t="s">
        <v>396</v>
      </c>
    </row>
    <row r="8" spans="1:26" s="199" customFormat="1" ht="24.75" customHeight="1">
      <c r="A8" s="591"/>
      <c r="B8" s="1668"/>
      <c r="C8" s="1671"/>
      <c r="D8" s="1674"/>
      <c r="E8" s="1677"/>
      <c r="F8" s="593"/>
      <c r="G8" s="1661" t="s">
        <v>311</v>
      </c>
      <c r="H8" s="1663" t="s">
        <v>490</v>
      </c>
      <c r="I8" s="1692" t="s">
        <v>313</v>
      </c>
      <c r="J8" s="1693"/>
      <c r="K8" s="1693"/>
      <c r="L8" s="1693"/>
      <c r="M8" s="1693"/>
      <c r="N8" s="1693"/>
      <c r="O8" s="1693"/>
      <c r="P8" s="1694"/>
      <c r="Q8" s="1665" t="s">
        <v>312</v>
      </c>
      <c r="R8" s="1686"/>
      <c r="S8" s="1687"/>
      <c r="T8" s="1687"/>
      <c r="U8" s="1687"/>
      <c r="V8" s="1687"/>
      <c r="W8" s="1687"/>
      <c r="X8" s="1688"/>
      <c r="Y8" s="1691"/>
      <c r="Z8" s="1659"/>
    </row>
    <row r="9" spans="1:26" s="199" customFormat="1" ht="60.75" customHeight="1" thickBot="1">
      <c r="A9" s="591"/>
      <c r="B9" s="1669"/>
      <c r="C9" s="1672"/>
      <c r="D9" s="1675"/>
      <c r="E9" s="1678"/>
      <c r="F9" s="593"/>
      <c r="G9" s="1662"/>
      <c r="H9" s="1664"/>
      <c r="I9" s="1221" t="s">
        <v>319</v>
      </c>
      <c r="J9" s="1221" t="s">
        <v>367</v>
      </c>
      <c r="K9" s="1221" t="s">
        <v>404</v>
      </c>
      <c r="L9" s="1221" t="s">
        <v>485</v>
      </c>
      <c r="M9" s="1221" t="s">
        <v>508</v>
      </c>
      <c r="N9" s="1221" t="s">
        <v>555</v>
      </c>
      <c r="O9" s="1221" t="s">
        <v>403</v>
      </c>
      <c r="P9" s="1222" t="s">
        <v>721</v>
      </c>
      <c r="Q9" s="1666"/>
      <c r="R9" s="222" t="s">
        <v>320</v>
      </c>
      <c r="S9" s="223" t="s">
        <v>367</v>
      </c>
      <c r="T9" s="223" t="s">
        <v>404</v>
      </c>
      <c r="U9" s="223" t="s">
        <v>485</v>
      </c>
      <c r="V9" s="223" t="s">
        <v>508</v>
      </c>
      <c r="W9" s="223" t="s">
        <v>555</v>
      </c>
      <c r="X9" s="223" t="s">
        <v>403</v>
      </c>
      <c r="Y9" s="1217" t="s">
        <v>721</v>
      </c>
      <c r="Z9" s="1660"/>
    </row>
    <row r="10" spans="1:26" s="199" customFormat="1" ht="33" customHeight="1">
      <c r="A10" s="594">
        <v>1</v>
      </c>
      <c r="B10" s="595">
        <v>18</v>
      </c>
      <c r="C10" s="596" t="s">
        <v>14</v>
      </c>
      <c r="D10" s="597"/>
      <c r="E10" s="598"/>
      <c r="F10" s="599"/>
      <c r="G10" s="1223"/>
      <c r="H10" s="1224"/>
      <c r="I10" s="1225"/>
      <c r="J10" s="1225"/>
      <c r="K10" s="1225"/>
      <c r="L10" s="1225"/>
      <c r="M10" s="1225"/>
      <c r="N10" s="1225"/>
      <c r="O10" s="1225"/>
      <c r="P10" s="1226"/>
      <c r="Q10" s="1227"/>
      <c r="R10" s="600"/>
      <c r="S10" s="601"/>
      <c r="T10" s="601"/>
      <c r="U10" s="601"/>
      <c r="V10" s="601"/>
      <c r="W10" s="601"/>
      <c r="X10" s="601"/>
      <c r="Y10" s="1218"/>
      <c r="Z10" s="602"/>
    </row>
    <row r="11" spans="1:26" ht="33" customHeight="1">
      <c r="A11" s="594">
        <v>2</v>
      </c>
      <c r="B11" s="378"/>
      <c r="C11" s="610">
        <v>1</v>
      </c>
      <c r="D11" s="611" t="s">
        <v>426</v>
      </c>
      <c r="E11" s="604" t="s">
        <v>488</v>
      </c>
      <c r="F11" s="201"/>
      <c r="G11" s="614">
        <f aca="true" t="shared" si="0" ref="G11:G25">+Z11-Q11-H11</f>
        <v>11744</v>
      </c>
      <c r="H11" s="1228"/>
      <c r="I11" s="615"/>
      <c r="J11" s="615"/>
      <c r="K11" s="615"/>
      <c r="L11" s="615">
        <v>19069</v>
      </c>
      <c r="M11" s="615"/>
      <c r="N11" s="615">
        <v>17569</v>
      </c>
      <c r="O11" s="615"/>
      <c r="P11" s="1214"/>
      <c r="Q11" s="739">
        <f>SUM(I11:P11)</f>
        <v>36638</v>
      </c>
      <c r="R11" s="605"/>
      <c r="S11" s="607"/>
      <c r="T11" s="607">
        <v>1956</v>
      </c>
      <c r="U11" s="607"/>
      <c r="V11" s="607"/>
      <c r="W11" s="607">
        <v>21991</v>
      </c>
      <c r="X11" s="607">
        <v>24435</v>
      </c>
      <c r="Y11" s="1213"/>
      <c r="Z11" s="609">
        <f>SUM(R11:Y11)</f>
        <v>48382</v>
      </c>
    </row>
    <row r="12" spans="1:26" s="199" customFormat="1" ht="66">
      <c r="A12" s="594">
        <v>3</v>
      </c>
      <c r="B12" s="378"/>
      <c r="C12" s="610">
        <v>2</v>
      </c>
      <c r="D12" s="269" t="s">
        <v>509</v>
      </c>
      <c r="E12" s="604" t="s">
        <v>513</v>
      </c>
      <c r="F12" s="379"/>
      <c r="G12" s="618">
        <f t="shared" si="0"/>
        <v>750</v>
      </c>
      <c r="H12" s="619"/>
      <c r="I12" s="615"/>
      <c r="J12" s="615"/>
      <c r="K12" s="615"/>
      <c r="L12" s="615"/>
      <c r="M12" s="615">
        <v>307086</v>
      </c>
      <c r="N12" s="615"/>
      <c r="O12" s="615"/>
      <c r="P12" s="1214"/>
      <c r="Q12" s="739">
        <f aca="true" t="shared" si="1" ref="Q12:Q37">SUM(I12:P12)</f>
        <v>307086</v>
      </c>
      <c r="R12" s="605"/>
      <c r="S12" s="607"/>
      <c r="T12" s="607">
        <f>984+40</f>
        <v>1024</v>
      </c>
      <c r="U12" s="607">
        <v>40</v>
      </c>
      <c r="V12" s="607">
        <f>108+800</f>
        <v>908</v>
      </c>
      <c r="W12" s="607">
        <v>197815</v>
      </c>
      <c r="X12" s="607">
        <v>108049</v>
      </c>
      <c r="Y12" s="1213"/>
      <c r="Z12" s="609">
        <f aca="true" t="shared" si="2" ref="Z12:Z37">SUM(R12:Y12)</f>
        <v>307836</v>
      </c>
    </row>
    <row r="13" spans="1:26" ht="33" customHeight="1">
      <c r="A13" s="594">
        <v>4</v>
      </c>
      <c r="B13" s="378"/>
      <c r="C13" s="610">
        <v>3</v>
      </c>
      <c r="D13" s="611" t="s">
        <v>427</v>
      </c>
      <c r="E13" s="604" t="s">
        <v>774</v>
      </c>
      <c r="F13" s="201"/>
      <c r="G13" s="612">
        <f t="shared" si="0"/>
        <v>281564</v>
      </c>
      <c r="H13" s="613"/>
      <c r="I13" s="607"/>
      <c r="J13" s="607"/>
      <c r="K13" s="607">
        <v>2092161</v>
      </c>
      <c r="L13" s="607"/>
      <c r="M13" s="607">
        <f>1107839-607839</f>
        <v>500000</v>
      </c>
      <c r="N13" s="615">
        <v>575772</v>
      </c>
      <c r="O13" s="607"/>
      <c r="P13" s="1213"/>
      <c r="Q13" s="608">
        <f t="shared" si="1"/>
        <v>3167933</v>
      </c>
      <c r="R13" s="605">
        <v>40063</v>
      </c>
      <c r="S13" s="607">
        <v>83854</v>
      </c>
      <c r="T13" s="607">
        <v>327034</v>
      </c>
      <c r="U13" s="607">
        <v>1231269</v>
      </c>
      <c r="V13" s="607">
        <f>710+1172933</f>
        <v>1173643</v>
      </c>
      <c r="W13" s="607">
        <v>592544</v>
      </c>
      <c r="X13" s="607">
        <v>1090</v>
      </c>
      <c r="Y13" s="1213"/>
      <c r="Z13" s="609">
        <f t="shared" si="2"/>
        <v>3449497</v>
      </c>
    </row>
    <row r="14" spans="1:26" ht="54" customHeight="1">
      <c r="A14" s="594">
        <v>5</v>
      </c>
      <c r="B14" s="378"/>
      <c r="C14" s="610">
        <v>4</v>
      </c>
      <c r="D14" s="611" t="s">
        <v>501</v>
      </c>
      <c r="E14" s="604" t="s">
        <v>775</v>
      </c>
      <c r="F14" s="201"/>
      <c r="G14" s="612">
        <f t="shared" si="0"/>
        <v>183</v>
      </c>
      <c r="H14" s="613"/>
      <c r="I14" s="607"/>
      <c r="J14" s="607"/>
      <c r="K14" s="607">
        <v>19671</v>
      </c>
      <c r="L14" s="607"/>
      <c r="M14" s="607"/>
      <c r="N14" s="615">
        <v>206228</v>
      </c>
      <c r="O14" s="607">
        <v>14101</v>
      </c>
      <c r="P14" s="1213"/>
      <c r="Q14" s="608">
        <f t="shared" si="1"/>
        <v>240000</v>
      </c>
      <c r="R14" s="605"/>
      <c r="S14" s="607"/>
      <c r="T14" s="607">
        <v>9749</v>
      </c>
      <c r="U14" s="607">
        <v>3835</v>
      </c>
      <c r="V14" s="607">
        <v>7697</v>
      </c>
      <c r="W14" s="607">
        <v>140243</v>
      </c>
      <c r="X14" s="607">
        <v>78659</v>
      </c>
      <c r="Y14" s="1213"/>
      <c r="Z14" s="609">
        <f t="shared" si="2"/>
        <v>240183</v>
      </c>
    </row>
    <row r="15" spans="1:26" s="199" customFormat="1" ht="33">
      <c r="A15" s="594">
        <v>6</v>
      </c>
      <c r="B15" s="378"/>
      <c r="C15" s="610">
        <v>5</v>
      </c>
      <c r="D15" s="611" t="s">
        <v>428</v>
      </c>
      <c r="E15" s="604" t="s">
        <v>486</v>
      </c>
      <c r="F15" s="379"/>
      <c r="G15" s="612">
        <f t="shared" si="0"/>
        <v>5000</v>
      </c>
      <c r="H15" s="613"/>
      <c r="I15" s="607"/>
      <c r="J15" s="607"/>
      <c r="K15" s="607"/>
      <c r="L15" s="607">
        <v>480600</v>
      </c>
      <c r="M15" s="607"/>
      <c r="N15" s="615"/>
      <c r="O15" s="607">
        <v>21000</v>
      </c>
      <c r="P15" s="1213"/>
      <c r="Q15" s="608">
        <f t="shared" si="1"/>
        <v>501600</v>
      </c>
      <c r="R15" s="605"/>
      <c r="S15" s="607"/>
      <c r="T15" s="607">
        <v>326</v>
      </c>
      <c r="U15" s="607">
        <v>17127</v>
      </c>
      <c r="V15" s="607">
        <f>1549+2433</f>
        <v>3982</v>
      </c>
      <c r="W15" s="607">
        <v>72298</v>
      </c>
      <c r="X15" s="607">
        <f>400867+12000</f>
        <v>412867</v>
      </c>
      <c r="Y15" s="1213"/>
      <c r="Z15" s="609">
        <f t="shared" si="2"/>
        <v>506600</v>
      </c>
    </row>
    <row r="16" spans="1:26" s="199" customFormat="1" ht="55.5" customHeight="1">
      <c r="A16" s="594">
        <v>7</v>
      </c>
      <c r="B16" s="378"/>
      <c r="C16" s="610">
        <v>6</v>
      </c>
      <c r="D16" s="611" t="s">
        <v>510</v>
      </c>
      <c r="E16" s="604" t="s">
        <v>488</v>
      </c>
      <c r="F16" s="379"/>
      <c r="G16" s="612">
        <f t="shared" si="0"/>
        <v>0</v>
      </c>
      <c r="H16" s="613"/>
      <c r="I16" s="607"/>
      <c r="J16" s="607"/>
      <c r="K16" s="607"/>
      <c r="L16" s="607"/>
      <c r="M16" s="607"/>
      <c r="N16" s="615">
        <v>73653</v>
      </c>
      <c r="O16" s="607">
        <v>832347</v>
      </c>
      <c r="P16" s="1213"/>
      <c r="Q16" s="608">
        <f t="shared" si="1"/>
        <v>906000</v>
      </c>
      <c r="R16" s="605"/>
      <c r="S16" s="607"/>
      <c r="T16" s="607"/>
      <c r="U16" s="607"/>
      <c r="V16" s="607">
        <v>5906</v>
      </c>
      <c r="W16" s="607">
        <v>14982</v>
      </c>
      <c r="X16" s="607">
        <f>862462+22650</f>
        <v>885112</v>
      </c>
      <c r="Y16" s="1213"/>
      <c r="Z16" s="609">
        <f t="shared" si="2"/>
        <v>906000</v>
      </c>
    </row>
    <row r="17" spans="1:26" s="740" customFormat="1" ht="33" customHeight="1">
      <c r="A17" s="594">
        <v>8</v>
      </c>
      <c r="B17" s="736"/>
      <c r="C17" s="737">
        <v>7</v>
      </c>
      <c r="D17" s="617" t="s">
        <v>511</v>
      </c>
      <c r="E17" s="675" t="s">
        <v>512</v>
      </c>
      <c r="F17" s="738"/>
      <c r="G17" s="618">
        <f t="shared" si="0"/>
        <v>0</v>
      </c>
      <c r="H17" s="619"/>
      <c r="I17" s="615"/>
      <c r="J17" s="615"/>
      <c r="K17" s="615"/>
      <c r="L17" s="615"/>
      <c r="M17" s="615"/>
      <c r="N17" s="615">
        <v>2787362</v>
      </c>
      <c r="O17" s="615">
        <v>118938</v>
      </c>
      <c r="P17" s="1214"/>
      <c r="Q17" s="608">
        <f t="shared" si="1"/>
        <v>2906300</v>
      </c>
      <c r="R17" s="614"/>
      <c r="S17" s="615"/>
      <c r="T17" s="615"/>
      <c r="U17" s="615"/>
      <c r="V17" s="615">
        <v>3428</v>
      </c>
      <c r="W17" s="615">
        <v>21799</v>
      </c>
      <c r="X17" s="615">
        <v>2881073</v>
      </c>
      <c r="Y17" s="1214"/>
      <c r="Z17" s="609">
        <f t="shared" si="2"/>
        <v>2906300</v>
      </c>
    </row>
    <row r="18" spans="1:26" ht="33" customHeight="1">
      <c r="A18" s="594">
        <v>9</v>
      </c>
      <c r="B18" s="378"/>
      <c r="C18" s="610">
        <v>8</v>
      </c>
      <c r="D18" s="611" t="s">
        <v>515</v>
      </c>
      <c r="E18" s="604" t="s">
        <v>776</v>
      </c>
      <c r="F18" s="201"/>
      <c r="G18" s="618">
        <f t="shared" si="0"/>
        <v>0</v>
      </c>
      <c r="H18" s="619">
        <v>277946</v>
      </c>
      <c r="I18" s="607"/>
      <c r="J18" s="607"/>
      <c r="K18" s="607">
        <v>558299</v>
      </c>
      <c r="L18" s="607"/>
      <c r="M18" s="607"/>
      <c r="N18" s="615"/>
      <c r="O18" s="607">
        <v>793085</v>
      </c>
      <c r="P18" s="1213"/>
      <c r="Q18" s="608">
        <f t="shared" si="1"/>
        <v>1351384</v>
      </c>
      <c r="R18" s="614"/>
      <c r="S18" s="615"/>
      <c r="T18" s="615">
        <v>28000</v>
      </c>
      <c r="U18" s="615">
        <v>26441</v>
      </c>
      <c r="V18" s="615">
        <v>46228</v>
      </c>
      <c r="W18" s="615">
        <v>12816</v>
      </c>
      <c r="X18" s="607">
        <v>1515845</v>
      </c>
      <c r="Y18" s="1213"/>
      <c r="Z18" s="609">
        <f t="shared" si="2"/>
        <v>1629330</v>
      </c>
    </row>
    <row r="19" spans="1:26" ht="49.5">
      <c r="A19" s="594">
        <v>10</v>
      </c>
      <c r="B19" s="378"/>
      <c r="C19" s="610">
        <v>9</v>
      </c>
      <c r="D19" s="620" t="s">
        <v>430</v>
      </c>
      <c r="E19" s="604" t="s">
        <v>488</v>
      </c>
      <c r="F19" s="201"/>
      <c r="G19" s="612">
        <f t="shared" si="0"/>
        <v>23976</v>
      </c>
      <c r="H19" s="613"/>
      <c r="I19" s="607"/>
      <c r="J19" s="607"/>
      <c r="K19" s="607"/>
      <c r="L19" s="607">
        <v>243150</v>
      </c>
      <c r="M19" s="607"/>
      <c r="N19" s="615"/>
      <c r="O19" s="607">
        <v>11850</v>
      </c>
      <c r="P19" s="1213"/>
      <c r="Q19" s="608">
        <f t="shared" si="1"/>
        <v>255000</v>
      </c>
      <c r="R19" s="605"/>
      <c r="S19" s="607"/>
      <c r="T19" s="607">
        <v>4379</v>
      </c>
      <c r="U19" s="607">
        <v>12827</v>
      </c>
      <c r="V19" s="607"/>
      <c r="W19" s="607"/>
      <c r="X19" s="607">
        <v>261770</v>
      </c>
      <c r="Y19" s="1213"/>
      <c r="Z19" s="609">
        <f t="shared" si="2"/>
        <v>278976</v>
      </c>
    </row>
    <row r="20" spans="1:26" s="1245" customFormat="1" ht="33" customHeight="1">
      <c r="A20" s="594">
        <v>11</v>
      </c>
      <c r="B20" s="736"/>
      <c r="C20" s="1246">
        <v>10</v>
      </c>
      <c r="D20" s="611" t="s">
        <v>482</v>
      </c>
      <c r="E20" s="675" t="s">
        <v>488</v>
      </c>
      <c r="F20" s="738"/>
      <c r="G20" s="618">
        <f t="shared" si="0"/>
        <v>0</v>
      </c>
      <c r="H20" s="619"/>
      <c r="I20" s="615"/>
      <c r="J20" s="615"/>
      <c r="K20" s="615"/>
      <c r="L20" s="615">
        <f>23652+14397</f>
        <v>38049</v>
      </c>
      <c r="M20" s="615">
        <f>29993+15185+6342</f>
        <v>51520</v>
      </c>
      <c r="N20" s="615">
        <v>16998</v>
      </c>
      <c r="O20" s="615">
        <f>4172+43829+2741+26691</f>
        <v>77433</v>
      </c>
      <c r="P20" s="1214"/>
      <c r="Q20" s="739">
        <f t="shared" si="1"/>
        <v>184000</v>
      </c>
      <c r="R20" s="614"/>
      <c r="S20" s="615"/>
      <c r="T20" s="615">
        <v>9200</v>
      </c>
      <c r="U20" s="615">
        <f>3350+5228+2097</f>
        <v>10675</v>
      </c>
      <c r="V20" s="615">
        <f>13739+5801</f>
        <v>19540</v>
      </c>
      <c r="W20" s="615">
        <v>18104</v>
      </c>
      <c r="X20" s="615">
        <v>126481</v>
      </c>
      <c r="Y20" s="1214"/>
      <c r="Z20" s="609">
        <f t="shared" si="2"/>
        <v>184000</v>
      </c>
    </row>
    <row r="21" spans="1:26" ht="49.5">
      <c r="A21" s="594">
        <v>12</v>
      </c>
      <c r="B21" s="378"/>
      <c r="C21" s="610">
        <v>11</v>
      </c>
      <c r="D21" s="611" t="s">
        <v>368</v>
      </c>
      <c r="E21" s="604" t="s">
        <v>486</v>
      </c>
      <c r="F21" s="201"/>
      <c r="G21" s="612">
        <f t="shared" si="0"/>
        <v>45</v>
      </c>
      <c r="H21" s="613"/>
      <c r="I21" s="607"/>
      <c r="J21" s="607"/>
      <c r="K21" s="607">
        <v>24175</v>
      </c>
      <c r="L21" s="607"/>
      <c r="M21" s="607">
        <v>26185</v>
      </c>
      <c r="N21" s="615"/>
      <c r="O21" s="607"/>
      <c r="P21" s="1213"/>
      <c r="Q21" s="608">
        <f t="shared" si="1"/>
        <v>50360</v>
      </c>
      <c r="R21" s="614"/>
      <c r="S21" s="615"/>
      <c r="T21" s="615">
        <v>1176</v>
      </c>
      <c r="U21" s="615">
        <v>23808</v>
      </c>
      <c r="V21" s="615">
        <f>744+333+7845</f>
        <v>8922</v>
      </c>
      <c r="W21" s="615">
        <v>11615</v>
      </c>
      <c r="X21" s="607">
        <v>4884</v>
      </c>
      <c r="Y21" s="1213"/>
      <c r="Z21" s="609">
        <f t="shared" si="2"/>
        <v>50405</v>
      </c>
    </row>
    <row r="22" spans="1:26" ht="33" customHeight="1">
      <c r="A22" s="594">
        <v>13</v>
      </c>
      <c r="B22" s="741"/>
      <c r="C22" s="737">
        <v>12</v>
      </c>
      <c r="D22" s="756" t="s">
        <v>433</v>
      </c>
      <c r="E22" s="675" t="s">
        <v>488</v>
      </c>
      <c r="F22" s="742"/>
      <c r="G22" s="612">
        <f t="shared" si="0"/>
        <v>22500</v>
      </c>
      <c r="H22" s="607"/>
      <c r="I22" s="607"/>
      <c r="J22" s="607"/>
      <c r="K22" s="607"/>
      <c r="L22" s="607"/>
      <c r="M22" s="607">
        <v>0</v>
      </c>
      <c r="N22" s="615">
        <v>40000</v>
      </c>
      <c r="O22" s="607"/>
      <c r="P22" s="1213"/>
      <c r="Q22" s="608">
        <f t="shared" si="1"/>
        <v>40000</v>
      </c>
      <c r="R22" s="605"/>
      <c r="S22" s="607"/>
      <c r="T22" s="607"/>
      <c r="U22" s="607"/>
      <c r="V22" s="607">
        <v>1680</v>
      </c>
      <c r="W22" s="607">
        <v>1</v>
      </c>
      <c r="X22" s="607">
        <v>60819</v>
      </c>
      <c r="Y22" s="1213"/>
      <c r="Z22" s="609">
        <f t="shared" si="2"/>
        <v>62500</v>
      </c>
    </row>
    <row r="23" spans="1:26" ht="53.25" customHeight="1">
      <c r="A23" s="594">
        <v>14</v>
      </c>
      <c r="B23" s="741"/>
      <c r="C23" s="743">
        <v>13</v>
      </c>
      <c r="D23" s="546" t="s">
        <v>434</v>
      </c>
      <c r="E23" s="675" t="s">
        <v>488</v>
      </c>
      <c r="F23" s="744"/>
      <c r="G23" s="612">
        <f t="shared" si="0"/>
        <v>4</v>
      </c>
      <c r="H23" s="613"/>
      <c r="I23" s="745"/>
      <c r="J23" s="745"/>
      <c r="K23" s="745"/>
      <c r="L23" s="745"/>
      <c r="M23" s="745">
        <v>19985</v>
      </c>
      <c r="N23" s="1229"/>
      <c r="O23" s="745"/>
      <c r="P23" s="1215"/>
      <c r="Q23" s="608">
        <f t="shared" si="1"/>
        <v>19985</v>
      </c>
      <c r="R23" s="612"/>
      <c r="S23" s="745"/>
      <c r="T23" s="745"/>
      <c r="U23" s="745"/>
      <c r="V23" s="745"/>
      <c r="W23" s="745">
        <v>17976</v>
      </c>
      <c r="X23" s="745">
        <v>2013</v>
      </c>
      <c r="Y23" s="1215"/>
      <c r="Z23" s="609">
        <f t="shared" si="2"/>
        <v>19989</v>
      </c>
    </row>
    <row r="24" spans="1:26" ht="42" customHeight="1">
      <c r="A24" s="594">
        <v>15</v>
      </c>
      <c r="B24" s="741"/>
      <c r="C24" s="1211">
        <v>14</v>
      </c>
      <c r="D24" s="834" t="s">
        <v>560</v>
      </c>
      <c r="E24" s="1210" t="s">
        <v>512</v>
      </c>
      <c r="F24" s="1212"/>
      <c r="G24" s="612">
        <f t="shared" si="0"/>
        <v>8495</v>
      </c>
      <c r="H24" s="606"/>
      <c r="I24" s="607"/>
      <c r="J24" s="607"/>
      <c r="K24" s="607"/>
      <c r="L24" s="607"/>
      <c r="M24" s="607"/>
      <c r="N24" s="615"/>
      <c r="O24" s="607"/>
      <c r="P24" s="1213">
        <v>19822</v>
      </c>
      <c r="Q24" s="608">
        <f t="shared" si="1"/>
        <v>19822</v>
      </c>
      <c r="R24" s="605"/>
      <c r="S24" s="607"/>
      <c r="T24" s="607"/>
      <c r="U24" s="607"/>
      <c r="V24" s="607"/>
      <c r="W24" s="607">
        <v>4452</v>
      </c>
      <c r="X24" s="607">
        <f>17214+6651</f>
        <v>23865</v>
      </c>
      <c r="Y24" s="1213"/>
      <c r="Z24" s="609">
        <f t="shared" si="2"/>
        <v>28317</v>
      </c>
    </row>
    <row r="25" spans="1:26" ht="27.75" customHeight="1">
      <c r="A25" s="594">
        <v>16</v>
      </c>
      <c r="B25" s="741"/>
      <c r="C25" s="737">
        <v>15</v>
      </c>
      <c r="D25" s="444" t="s">
        <v>432</v>
      </c>
      <c r="E25" s="1210" t="s">
        <v>513</v>
      </c>
      <c r="F25" s="1212"/>
      <c r="G25" s="605">
        <f t="shared" si="0"/>
        <v>1796</v>
      </c>
      <c r="H25" s="607"/>
      <c r="I25" s="607"/>
      <c r="J25" s="607"/>
      <c r="K25" s="607"/>
      <c r="L25" s="607"/>
      <c r="M25" s="607"/>
      <c r="N25" s="615">
        <v>5926</v>
      </c>
      <c r="O25" s="607">
        <f>18368+9830</f>
        <v>28198</v>
      </c>
      <c r="P25" s="1213"/>
      <c r="Q25" s="608">
        <f t="shared" si="1"/>
        <v>34124</v>
      </c>
      <c r="R25" s="605"/>
      <c r="S25" s="607"/>
      <c r="T25" s="607"/>
      <c r="U25" s="607"/>
      <c r="V25" s="607">
        <v>2593</v>
      </c>
      <c r="W25" s="607">
        <v>7749</v>
      </c>
      <c r="X25" s="607">
        <f>20728+4850</f>
        <v>25578</v>
      </c>
      <c r="Y25" s="1213"/>
      <c r="Z25" s="609">
        <f t="shared" si="2"/>
        <v>35920</v>
      </c>
    </row>
    <row r="26" spans="1:26" ht="27.75" customHeight="1">
      <c r="A26" s="594">
        <v>17</v>
      </c>
      <c r="B26" s="736">
        <v>9</v>
      </c>
      <c r="C26" s="1234" t="s">
        <v>369</v>
      </c>
      <c r="D26" s="444"/>
      <c r="E26" s="675"/>
      <c r="F26" s="1233"/>
      <c r="G26" s="605"/>
      <c r="H26" s="606"/>
      <c r="I26" s="607"/>
      <c r="J26" s="607"/>
      <c r="K26" s="607"/>
      <c r="L26" s="607"/>
      <c r="M26" s="607"/>
      <c r="N26" s="615"/>
      <c r="O26" s="607"/>
      <c r="P26" s="1213"/>
      <c r="Q26" s="608"/>
      <c r="R26" s="605"/>
      <c r="S26" s="607"/>
      <c r="T26" s="607"/>
      <c r="U26" s="607"/>
      <c r="V26" s="607"/>
      <c r="W26" s="607"/>
      <c r="X26" s="607"/>
      <c r="Y26" s="1213"/>
      <c r="Z26" s="609"/>
    </row>
    <row r="27" spans="1:26" ht="36" customHeight="1">
      <c r="A27" s="594">
        <v>18</v>
      </c>
      <c r="B27" s="736"/>
      <c r="C27" s="737">
        <v>1</v>
      </c>
      <c r="D27" s="1096" t="s">
        <v>704</v>
      </c>
      <c r="E27" s="1210" t="s">
        <v>513</v>
      </c>
      <c r="F27" s="201"/>
      <c r="G27" s="605">
        <f>+Z27-Q27-H27</f>
        <v>0</v>
      </c>
      <c r="H27" s="606"/>
      <c r="I27" s="607"/>
      <c r="J27" s="607"/>
      <c r="K27" s="607"/>
      <c r="L27" s="607"/>
      <c r="M27" s="607"/>
      <c r="N27" s="615">
        <v>15000</v>
      </c>
      <c r="O27" s="607"/>
      <c r="P27" s="1213"/>
      <c r="Q27" s="608">
        <f t="shared" si="1"/>
        <v>15000</v>
      </c>
      <c r="R27" s="605"/>
      <c r="S27" s="607"/>
      <c r="T27" s="607"/>
      <c r="U27" s="607"/>
      <c r="V27" s="607"/>
      <c r="W27" s="607">
        <v>15000</v>
      </c>
      <c r="X27" s="607"/>
      <c r="Y27" s="1213"/>
      <c r="Z27" s="609">
        <f t="shared" si="2"/>
        <v>15000</v>
      </c>
    </row>
    <row r="28" spans="1:26" ht="36" customHeight="1">
      <c r="A28" s="594">
        <v>19</v>
      </c>
      <c r="B28" s="736">
        <v>10</v>
      </c>
      <c r="C28" s="1234" t="s">
        <v>370</v>
      </c>
      <c r="D28" s="1096"/>
      <c r="E28" s="675"/>
      <c r="F28" s="1233"/>
      <c r="G28" s="605"/>
      <c r="H28" s="606"/>
      <c r="I28" s="607"/>
      <c r="J28" s="607"/>
      <c r="K28" s="607"/>
      <c r="L28" s="607"/>
      <c r="M28" s="607"/>
      <c r="N28" s="615"/>
      <c r="O28" s="607"/>
      <c r="P28" s="1213"/>
      <c r="Q28" s="608"/>
      <c r="R28" s="605"/>
      <c r="S28" s="607"/>
      <c r="T28" s="607"/>
      <c r="U28" s="607"/>
      <c r="V28" s="607"/>
      <c r="W28" s="607"/>
      <c r="X28" s="607"/>
      <c r="Y28" s="1213"/>
      <c r="Z28" s="609"/>
    </row>
    <row r="29" spans="1:26" ht="36" customHeight="1">
      <c r="A29" s="594">
        <v>20</v>
      </c>
      <c r="B29" s="736"/>
      <c r="C29" s="737">
        <v>2</v>
      </c>
      <c r="D29" s="1147" t="s">
        <v>705</v>
      </c>
      <c r="E29" s="1210" t="s">
        <v>487</v>
      </c>
      <c r="F29" s="1233"/>
      <c r="G29" s="605">
        <f>+Z29-Q29-H29</f>
        <v>0</v>
      </c>
      <c r="H29" s="606"/>
      <c r="I29" s="607"/>
      <c r="J29" s="607"/>
      <c r="K29" s="607"/>
      <c r="L29" s="607"/>
      <c r="M29" s="607"/>
      <c r="N29" s="615">
        <v>20000</v>
      </c>
      <c r="O29" s="607"/>
      <c r="P29" s="1213"/>
      <c r="Q29" s="608">
        <f t="shared" si="1"/>
        <v>20000</v>
      </c>
      <c r="R29" s="605"/>
      <c r="S29" s="607"/>
      <c r="T29" s="607"/>
      <c r="U29" s="607"/>
      <c r="V29" s="607">
        <v>4442</v>
      </c>
      <c r="W29" s="607">
        <v>14385</v>
      </c>
      <c r="X29" s="607">
        <v>1173</v>
      </c>
      <c r="Y29" s="1213"/>
      <c r="Z29" s="609">
        <f t="shared" si="2"/>
        <v>20000</v>
      </c>
    </row>
    <row r="30" spans="1:26" ht="36" customHeight="1">
      <c r="A30" s="594">
        <v>21</v>
      </c>
      <c r="B30" s="736">
        <v>11</v>
      </c>
      <c r="C30" s="1234" t="s">
        <v>364</v>
      </c>
      <c r="D30" s="1096"/>
      <c r="E30" s="675"/>
      <c r="F30" s="1233"/>
      <c r="G30" s="605"/>
      <c r="H30" s="606"/>
      <c r="I30" s="607"/>
      <c r="J30" s="607"/>
      <c r="K30" s="607"/>
      <c r="L30" s="607"/>
      <c r="M30" s="607"/>
      <c r="N30" s="615"/>
      <c r="O30" s="607"/>
      <c r="P30" s="1213"/>
      <c r="Q30" s="608"/>
      <c r="R30" s="605"/>
      <c r="S30" s="607"/>
      <c r="T30" s="607"/>
      <c r="U30" s="607"/>
      <c r="V30" s="607"/>
      <c r="W30" s="607"/>
      <c r="X30" s="607"/>
      <c r="Y30" s="1213"/>
      <c r="Z30" s="609"/>
    </row>
    <row r="31" spans="1:26" ht="36" customHeight="1">
      <c r="A31" s="594">
        <v>22</v>
      </c>
      <c r="B31" s="736"/>
      <c r="C31" s="737">
        <v>2</v>
      </c>
      <c r="D31" s="1147" t="s">
        <v>705</v>
      </c>
      <c r="E31" s="1210" t="s">
        <v>512</v>
      </c>
      <c r="F31" s="1233"/>
      <c r="G31" s="605">
        <f>+Z31-Q31-H31</f>
        <v>0</v>
      </c>
      <c r="H31" s="606"/>
      <c r="I31" s="607"/>
      <c r="J31" s="607"/>
      <c r="K31" s="607"/>
      <c r="L31" s="607"/>
      <c r="M31" s="607"/>
      <c r="N31" s="615">
        <v>15000</v>
      </c>
      <c r="O31" s="607"/>
      <c r="P31" s="1213"/>
      <c r="Q31" s="608">
        <f t="shared" si="1"/>
        <v>15000</v>
      </c>
      <c r="R31" s="605"/>
      <c r="S31" s="607"/>
      <c r="T31" s="607"/>
      <c r="U31" s="607"/>
      <c r="V31" s="607"/>
      <c r="W31" s="607">
        <v>7488</v>
      </c>
      <c r="X31" s="607">
        <v>7512</v>
      </c>
      <c r="Y31" s="1213"/>
      <c r="Z31" s="609">
        <f t="shared" si="2"/>
        <v>15000</v>
      </c>
    </row>
    <row r="32" spans="1:26" ht="33" customHeight="1">
      <c r="A32" s="594">
        <v>23</v>
      </c>
      <c r="B32" s="746">
        <v>13</v>
      </c>
      <c r="C32" s="596" t="s">
        <v>32</v>
      </c>
      <c r="D32" s="753"/>
      <c r="E32" s="747"/>
      <c r="F32" s="748"/>
      <c r="G32" s="749"/>
      <c r="H32" s="750"/>
      <c r="I32" s="751"/>
      <c r="J32" s="751"/>
      <c r="K32" s="751"/>
      <c r="L32" s="751"/>
      <c r="M32" s="751"/>
      <c r="N32" s="826"/>
      <c r="O32" s="751"/>
      <c r="P32" s="1216"/>
      <c r="Q32" s="608"/>
      <c r="R32" s="749"/>
      <c r="S32" s="751"/>
      <c r="T32" s="751"/>
      <c r="U32" s="751"/>
      <c r="V32" s="751"/>
      <c r="W32" s="751"/>
      <c r="X32" s="751"/>
      <c r="Y32" s="1216"/>
      <c r="Z32" s="609"/>
    </row>
    <row r="33" spans="1:26" ht="33" customHeight="1">
      <c r="A33" s="594">
        <v>24</v>
      </c>
      <c r="B33" s="746"/>
      <c r="C33" s="1231">
        <v>1</v>
      </c>
      <c r="D33" s="754" t="s">
        <v>497</v>
      </c>
      <c r="E33" s="747" t="s">
        <v>513</v>
      </c>
      <c r="F33" s="748"/>
      <c r="G33" s="749">
        <f>+Z33-Q33-H33</f>
        <v>0</v>
      </c>
      <c r="H33" s="750"/>
      <c r="I33" s="751"/>
      <c r="J33" s="751"/>
      <c r="K33" s="751"/>
      <c r="L33" s="751"/>
      <c r="M33" s="751">
        <v>8944</v>
      </c>
      <c r="N33" s="826"/>
      <c r="O33" s="751"/>
      <c r="P33" s="1216">
        <v>2236</v>
      </c>
      <c r="Q33" s="752">
        <f>SUM(I33:P33)</f>
        <v>11180</v>
      </c>
      <c r="R33" s="749"/>
      <c r="S33" s="751"/>
      <c r="T33" s="751"/>
      <c r="U33" s="751"/>
      <c r="V33" s="751"/>
      <c r="W33" s="751"/>
      <c r="X33" s="751">
        <v>8944</v>
      </c>
      <c r="Y33" s="1216">
        <v>2236</v>
      </c>
      <c r="Z33" s="1232">
        <f>SUM(R33:Y33)</f>
        <v>11180</v>
      </c>
    </row>
    <row r="34" spans="1:26" ht="36" customHeight="1">
      <c r="A34" s="594">
        <v>25</v>
      </c>
      <c r="B34" s="736"/>
      <c r="C34" s="737">
        <v>2</v>
      </c>
      <c r="D34" s="754" t="s">
        <v>707</v>
      </c>
      <c r="E34" s="675" t="s">
        <v>512</v>
      </c>
      <c r="F34" s="1233"/>
      <c r="G34" s="749">
        <f>+Z34-Q34-H34</f>
        <v>0</v>
      </c>
      <c r="H34" s="606">
        <v>5582</v>
      </c>
      <c r="I34" s="607"/>
      <c r="J34" s="607"/>
      <c r="K34" s="607"/>
      <c r="L34" s="607"/>
      <c r="M34" s="607"/>
      <c r="N34" s="615">
        <v>25000</v>
      </c>
      <c r="O34" s="607"/>
      <c r="P34" s="1213"/>
      <c r="Q34" s="752">
        <f>SUM(I34:P34)</f>
        <v>25000</v>
      </c>
      <c r="R34" s="605"/>
      <c r="S34" s="607"/>
      <c r="T34" s="607"/>
      <c r="U34" s="607"/>
      <c r="V34" s="607"/>
      <c r="W34" s="607"/>
      <c r="X34" s="607">
        <v>30582</v>
      </c>
      <c r="Y34" s="1213"/>
      <c r="Z34" s="1232">
        <f>SUM(R34:Y34)</f>
        <v>30582</v>
      </c>
    </row>
    <row r="35" spans="1:26" s="199" customFormat="1" ht="33" customHeight="1">
      <c r="A35" s="594">
        <v>26</v>
      </c>
      <c r="B35" s="1235">
        <v>14</v>
      </c>
      <c r="C35" s="1234" t="s">
        <v>365</v>
      </c>
      <c r="D35" s="1236"/>
      <c r="E35" s="604"/>
      <c r="F35" s="1237"/>
      <c r="G35" s="1238"/>
      <c r="H35" s="1239"/>
      <c r="I35" s="1240"/>
      <c r="J35" s="1240"/>
      <c r="K35" s="1240"/>
      <c r="L35" s="1240"/>
      <c r="M35" s="1240"/>
      <c r="N35" s="1241"/>
      <c r="O35" s="1240"/>
      <c r="P35" s="1242"/>
      <c r="Q35" s="608"/>
      <c r="R35" s="1238"/>
      <c r="S35" s="616"/>
      <c r="T35" s="616"/>
      <c r="U35" s="616"/>
      <c r="V35" s="616"/>
      <c r="W35" s="616"/>
      <c r="X35" s="616"/>
      <c r="Y35" s="1243"/>
      <c r="Z35" s="609"/>
    </row>
    <row r="36" spans="1:26" ht="33" customHeight="1">
      <c r="A36" s="594">
        <v>27</v>
      </c>
      <c r="B36" s="746"/>
      <c r="C36" s="610">
        <v>2</v>
      </c>
      <c r="D36" s="603" t="s">
        <v>497</v>
      </c>
      <c r="E36" s="747" t="s">
        <v>513</v>
      </c>
      <c r="F36" s="748"/>
      <c r="G36" s="749">
        <f>+Z36-Q36-H36</f>
        <v>142</v>
      </c>
      <c r="H36" s="750"/>
      <c r="I36" s="751"/>
      <c r="J36" s="751"/>
      <c r="K36" s="751"/>
      <c r="L36" s="751"/>
      <c r="M36" s="751">
        <v>2602</v>
      </c>
      <c r="N36" s="826"/>
      <c r="O36" s="751">
        <v>4099</v>
      </c>
      <c r="P36" s="1216"/>
      <c r="Q36" s="608">
        <f t="shared" si="1"/>
        <v>6701</v>
      </c>
      <c r="R36" s="749"/>
      <c r="S36" s="751"/>
      <c r="T36" s="751"/>
      <c r="U36" s="751"/>
      <c r="V36" s="751"/>
      <c r="W36" s="751">
        <v>3561</v>
      </c>
      <c r="X36" s="751">
        <v>3282</v>
      </c>
      <c r="Y36" s="1216"/>
      <c r="Z36" s="609">
        <f t="shared" si="2"/>
        <v>6843</v>
      </c>
    </row>
    <row r="37" spans="1:26" ht="56.25" customHeight="1" thickBot="1">
      <c r="A37" s="594">
        <v>28</v>
      </c>
      <c r="B37" s="746"/>
      <c r="C37" s="610">
        <v>3</v>
      </c>
      <c r="D37" s="603" t="s">
        <v>711</v>
      </c>
      <c r="E37" s="747" t="s">
        <v>513</v>
      </c>
      <c r="F37" s="748"/>
      <c r="G37" s="749">
        <f>+Z37-Q37-H37</f>
        <v>2564</v>
      </c>
      <c r="H37" s="750">
        <v>1312</v>
      </c>
      <c r="I37" s="751"/>
      <c r="J37" s="751"/>
      <c r="K37" s="751"/>
      <c r="L37" s="751"/>
      <c r="M37" s="751"/>
      <c r="N37" s="826">
        <v>10151</v>
      </c>
      <c r="O37" s="751">
        <v>4849</v>
      </c>
      <c r="P37" s="1216"/>
      <c r="Q37" s="608">
        <f t="shared" si="1"/>
        <v>15000</v>
      </c>
      <c r="R37" s="749"/>
      <c r="S37" s="751"/>
      <c r="T37" s="751"/>
      <c r="U37" s="751"/>
      <c r="V37" s="751"/>
      <c r="W37" s="751">
        <v>12715</v>
      </c>
      <c r="X37" s="751">
        <v>6161</v>
      </c>
      <c r="Y37" s="1216"/>
      <c r="Z37" s="609">
        <f t="shared" si="2"/>
        <v>18876</v>
      </c>
    </row>
    <row r="38" spans="1:26" ht="33" customHeight="1" thickBot="1">
      <c r="A38" s="594">
        <v>29</v>
      </c>
      <c r="B38" s="1655" t="s">
        <v>115</v>
      </c>
      <c r="C38" s="1656"/>
      <c r="D38" s="1656"/>
      <c r="E38" s="1656"/>
      <c r="F38" s="200"/>
      <c r="G38" s="621">
        <f aca="true" t="shared" si="3" ref="G38:Z38">SUM(G11:G37)</f>
        <v>358763</v>
      </c>
      <c r="H38" s="622">
        <f t="shared" si="3"/>
        <v>284840</v>
      </c>
      <c r="I38" s="622">
        <f t="shared" si="3"/>
        <v>0</v>
      </c>
      <c r="J38" s="622">
        <f t="shared" si="3"/>
        <v>0</v>
      </c>
      <c r="K38" s="622">
        <f t="shared" si="3"/>
        <v>2694306</v>
      </c>
      <c r="L38" s="622">
        <f t="shared" si="3"/>
        <v>780868</v>
      </c>
      <c r="M38" s="622">
        <f t="shared" si="3"/>
        <v>916322</v>
      </c>
      <c r="N38" s="1244">
        <f t="shared" si="3"/>
        <v>3808659</v>
      </c>
      <c r="O38" s="622">
        <f t="shared" si="3"/>
        <v>1905900</v>
      </c>
      <c r="P38" s="622">
        <f t="shared" si="3"/>
        <v>22058</v>
      </c>
      <c r="Q38" s="622">
        <f t="shared" si="3"/>
        <v>10128113</v>
      </c>
      <c r="R38" s="621">
        <f t="shared" si="3"/>
        <v>40063</v>
      </c>
      <c r="S38" s="622">
        <f t="shared" si="3"/>
        <v>83854</v>
      </c>
      <c r="T38" s="622">
        <f t="shared" si="3"/>
        <v>382844</v>
      </c>
      <c r="U38" s="622">
        <f t="shared" si="3"/>
        <v>1326022</v>
      </c>
      <c r="V38" s="622">
        <f t="shared" si="3"/>
        <v>1278969</v>
      </c>
      <c r="W38" s="622">
        <f t="shared" si="3"/>
        <v>1187534</v>
      </c>
      <c r="X38" s="622">
        <f t="shared" si="3"/>
        <v>6470194</v>
      </c>
      <c r="Y38" s="622">
        <f t="shared" si="3"/>
        <v>2236</v>
      </c>
      <c r="Z38" s="623">
        <f t="shared" si="3"/>
        <v>10771716</v>
      </c>
    </row>
    <row r="39" spans="2:26" ht="24.75" customHeight="1">
      <c r="B39" s="1695" t="s">
        <v>489</v>
      </c>
      <c r="C39" s="1695"/>
      <c r="D39" s="1695"/>
      <c r="E39" s="1695"/>
      <c r="F39" s="1695"/>
      <c r="G39" s="1695"/>
      <c r="H39" s="1695"/>
      <c r="I39" s="1695"/>
      <c r="J39" s="1695"/>
      <c r="K39" s="1695"/>
      <c r="L39" s="1695"/>
      <c r="M39" s="1695"/>
      <c r="N39" s="1695"/>
      <c r="O39" s="1695"/>
      <c r="P39" s="1695"/>
      <c r="Q39" s="1695"/>
      <c r="R39" s="1695"/>
      <c r="S39" s="1695"/>
      <c r="T39" s="1695"/>
      <c r="U39" s="1695"/>
      <c r="V39" s="1695"/>
      <c r="W39" s="1695"/>
      <c r="X39" s="1695"/>
      <c r="Y39" s="1695"/>
      <c r="Z39" s="1695"/>
    </row>
    <row r="40" spans="2:26" ht="24.75" customHeight="1">
      <c r="B40" s="1654" t="s">
        <v>514</v>
      </c>
      <c r="C40" s="1654"/>
      <c r="D40" s="1654"/>
      <c r="E40" s="1654"/>
      <c r="F40" s="1654"/>
      <c r="G40" s="1654"/>
      <c r="H40" s="1654"/>
      <c r="I40" s="1654"/>
      <c r="J40" s="1654"/>
      <c r="K40" s="1654"/>
      <c r="L40" s="1654"/>
      <c r="M40" s="1654"/>
      <c r="N40" s="1654"/>
      <c r="O40" s="1654"/>
      <c r="P40" s="1654"/>
      <c r="Q40" s="1654"/>
      <c r="R40" s="1654"/>
      <c r="S40" s="1654"/>
      <c r="T40" s="1654"/>
      <c r="U40" s="1654"/>
      <c r="V40" s="1654"/>
      <c r="W40" s="1654"/>
      <c r="X40" s="1654"/>
      <c r="Y40" s="1654"/>
      <c r="Z40" s="1654"/>
    </row>
    <row r="41" spans="2:26" s="534" customFormat="1" ht="24.75" customHeight="1">
      <c r="B41" s="197"/>
      <c r="C41" s="197"/>
      <c r="D41" s="721"/>
      <c r="E41" s="198"/>
      <c r="F41" s="196"/>
      <c r="G41" s="196"/>
      <c r="H41" s="196"/>
      <c r="I41" s="196"/>
      <c r="J41" s="196"/>
      <c r="K41" s="196"/>
      <c r="L41" s="196"/>
      <c r="M41" s="196"/>
      <c r="N41" s="740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</row>
    <row r="42" spans="2:26" s="534" customFormat="1" ht="24.75" customHeight="1">
      <c r="B42" s="197"/>
      <c r="C42" s="197"/>
      <c r="D42" s="721"/>
      <c r="E42" s="198"/>
      <c r="F42" s="196"/>
      <c r="G42" s="196"/>
      <c r="H42" s="196"/>
      <c r="I42" s="196"/>
      <c r="J42" s="196"/>
      <c r="K42" s="196"/>
      <c r="L42" s="196"/>
      <c r="M42" s="196"/>
      <c r="N42" s="740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</row>
    <row r="43" spans="2:26" s="534" customFormat="1" ht="24.75" customHeight="1">
      <c r="B43" s="197"/>
      <c r="C43" s="197"/>
      <c r="D43" s="721"/>
      <c r="E43" s="198"/>
      <c r="F43" s="196"/>
      <c r="G43" s="196"/>
      <c r="H43" s="196"/>
      <c r="I43" s="196"/>
      <c r="J43" s="196"/>
      <c r="K43" s="196"/>
      <c r="L43" s="196"/>
      <c r="M43" s="196"/>
      <c r="N43" s="740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</row>
    <row r="44" spans="2:26" s="534" customFormat="1" ht="24.75" customHeight="1">
      <c r="B44" s="197"/>
      <c r="C44" s="197"/>
      <c r="D44" s="721"/>
      <c r="E44" s="198"/>
      <c r="F44" s="196"/>
      <c r="G44" s="196"/>
      <c r="H44" s="196"/>
      <c r="I44" s="196"/>
      <c r="J44" s="196"/>
      <c r="K44" s="196"/>
      <c r="L44" s="196"/>
      <c r="M44" s="196"/>
      <c r="N44" s="740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</row>
    <row r="45" spans="2:26" s="534" customFormat="1" ht="24.75" customHeight="1">
      <c r="B45" s="197"/>
      <c r="C45" s="197"/>
      <c r="D45" s="721"/>
      <c r="E45" s="198"/>
      <c r="F45" s="196"/>
      <c r="G45" s="196"/>
      <c r="H45" s="196"/>
      <c r="I45" s="196"/>
      <c r="J45" s="196"/>
      <c r="K45" s="196"/>
      <c r="L45" s="196"/>
      <c r="M45" s="196"/>
      <c r="N45" s="740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</row>
    <row r="46" spans="2:26" s="534" customFormat="1" ht="24.75" customHeight="1">
      <c r="B46" s="197"/>
      <c r="C46" s="197"/>
      <c r="D46" s="721"/>
      <c r="E46" s="198"/>
      <c r="F46" s="196"/>
      <c r="G46" s="196"/>
      <c r="H46" s="196"/>
      <c r="I46" s="196"/>
      <c r="J46" s="196"/>
      <c r="K46" s="196"/>
      <c r="L46" s="196"/>
      <c r="M46" s="196"/>
      <c r="N46" s="740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</row>
  </sheetData>
  <sheetProtection/>
  <mergeCells count="20">
    <mergeCell ref="X5:Z5"/>
    <mergeCell ref="Y7:Y8"/>
    <mergeCell ref="I8:P8"/>
    <mergeCell ref="B39:Z39"/>
    <mergeCell ref="B40:Z40"/>
    <mergeCell ref="B38:E38"/>
    <mergeCell ref="B1:V1"/>
    <mergeCell ref="Z7:Z9"/>
    <mergeCell ref="G8:G9"/>
    <mergeCell ref="H8:H9"/>
    <mergeCell ref="Q8:Q9"/>
    <mergeCell ref="B7:B9"/>
    <mergeCell ref="C7:C9"/>
    <mergeCell ref="D7:D9"/>
    <mergeCell ref="E7:E9"/>
    <mergeCell ref="G7:Q7"/>
    <mergeCell ref="R7:X8"/>
    <mergeCell ref="B2:Z2"/>
    <mergeCell ref="B3:Z3"/>
    <mergeCell ref="B4:Z4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landscape" paperSize="9" scale="40" r:id="rId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view="pageBreakPreview" zoomScaleSheetLayoutView="100" zoomScalePageLayoutView="0" workbookViewId="0" topLeftCell="A1">
      <selection activeCell="B1" sqref="B1:F1"/>
    </sheetView>
  </sheetViews>
  <sheetFormatPr defaultColWidth="9.00390625" defaultRowHeight="12.75"/>
  <cols>
    <col min="1" max="1" width="3.75390625" style="461" customWidth="1"/>
    <col min="2" max="2" width="5.75390625" style="89" customWidth="1"/>
    <col min="3" max="5" width="5.75390625" style="91" customWidth="1"/>
    <col min="6" max="6" width="59.75390625" style="50" customWidth="1"/>
    <col min="7" max="9" width="13.75390625" style="50" customWidth="1"/>
    <col min="10" max="10" width="15.75390625" style="50" customWidth="1"/>
    <col min="11" max="11" width="10.125" style="50" bestFit="1" customWidth="1"/>
    <col min="12" max="16384" width="9.125" style="50" customWidth="1"/>
  </cols>
  <sheetData>
    <row r="1" spans="2:10" ht="16.5">
      <c r="B1" s="1401" t="s">
        <v>817</v>
      </c>
      <c r="C1" s="1401"/>
      <c r="D1" s="1401"/>
      <c r="E1" s="1401"/>
      <c r="F1" s="1401"/>
      <c r="H1" s="51"/>
      <c r="I1" s="52"/>
      <c r="J1" s="52"/>
    </row>
    <row r="2" spans="1:10" s="53" customFormat="1" ht="24.75" customHeight="1">
      <c r="A2" s="461"/>
      <c r="B2" s="1402" t="s">
        <v>156</v>
      </c>
      <c r="C2" s="1402"/>
      <c r="D2" s="1402"/>
      <c r="E2" s="1402"/>
      <c r="F2" s="1402"/>
      <c r="G2" s="1402"/>
      <c r="H2" s="1402"/>
      <c r="I2" s="1402"/>
      <c r="J2" s="1402"/>
    </row>
    <row r="3" spans="1:10" s="53" customFormat="1" ht="24.75" customHeight="1">
      <c r="A3" s="461"/>
      <c r="B3" s="1402" t="s">
        <v>553</v>
      </c>
      <c r="C3" s="1402"/>
      <c r="D3" s="1402"/>
      <c r="E3" s="1402"/>
      <c r="F3" s="1402"/>
      <c r="G3" s="1402"/>
      <c r="H3" s="1402"/>
      <c r="I3" s="1402"/>
      <c r="J3" s="1402"/>
    </row>
    <row r="4" spans="3:10" ht="17.25">
      <c r="C4" s="90"/>
      <c r="E4" s="90"/>
      <c r="F4" s="90"/>
      <c r="G4" s="90"/>
      <c r="H4" s="51"/>
      <c r="J4" s="260" t="s">
        <v>0</v>
      </c>
    </row>
    <row r="5" spans="1:10" s="91" customFormat="1" ht="17.25" thickBot="1">
      <c r="A5" s="461"/>
      <c r="B5" s="89" t="s">
        <v>1</v>
      </c>
      <c r="C5" s="91" t="s">
        <v>3</v>
      </c>
      <c r="D5" s="91" t="s">
        <v>2</v>
      </c>
      <c r="E5" s="91" t="s">
        <v>4</v>
      </c>
      <c r="F5" s="91" t="s">
        <v>5</v>
      </c>
      <c r="G5" s="91" t="s">
        <v>15</v>
      </c>
      <c r="H5" s="91" t="s">
        <v>16</v>
      </c>
      <c r="I5" s="261" t="s">
        <v>17</v>
      </c>
      <c r="J5" s="261" t="s">
        <v>34</v>
      </c>
    </row>
    <row r="6" spans="1:10" s="54" customFormat="1" ht="79.5" customHeight="1" thickBot="1">
      <c r="A6" s="461"/>
      <c r="B6" s="262" t="s">
        <v>188</v>
      </c>
      <c r="C6" s="263" t="s">
        <v>19</v>
      </c>
      <c r="D6" s="241" t="s">
        <v>418</v>
      </c>
      <c r="E6" s="241" t="s">
        <v>420</v>
      </c>
      <c r="F6" s="264" t="s">
        <v>6</v>
      </c>
      <c r="G6" s="210" t="s">
        <v>567</v>
      </c>
      <c r="H6" s="210" t="s">
        <v>554</v>
      </c>
      <c r="I6" s="265" t="s">
        <v>555</v>
      </c>
      <c r="J6" s="204" t="s">
        <v>569</v>
      </c>
    </row>
    <row r="7" spans="1:10" s="59" customFormat="1" ht="30" customHeight="1">
      <c r="A7" s="461">
        <v>1</v>
      </c>
      <c r="B7" s="237" t="s">
        <v>372</v>
      </c>
      <c r="C7" s="55"/>
      <c r="D7" s="56"/>
      <c r="E7" s="55"/>
      <c r="F7" s="57" t="s">
        <v>189</v>
      </c>
      <c r="G7" s="58">
        <f>SUM(G8:G9)</f>
        <v>7660387</v>
      </c>
      <c r="H7" s="58">
        <f>SUM(H8:H9)</f>
        <v>8835002</v>
      </c>
      <c r="I7" s="58">
        <f>SUM(I8:I9)</f>
        <v>10191824</v>
      </c>
      <c r="J7" s="211">
        <f>SUM(J8:J9)</f>
        <v>9930973</v>
      </c>
    </row>
    <row r="8" spans="1:10" ht="25.5" customHeight="1">
      <c r="A8" s="461">
        <v>2</v>
      </c>
      <c r="B8" s="60"/>
      <c r="C8" s="61"/>
      <c r="D8" s="61">
        <v>1</v>
      </c>
      <c r="E8" s="61"/>
      <c r="F8" s="62" t="s">
        <v>37</v>
      </c>
      <c r="G8" s="62">
        <v>7486012</v>
      </c>
      <c r="H8" s="62">
        <v>8688793</v>
      </c>
      <c r="I8" s="62">
        <v>9780723</v>
      </c>
      <c r="J8" s="212">
        <f>'4.Inki'!K153+'4.Inki'!L153+'4.Inki'!M153+'4.Inki'!N153+'4.Inki'!O153</f>
        <v>9729576</v>
      </c>
    </row>
    <row r="9" spans="1:10" ht="25.5" customHeight="1">
      <c r="A9" s="461">
        <v>3</v>
      </c>
      <c r="B9" s="60"/>
      <c r="C9" s="61"/>
      <c r="D9" s="61">
        <v>2</v>
      </c>
      <c r="E9" s="61"/>
      <c r="F9" s="62" t="s">
        <v>148</v>
      </c>
      <c r="G9" s="62">
        <f>SUM(G10:G12)</f>
        <v>174375</v>
      </c>
      <c r="H9" s="62">
        <f>SUM(H10:H12)</f>
        <v>146209</v>
      </c>
      <c r="I9" s="62">
        <f>SUM(I10:I12)</f>
        <v>411101</v>
      </c>
      <c r="J9" s="212">
        <f>SUM(J10:J12)</f>
        <v>201397</v>
      </c>
    </row>
    <row r="10" spans="1:10" ht="16.5">
      <c r="A10" s="461">
        <v>4</v>
      </c>
      <c r="B10" s="60"/>
      <c r="C10" s="61"/>
      <c r="D10" s="61"/>
      <c r="E10" s="61">
        <v>7</v>
      </c>
      <c r="F10" s="63" t="s">
        <v>213</v>
      </c>
      <c r="G10" s="62">
        <v>171260</v>
      </c>
      <c r="H10" s="62">
        <v>146209</v>
      </c>
      <c r="I10" s="62">
        <v>408810</v>
      </c>
      <c r="J10" s="212">
        <f>'4.Inki'!P153</f>
        <v>201397</v>
      </c>
    </row>
    <row r="11" spans="1:10" ht="16.5">
      <c r="A11" s="461">
        <v>5</v>
      </c>
      <c r="B11" s="60"/>
      <c r="C11" s="61"/>
      <c r="D11" s="61"/>
      <c r="E11" s="61">
        <v>8</v>
      </c>
      <c r="F11" s="63" t="s">
        <v>149</v>
      </c>
      <c r="G11" s="62"/>
      <c r="H11" s="62"/>
      <c r="I11" s="62">
        <v>2291</v>
      </c>
      <c r="J11" s="212"/>
    </row>
    <row r="12" spans="2:10" ht="16.5">
      <c r="B12" s="60"/>
      <c r="C12" s="61"/>
      <c r="D12" s="61"/>
      <c r="E12" s="61">
        <v>9</v>
      </c>
      <c r="F12" s="63" t="s">
        <v>570</v>
      </c>
      <c r="G12" s="62">
        <v>3115</v>
      </c>
      <c r="H12" s="62"/>
      <c r="I12" s="62"/>
      <c r="J12" s="212"/>
    </row>
    <row r="13" spans="1:10" s="59" customFormat="1" ht="30" customHeight="1">
      <c r="A13" s="461">
        <v>6</v>
      </c>
      <c r="B13" s="238" t="s">
        <v>373</v>
      </c>
      <c r="C13" s="64"/>
      <c r="D13" s="65"/>
      <c r="E13" s="65"/>
      <c r="F13" s="66" t="s">
        <v>113</v>
      </c>
      <c r="G13" s="66">
        <f>SUM(G14:G15,G26,G27)</f>
        <v>14306769</v>
      </c>
      <c r="H13" s="66">
        <f>SUM(H14:H15,H26,H27)</f>
        <v>37267991</v>
      </c>
      <c r="I13" s="66">
        <f>SUM(I14:I15,I26,I27)</f>
        <v>62541052</v>
      </c>
      <c r="J13" s="213">
        <f>SUM(J14:J15,J26,J27)</f>
        <v>48660223</v>
      </c>
    </row>
    <row r="14" spans="1:10" s="59" customFormat="1" ht="25.5" customHeight="1">
      <c r="A14" s="461">
        <v>7</v>
      </c>
      <c r="B14" s="60"/>
      <c r="C14" s="67"/>
      <c r="D14" s="61">
        <v>1</v>
      </c>
      <c r="E14" s="67"/>
      <c r="F14" s="68" t="s">
        <v>37</v>
      </c>
      <c r="G14" s="68">
        <v>5608944</v>
      </c>
      <c r="H14" s="68">
        <v>6150481</v>
      </c>
      <c r="I14" s="68">
        <v>8387913</v>
      </c>
      <c r="J14" s="214">
        <f>'6.Önk.műk.'!I325+'7.Beruh.'!I52+'8.Felúj.'!I46+'9.Projekt'!I48+'9.Projekt'!J48+'9.Projekt'!K48+'9.Projekt'!L48+'10.MVP és hazai'!I36+'10.MVP és hazai'!J36+'10.MVP és hazai'!K36+'10.MVP és hazai'!L36+'11.EKF'!I132+'11.EKF'!J132+'11.EKF'!K132+'11.EKF'!L132</f>
        <v>9141624</v>
      </c>
    </row>
    <row r="15" spans="1:10" ht="25.5" customHeight="1">
      <c r="A15" s="461">
        <v>8</v>
      </c>
      <c r="B15" s="60"/>
      <c r="C15" s="67"/>
      <c r="D15" s="67"/>
      <c r="E15" s="67"/>
      <c r="F15" s="68" t="s">
        <v>190</v>
      </c>
      <c r="G15" s="68">
        <f>SUM(G16,G22)</f>
        <v>0</v>
      </c>
      <c r="H15" s="68">
        <f>SUM(H16,H22)</f>
        <v>791669</v>
      </c>
      <c r="I15" s="68">
        <f>SUM(I16,I22)</f>
        <v>1408094</v>
      </c>
      <c r="J15" s="214">
        <f>SUM(J16,J22)</f>
        <v>765905</v>
      </c>
    </row>
    <row r="16" spans="1:10" s="72" customFormat="1" ht="25.5" customHeight="1">
      <c r="A16" s="461">
        <v>9</v>
      </c>
      <c r="B16" s="239"/>
      <c r="C16" s="69"/>
      <c r="D16" s="61">
        <v>1</v>
      </c>
      <c r="E16" s="61">
        <v>6</v>
      </c>
      <c r="F16" s="70" t="s">
        <v>388</v>
      </c>
      <c r="G16" s="71">
        <f>SUM(G17:G20)</f>
        <v>0</v>
      </c>
      <c r="H16" s="71">
        <f>SUM(H17:H21)</f>
        <v>428014</v>
      </c>
      <c r="I16" s="71">
        <f>SUM(I17:I21)</f>
        <v>1024294</v>
      </c>
      <c r="J16" s="215">
        <f>SUM(J17:J21)</f>
        <v>644089</v>
      </c>
    </row>
    <row r="17" spans="1:10" ht="16.5">
      <c r="A17" s="461">
        <v>10</v>
      </c>
      <c r="B17" s="60"/>
      <c r="C17" s="61"/>
      <c r="D17" s="61"/>
      <c r="E17" s="61"/>
      <c r="F17" s="73" t="s">
        <v>538</v>
      </c>
      <c r="G17" s="62"/>
      <c r="H17" s="62">
        <v>188014</v>
      </c>
      <c r="I17" s="62">
        <v>126619</v>
      </c>
      <c r="J17" s="212">
        <v>110517</v>
      </c>
    </row>
    <row r="18" spans="1:10" ht="16.5">
      <c r="A18" s="461">
        <v>11</v>
      </c>
      <c r="B18" s="60"/>
      <c r="C18" s="61"/>
      <c r="D18" s="61"/>
      <c r="E18" s="61"/>
      <c r="F18" s="73" t="s">
        <v>459</v>
      </c>
      <c r="G18" s="62"/>
      <c r="H18" s="62"/>
      <c r="I18" s="62"/>
      <c r="J18" s="212"/>
    </row>
    <row r="19" spans="1:10" ht="16.5">
      <c r="A19" s="461">
        <v>12</v>
      </c>
      <c r="B19" s="60"/>
      <c r="C19" s="61"/>
      <c r="D19" s="61"/>
      <c r="E19" s="61"/>
      <c r="F19" s="73" t="s">
        <v>400</v>
      </c>
      <c r="G19" s="62"/>
      <c r="H19" s="62"/>
      <c r="I19" s="62"/>
      <c r="J19" s="212"/>
    </row>
    <row r="20" spans="1:10" ht="16.5">
      <c r="A20" s="461">
        <v>13</v>
      </c>
      <c r="B20" s="60"/>
      <c r="C20" s="61"/>
      <c r="D20" s="61"/>
      <c r="E20" s="61"/>
      <c r="F20" s="73" t="s">
        <v>766</v>
      </c>
      <c r="G20" s="62"/>
      <c r="H20" s="62"/>
      <c r="I20" s="62">
        <v>483572</v>
      </c>
      <c r="J20" s="212">
        <v>483572</v>
      </c>
    </row>
    <row r="21" spans="1:10" ht="16.5">
      <c r="A21" s="461">
        <v>14</v>
      </c>
      <c r="B21" s="60"/>
      <c r="C21" s="61"/>
      <c r="D21" s="61"/>
      <c r="E21" s="61"/>
      <c r="F21" s="73" t="s">
        <v>414</v>
      </c>
      <c r="G21" s="62"/>
      <c r="H21" s="62">
        <v>240000</v>
      </c>
      <c r="I21" s="62">
        <v>414103</v>
      </c>
      <c r="J21" s="212">
        <v>50000</v>
      </c>
    </row>
    <row r="22" spans="1:10" s="72" customFormat="1" ht="25.5" customHeight="1">
      <c r="A22" s="461">
        <v>15</v>
      </c>
      <c r="B22" s="239"/>
      <c r="C22" s="69"/>
      <c r="D22" s="61">
        <v>2</v>
      </c>
      <c r="E22" s="61">
        <v>10</v>
      </c>
      <c r="F22" s="70" t="s">
        <v>389</v>
      </c>
      <c r="G22" s="71">
        <f>SUM(G23:G25)</f>
        <v>0</v>
      </c>
      <c r="H22" s="71">
        <f>SUM(H23:H25)</f>
        <v>363655</v>
      </c>
      <c r="I22" s="71">
        <f>SUM(I23:I25)</f>
        <v>383800</v>
      </c>
      <c r="J22" s="215">
        <f>SUM(J23:J25)</f>
        <v>121816</v>
      </c>
    </row>
    <row r="23" spans="1:10" ht="17.25">
      <c r="A23" s="461">
        <v>16</v>
      </c>
      <c r="B23" s="60"/>
      <c r="C23" s="61"/>
      <c r="D23" s="69"/>
      <c r="E23" s="61"/>
      <c r="F23" s="73" t="s">
        <v>692</v>
      </c>
      <c r="G23" s="62"/>
      <c r="H23" s="62"/>
      <c r="I23" s="62">
        <v>50000</v>
      </c>
      <c r="J23" s="212"/>
    </row>
    <row r="24" spans="1:10" ht="17.25">
      <c r="A24" s="461">
        <v>17</v>
      </c>
      <c r="B24" s="60"/>
      <c r="C24" s="61"/>
      <c r="D24" s="69"/>
      <c r="E24" s="61"/>
      <c r="F24" s="383" t="s">
        <v>399</v>
      </c>
      <c r="G24" s="62"/>
      <c r="H24" s="384">
        <v>64615</v>
      </c>
      <c r="I24" s="384">
        <v>6070</v>
      </c>
      <c r="J24" s="385">
        <v>5000</v>
      </c>
    </row>
    <row r="25" spans="1:10" ht="17.25">
      <c r="A25" s="461">
        <v>18</v>
      </c>
      <c r="B25" s="60"/>
      <c r="C25" s="61"/>
      <c r="D25" s="69"/>
      <c r="E25" s="61"/>
      <c r="F25" s="73" t="s">
        <v>363</v>
      </c>
      <c r="G25" s="62"/>
      <c r="H25" s="62">
        <v>299040</v>
      </c>
      <c r="I25" s="62">
        <v>327730</v>
      </c>
      <c r="J25" s="212">
        <v>116816</v>
      </c>
    </row>
    <row r="26" spans="1:10" s="53" customFormat="1" ht="25.5" customHeight="1">
      <c r="A26" s="461">
        <v>19</v>
      </c>
      <c r="B26" s="240"/>
      <c r="C26" s="74"/>
      <c r="D26" s="74"/>
      <c r="E26" s="74"/>
      <c r="F26" s="75" t="s">
        <v>191</v>
      </c>
      <c r="G26" s="75"/>
      <c r="H26" s="75">
        <v>150000</v>
      </c>
      <c r="I26" s="75">
        <v>1700000</v>
      </c>
      <c r="J26" s="216">
        <v>150000</v>
      </c>
    </row>
    <row r="27" spans="1:10" s="59" customFormat="1" ht="25.5" customHeight="1">
      <c r="A27" s="461">
        <v>20</v>
      </c>
      <c r="B27" s="60"/>
      <c r="C27" s="67"/>
      <c r="D27" s="61">
        <v>2</v>
      </c>
      <c r="E27" s="67"/>
      <c r="F27" s="68" t="s">
        <v>148</v>
      </c>
      <c r="G27" s="68">
        <f>SUM(G28:G30)</f>
        <v>8697825</v>
      </c>
      <c r="H27" s="68">
        <f>SUM(H28:H30)</f>
        <v>30175841</v>
      </c>
      <c r="I27" s="68">
        <f>SUM(I28:I30)</f>
        <v>51045045</v>
      </c>
      <c r="J27" s="214">
        <f>SUM(J28:J30)</f>
        <v>38602694</v>
      </c>
    </row>
    <row r="28" spans="1:10" ht="17.25">
      <c r="A28" s="461">
        <v>21</v>
      </c>
      <c r="B28" s="60"/>
      <c r="C28" s="67"/>
      <c r="D28" s="61"/>
      <c r="E28" s="61">
        <v>7</v>
      </c>
      <c r="F28" s="63" t="s">
        <v>213</v>
      </c>
      <c r="G28" s="62">
        <v>5639171</v>
      </c>
      <c r="H28" s="62">
        <v>30091595</v>
      </c>
      <c r="I28" s="62">
        <v>50621764</v>
      </c>
      <c r="J28" s="212">
        <f>'7.Beruh.'!J52+'9.Projekt'!M48+'10.MVP és hazai'!M36+'11.EKF'!M132</f>
        <v>38112500</v>
      </c>
    </row>
    <row r="29" spans="1:10" ht="17.25">
      <c r="A29" s="461">
        <v>22</v>
      </c>
      <c r="B29" s="60"/>
      <c r="C29" s="67"/>
      <c r="D29" s="61"/>
      <c r="E29" s="61">
        <v>8</v>
      </c>
      <c r="F29" s="63" t="s">
        <v>149</v>
      </c>
      <c r="G29" s="62">
        <v>2927040</v>
      </c>
      <c r="H29" s="62">
        <v>60493</v>
      </c>
      <c r="I29" s="62">
        <v>360988</v>
      </c>
      <c r="J29" s="212">
        <f>'7.Beruh.'!K52+'9.Projekt'!N48+'10.MVP és hazai'!N36</f>
        <v>337493</v>
      </c>
    </row>
    <row r="30" spans="1:14" ht="17.25">
      <c r="A30" s="461">
        <v>23</v>
      </c>
      <c r="B30" s="60"/>
      <c r="C30" s="67"/>
      <c r="D30" s="61"/>
      <c r="E30" s="61">
        <v>9</v>
      </c>
      <c r="F30" s="63" t="s">
        <v>214</v>
      </c>
      <c r="G30" s="62">
        <v>131614</v>
      </c>
      <c r="H30" s="62">
        <v>23753</v>
      </c>
      <c r="I30" s="62">
        <v>62293</v>
      </c>
      <c r="J30" s="212">
        <f>'8.Felúj.'!J46+'11.EKF'!N132</f>
        <v>152701</v>
      </c>
      <c r="N30" s="62"/>
    </row>
    <row r="31" spans="1:10" s="59" customFormat="1" ht="30" customHeight="1">
      <c r="A31" s="461">
        <v>24</v>
      </c>
      <c r="B31" s="238" t="s">
        <v>373</v>
      </c>
      <c r="C31" s="64"/>
      <c r="D31" s="65"/>
      <c r="E31" s="64"/>
      <c r="F31" s="66" t="s">
        <v>192</v>
      </c>
      <c r="G31" s="66">
        <f>SUM(G32:G33)</f>
        <v>0</v>
      </c>
      <c r="H31" s="66">
        <f>SUM(H32:H33)</f>
        <v>0</v>
      </c>
      <c r="I31" s="66">
        <f>SUM(I32:I33)</f>
        <v>0</v>
      </c>
      <c r="J31" s="213">
        <f>SUM(J32:J33)</f>
        <v>0</v>
      </c>
    </row>
    <row r="32" spans="1:10" s="52" customFormat="1" ht="24" customHeight="1">
      <c r="A32" s="462">
        <v>25</v>
      </c>
      <c r="B32" s="60"/>
      <c r="C32" s="61"/>
      <c r="D32" s="61">
        <v>1</v>
      </c>
      <c r="E32" s="61"/>
      <c r="F32" s="76" t="s">
        <v>37</v>
      </c>
      <c r="G32" s="85"/>
      <c r="H32" s="85"/>
      <c r="I32" s="85"/>
      <c r="J32" s="219"/>
    </row>
    <row r="33" spans="1:10" s="52" customFormat="1" ht="24" customHeight="1" thickBot="1">
      <c r="A33" s="462">
        <v>26</v>
      </c>
      <c r="B33" s="60"/>
      <c r="C33" s="61"/>
      <c r="D33" s="61">
        <v>2</v>
      </c>
      <c r="E33" s="61"/>
      <c r="F33" s="452" t="s">
        <v>148</v>
      </c>
      <c r="G33" s="85"/>
      <c r="H33" s="85"/>
      <c r="I33" s="85"/>
      <c r="J33" s="219"/>
    </row>
    <row r="34" spans="1:10" s="75" customFormat="1" ht="39.75" customHeight="1" thickBot="1">
      <c r="A34" s="461">
        <v>27</v>
      </c>
      <c r="B34" s="81"/>
      <c r="C34" s="82"/>
      <c r="D34" s="83"/>
      <c r="E34" s="82"/>
      <c r="F34" s="84" t="s">
        <v>193</v>
      </c>
      <c r="G34" s="84">
        <f>SUM(G7,G13,G31)</f>
        <v>21967156</v>
      </c>
      <c r="H34" s="84">
        <f>SUM(H7,H13,H31)</f>
        <v>46102993</v>
      </c>
      <c r="I34" s="84">
        <f>SUM(I7,I13,I31)</f>
        <v>72732876</v>
      </c>
      <c r="J34" s="218">
        <f>SUM(J7,J13,J31)</f>
        <v>58591196</v>
      </c>
    </row>
    <row r="35" spans="1:10" s="52" customFormat="1" ht="30" customHeight="1">
      <c r="A35" s="461">
        <v>28</v>
      </c>
      <c r="B35" s="60" t="s">
        <v>373</v>
      </c>
      <c r="C35" s="61"/>
      <c r="D35" s="61"/>
      <c r="E35" s="61"/>
      <c r="F35" s="68" t="s">
        <v>194</v>
      </c>
      <c r="G35" s="68">
        <f>SUM(G39:G40,G36:G37)</f>
        <v>367272</v>
      </c>
      <c r="H35" s="68">
        <f>SUM(H39:H40,H36:H37)</f>
        <v>319022</v>
      </c>
      <c r="I35" s="68">
        <f>SUM(I39:I40,I36:I37)</f>
        <v>542052</v>
      </c>
      <c r="J35" s="214">
        <f>SUM(J39:J40,J36:J37)</f>
        <v>401930</v>
      </c>
    </row>
    <row r="36" spans="1:10" s="52" customFormat="1" ht="16.5">
      <c r="A36" s="461">
        <v>29</v>
      </c>
      <c r="B36" s="60"/>
      <c r="C36" s="61"/>
      <c r="D36" s="61">
        <v>1</v>
      </c>
      <c r="E36" s="61"/>
      <c r="F36" s="85" t="s">
        <v>195</v>
      </c>
      <c r="G36" s="85"/>
      <c r="H36" s="85"/>
      <c r="I36" s="85"/>
      <c r="J36" s="219"/>
    </row>
    <row r="37" spans="1:10" s="52" customFormat="1" ht="16.5">
      <c r="A37" s="461">
        <v>30</v>
      </c>
      <c r="B37" s="60"/>
      <c r="C37" s="61"/>
      <c r="D37" s="61"/>
      <c r="E37" s="61">
        <v>11</v>
      </c>
      <c r="F37" s="85" t="s">
        <v>246</v>
      </c>
      <c r="G37" s="85">
        <v>258768</v>
      </c>
      <c r="H37" s="85">
        <v>180835</v>
      </c>
      <c r="I37" s="85">
        <v>403865</v>
      </c>
      <c r="J37" s="219">
        <v>187380</v>
      </c>
    </row>
    <row r="38" spans="1:10" ht="16.5">
      <c r="A38" s="461">
        <v>31</v>
      </c>
      <c r="B38" s="60"/>
      <c r="C38" s="61"/>
      <c r="D38" s="61">
        <v>2</v>
      </c>
      <c r="E38" s="61"/>
      <c r="F38" s="85" t="s">
        <v>196</v>
      </c>
      <c r="G38" s="62"/>
      <c r="H38" s="62"/>
      <c r="I38" s="62"/>
      <c r="J38" s="219"/>
    </row>
    <row r="39" spans="1:10" ht="16.5">
      <c r="A39" s="461">
        <v>32</v>
      </c>
      <c r="B39" s="60"/>
      <c r="C39" s="61"/>
      <c r="D39" s="61"/>
      <c r="E39" s="61">
        <v>12</v>
      </c>
      <c r="F39" s="86" t="s">
        <v>197</v>
      </c>
      <c r="G39" s="62">
        <v>108504</v>
      </c>
      <c r="H39" s="62">
        <v>138187</v>
      </c>
      <c r="I39" s="62">
        <v>138187</v>
      </c>
      <c r="J39" s="219">
        <v>214550</v>
      </c>
    </row>
    <row r="40" spans="1:10" s="80" customFormat="1" ht="18" customHeight="1" thickBot="1">
      <c r="A40" s="461">
        <v>33</v>
      </c>
      <c r="B40" s="77"/>
      <c r="C40" s="78"/>
      <c r="D40" s="78"/>
      <c r="E40" s="78">
        <v>12</v>
      </c>
      <c r="F40" s="87" t="s">
        <v>198</v>
      </c>
      <c r="G40" s="79"/>
      <c r="H40" s="79"/>
      <c r="I40" s="79"/>
      <c r="J40" s="217"/>
    </row>
    <row r="41" spans="1:10" s="75" customFormat="1" ht="39.75" customHeight="1" thickBot="1">
      <c r="A41" s="461">
        <v>34</v>
      </c>
      <c r="B41" s="81"/>
      <c r="C41" s="82"/>
      <c r="D41" s="83"/>
      <c r="E41" s="82"/>
      <c r="F41" s="84" t="s">
        <v>199</v>
      </c>
      <c r="G41" s="84">
        <f>SUM(G34:G35)</f>
        <v>22334428</v>
      </c>
      <c r="H41" s="84">
        <f>SUM(H34:H35)</f>
        <v>46422015</v>
      </c>
      <c r="I41" s="84">
        <f>SUM(I34:I35)</f>
        <v>73274928</v>
      </c>
      <c r="J41" s="218">
        <f>SUM(J34:J35)</f>
        <v>58993126</v>
      </c>
    </row>
    <row r="42" spans="2:10" ht="16.5">
      <c r="B42" s="88"/>
      <c r="C42" s="61"/>
      <c r="D42" s="61"/>
      <c r="E42" s="61"/>
      <c r="F42" s="62"/>
      <c r="G42" s="62"/>
      <c r="H42" s="62"/>
      <c r="I42" s="62"/>
      <c r="J42" s="62"/>
    </row>
    <row r="43" spans="2:9" ht="16.5">
      <c r="B43" s="88"/>
      <c r="C43" s="61"/>
      <c r="D43" s="61"/>
      <c r="E43" s="61"/>
      <c r="F43" s="62"/>
      <c r="G43" s="62"/>
      <c r="H43" s="62"/>
      <c r="I43" s="62"/>
    </row>
    <row r="44" spans="2:9" ht="16.5">
      <c r="B44" s="88"/>
      <c r="C44" s="61"/>
      <c r="D44" s="61"/>
      <c r="E44" s="61"/>
      <c r="F44" s="62"/>
      <c r="G44" s="62"/>
      <c r="H44" s="62"/>
      <c r="I44" s="62"/>
    </row>
    <row r="45" spans="2:9" ht="16.5">
      <c r="B45" s="88"/>
      <c r="C45" s="61"/>
      <c r="D45" s="61"/>
      <c r="E45" s="61"/>
      <c r="F45" s="62"/>
      <c r="G45" s="62"/>
      <c r="H45" s="62"/>
      <c r="I45" s="62"/>
    </row>
    <row r="46" spans="2:9" ht="17.25">
      <c r="B46" s="88"/>
      <c r="C46" s="67"/>
      <c r="D46" s="61"/>
      <c r="E46" s="67"/>
      <c r="F46" s="68"/>
      <c r="G46" s="68"/>
      <c r="H46" s="68"/>
      <c r="I46" s="68"/>
    </row>
    <row r="47" spans="2:9" ht="16.5">
      <c r="B47" s="88"/>
      <c r="C47" s="61"/>
      <c r="D47" s="61"/>
      <c r="E47" s="61"/>
      <c r="F47" s="62"/>
      <c r="G47" s="62"/>
      <c r="H47" s="62"/>
      <c r="I47" s="62"/>
    </row>
    <row r="48" spans="2:9" ht="16.5">
      <c r="B48" s="88"/>
      <c r="C48" s="61"/>
      <c r="D48" s="61"/>
      <c r="E48" s="61"/>
      <c r="F48" s="62"/>
      <c r="G48" s="62"/>
      <c r="H48" s="62"/>
      <c r="I48" s="62"/>
    </row>
    <row r="57" spans="1:5" s="59" customFormat="1" ht="17.25">
      <c r="A57" s="463"/>
      <c r="B57" s="89"/>
      <c r="C57" s="90"/>
      <c r="D57" s="91"/>
      <c r="E57" s="90"/>
    </row>
    <row r="62" spans="1:5" s="59" customFormat="1" ht="17.25">
      <c r="A62" s="463"/>
      <c r="B62" s="89"/>
      <c r="C62" s="90"/>
      <c r="D62" s="91"/>
      <c r="E62" s="90"/>
    </row>
    <row r="64" spans="1:5" s="59" customFormat="1" ht="17.25">
      <c r="A64" s="463"/>
      <c r="B64" s="89"/>
      <c r="C64" s="90"/>
      <c r="D64" s="91"/>
      <c r="E64" s="90"/>
    </row>
    <row r="71" ht="16.5">
      <c r="F71" s="62"/>
    </row>
    <row r="72" ht="16.5">
      <c r="F72" s="62"/>
    </row>
    <row r="73" ht="16.5">
      <c r="F73" s="62"/>
    </row>
    <row r="74" ht="16.5">
      <c r="F74" s="62"/>
    </row>
    <row r="75" ht="16.5">
      <c r="F75" s="62"/>
    </row>
    <row r="76" ht="16.5">
      <c r="F76" s="62"/>
    </row>
    <row r="77" ht="16.5">
      <c r="F77" s="62"/>
    </row>
  </sheetData>
  <sheetProtection/>
  <mergeCells count="3">
    <mergeCell ref="B1:F1"/>
    <mergeCell ref="B2:J2"/>
    <mergeCell ref="B3:J3"/>
  </mergeCells>
  <printOptions horizontalCentered="1"/>
  <pageMargins left="0.1968503937007874" right="0.1968503937007874" top="0.5905511811023623" bottom="0.5905511811023623" header="0.5118110236220472" footer="0.5118110236220472"/>
  <pageSetup fitToHeight="2" horizontalDpi="600" verticalDpi="600" orientation="portrait" paperSize="9" scale="70" r:id="rId1"/>
  <headerFooter alignWithMargins="0">
    <oddFooter>&amp;C- 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view="pageBreakPreview" zoomScale="70" zoomScaleSheetLayoutView="70" zoomScalePageLayoutView="0" workbookViewId="0" topLeftCell="A1">
      <selection activeCell="B1" sqref="B1:E1"/>
    </sheetView>
  </sheetViews>
  <sheetFormatPr defaultColWidth="9.125" defaultRowHeight="12.75"/>
  <cols>
    <col min="1" max="1" width="3.75390625" style="992" customWidth="1"/>
    <col min="2" max="3" width="5.75390625" style="0" customWidth="1"/>
    <col min="4" max="4" width="4.75390625" style="0" customWidth="1"/>
    <col min="5" max="5" width="51.75390625" style="0" customWidth="1"/>
    <col min="6" max="8" width="10.625" style="0" customWidth="1"/>
    <col min="9" max="9" width="13.625" style="0" customWidth="1"/>
    <col min="10" max="10" width="10.00390625" style="0" customWidth="1"/>
    <col min="11" max="11" width="14.00390625" style="0" bestFit="1" customWidth="1"/>
    <col min="12" max="12" width="11.75390625" style="0" customWidth="1"/>
    <col min="13" max="13" width="12.375" style="0" bestFit="1" customWidth="1"/>
    <col min="14" max="14" width="14.00390625" style="0" customWidth="1"/>
    <col min="15" max="16" width="12.75390625" style="0" customWidth="1"/>
    <col min="17" max="17" width="10.75390625" style="0" customWidth="1"/>
    <col min="18" max="18" width="12.75390625" style="967" customWidth="1"/>
  </cols>
  <sheetData>
    <row r="1" spans="1:19" s="901" customFormat="1" ht="18" customHeight="1">
      <c r="A1" s="898"/>
      <c r="B1" s="1407" t="s">
        <v>818</v>
      </c>
      <c r="C1" s="1407"/>
      <c r="D1" s="1407"/>
      <c r="E1" s="1407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900"/>
      <c r="S1" s="899"/>
    </row>
    <row r="2" spans="1:19" s="901" customFormat="1" ht="24.75" customHeight="1">
      <c r="A2" s="898"/>
      <c r="B2" s="1408" t="s">
        <v>127</v>
      </c>
      <c r="C2" s="1408"/>
      <c r="D2" s="1408"/>
      <c r="E2" s="1408"/>
      <c r="F2" s="1408"/>
      <c r="G2" s="1408"/>
      <c r="H2" s="1408"/>
      <c r="I2" s="1408"/>
      <c r="J2" s="1408"/>
      <c r="K2" s="1408"/>
      <c r="L2" s="1408"/>
      <c r="M2" s="1408"/>
      <c r="N2" s="1408"/>
      <c r="O2" s="1408"/>
      <c r="P2" s="1408"/>
      <c r="Q2" s="1408"/>
      <c r="R2" s="1408"/>
      <c r="S2" s="899"/>
    </row>
    <row r="3" spans="1:19" s="901" customFormat="1" ht="24.75" customHeight="1">
      <c r="A3" s="898"/>
      <c r="B3" s="1408" t="s">
        <v>552</v>
      </c>
      <c r="C3" s="1408"/>
      <c r="D3" s="1408"/>
      <c r="E3" s="1408"/>
      <c r="F3" s="1408"/>
      <c r="G3" s="1408"/>
      <c r="H3" s="1408"/>
      <c r="I3" s="1408"/>
      <c r="J3" s="1408"/>
      <c r="K3" s="1408"/>
      <c r="L3" s="1408"/>
      <c r="M3" s="1408"/>
      <c r="N3" s="1408"/>
      <c r="O3" s="1408"/>
      <c r="P3" s="1408"/>
      <c r="Q3" s="1408"/>
      <c r="R3" s="1408"/>
      <c r="S3" s="899"/>
    </row>
    <row r="4" spans="1:19" ht="18" customHeight="1">
      <c r="A4" s="898"/>
      <c r="B4" s="902"/>
      <c r="C4" s="458"/>
      <c r="D4" s="458"/>
      <c r="E4" s="458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903"/>
      <c r="Q4" s="903"/>
      <c r="R4" s="904" t="s">
        <v>0</v>
      </c>
      <c r="S4" s="903"/>
    </row>
    <row r="5" spans="2:18" s="898" customFormat="1" ht="18" customHeight="1" thickBot="1">
      <c r="B5" s="898" t="s">
        <v>1</v>
      </c>
      <c r="C5" s="898" t="s">
        <v>3</v>
      </c>
      <c r="D5" s="1409" t="s">
        <v>2</v>
      </c>
      <c r="E5" s="1409"/>
      <c r="F5" s="898" t="s">
        <v>4</v>
      </c>
      <c r="G5" s="898" t="s">
        <v>5</v>
      </c>
      <c r="H5" s="898" t="s">
        <v>15</v>
      </c>
      <c r="I5" s="898" t="s">
        <v>16</v>
      </c>
      <c r="J5" s="898" t="s">
        <v>17</v>
      </c>
      <c r="K5" s="898" t="s">
        <v>34</v>
      </c>
      <c r="L5" s="898" t="s">
        <v>30</v>
      </c>
      <c r="M5" s="898" t="s">
        <v>23</v>
      </c>
      <c r="N5" s="898" t="s">
        <v>35</v>
      </c>
      <c r="O5" s="898" t="s">
        <v>36</v>
      </c>
      <c r="P5" s="898" t="s">
        <v>145</v>
      </c>
      <c r="Q5" s="898" t="s">
        <v>146</v>
      </c>
      <c r="R5" s="898" t="s">
        <v>147</v>
      </c>
    </row>
    <row r="6" spans="1:18" s="902" customFormat="1" ht="30" customHeight="1">
      <c r="A6" s="898"/>
      <c r="B6" s="1410" t="s">
        <v>18</v>
      </c>
      <c r="C6" s="1412" t="s">
        <v>19</v>
      </c>
      <c r="D6" s="1414" t="s">
        <v>6</v>
      </c>
      <c r="E6" s="1415"/>
      <c r="F6" s="1418" t="s">
        <v>508</v>
      </c>
      <c r="G6" s="1418" t="s">
        <v>554</v>
      </c>
      <c r="H6" s="1420" t="s">
        <v>555</v>
      </c>
      <c r="I6" s="1424" t="s">
        <v>703</v>
      </c>
      <c r="J6" s="1426" t="s">
        <v>128</v>
      </c>
      <c r="K6" s="1426"/>
      <c r="L6" s="1426"/>
      <c r="M6" s="1403" t="s">
        <v>129</v>
      </c>
      <c r="N6" s="1403"/>
      <c r="O6" s="1403"/>
      <c r="P6" s="1403" t="s">
        <v>244</v>
      </c>
      <c r="Q6" s="1403" t="s">
        <v>130</v>
      </c>
      <c r="R6" s="1403"/>
    </row>
    <row r="7" spans="1:19" ht="75.75" thickBot="1">
      <c r="A7" s="898"/>
      <c r="B7" s="1411"/>
      <c r="C7" s="1413"/>
      <c r="D7" s="1416"/>
      <c r="E7" s="1417"/>
      <c r="F7" s="1419"/>
      <c r="G7" s="1419"/>
      <c r="H7" s="1421"/>
      <c r="I7" s="1425"/>
      <c r="J7" s="1304" t="s">
        <v>131</v>
      </c>
      <c r="K7" s="1304" t="s">
        <v>132</v>
      </c>
      <c r="L7" s="1304" t="s">
        <v>133</v>
      </c>
      <c r="M7" s="1304" t="s">
        <v>134</v>
      </c>
      <c r="N7" s="1304" t="s">
        <v>135</v>
      </c>
      <c r="O7" s="1304" t="s">
        <v>136</v>
      </c>
      <c r="P7" s="1427"/>
      <c r="Q7" s="1304" t="s">
        <v>115</v>
      </c>
      <c r="R7" s="905" t="s">
        <v>316</v>
      </c>
      <c r="S7" s="903"/>
    </row>
    <row r="8" spans="1:18" s="458" customFormat="1" ht="22.5" customHeight="1">
      <c r="A8" s="898">
        <v>1</v>
      </c>
      <c r="B8" s="906">
        <v>1</v>
      </c>
      <c r="C8" s="907"/>
      <c r="D8" s="908" t="s">
        <v>286</v>
      </c>
      <c r="E8" s="909"/>
      <c r="F8" s="910">
        <v>219560</v>
      </c>
      <c r="G8" s="910">
        <v>228773</v>
      </c>
      <c r="H8" s="911">
        <v>242575</v>
      </c>
      <c r="I8" s="912"/>
      <c r="J8" s="910"/>
      <c r="K8" s="910"/>
      <c r="L8" s="910"/>
      <c r="M8" s="910"/>
      <c r="N8" s="910"/>
      <c r="O8" s="910"/>
      <c r="P8" s="910"/>
      <c r="Q8" s="910"/>
      <c r="R8" s="1289"/>
    </row>
    <row r="9" spans="1:18" s="458" customFormat="1" ht="18" customHeight="1">
      <c r="A9" s="898">
        <v>2</v>
      </c>
      <c r="B9" s="913"/>
      <c r="C9" s="914"/>
      <c r="D9" s="915" t="s">
        <v>292</v>
      </c>
      <c r="E9" s="1305"/>
      <c r="F9" s="916"/>
      <c r="G9" s="916"/>
      <c r="H9" s="917"/>
      <c r="I9" s="918"/>
      <c r="J9" s="916"/>
      <c r="K9" s="916"/>
      <c r="L9" s="916"/>
      <c r="M9" s="916"/>
      <c r="N9" s="916"/>
      <c r="O9" s="916"/>
      <c r="P9" s="916"/>
      <c r="Q9" s="916"/>
      <c r="R9" s="1132"/>
    </row>
    <row r="10" spans="1:19" s="928" customFormat="1" ht="18" customHeight="1">
      <c r="A10" s="898">
        <v>3</v>
      </c>
      <c r="B10" s="920"/>
      <c r="C10" s="921"/>
      <c r="D10" s="922"/>
      <c r="E10" s="923" t="s">
        <v>283</v>
      </c>
      <c r="F10" s="924"/>
      <c r="G10" s="924"/>
      <c r="H10" s="925"/>
      <c r="I10" s="926">
        <f>SUM(J10:Q10)</f>
        <v>242748</v>
      </c>
      <c r="J10" s="924">
        <v>4865</v>
      </c>
      <c r="K10" s="924"/>
      <c r="L10" s="924"/>
      <c r="M10" s="924"/>
      <c r="N10" s="924"/>
      <c r="O10" s="924"/>
      <c r="P10" s="924">
        <v>8670</v>
      </c>
      <c r="Q10" s="924">
        <v>229213</v>
      </c>
      <c r="R10" s="1290">
        <f>202433+5763</f>
        <v>208196</v>
      </c>
      <c r="S10" s="927"/>
    </row>
    <row r="11" spans="1:18" s="930" customFormat="1" ht="22.5" customHeight="1">
      <c r="A11" s="898">
        <v>4</v>
      </c>
      <c r="B11" s="913">
        <v>2</v>
      </c>
      <c r="C11" s="914"/>
      <c r="D11" s="929" t="s">
        <v>315</v>
      </c>
      <c r="E11" s="929"/>
      <c r="F11" s="916">
        <v>397826</v>
      </c>
      <c r="G11" s="916">
        <v>379260</v>
      </c>
      <c r="H11" s="917">
        <v>396118</v>
      </c>
      <c r="I11" s="918"/>
      <c r="J11" s="916"/>
      <c r="K11" s="916"/>
      <c r="L11" s="916"/>
      <c r="M11" s="916"/>
      <c r="N11" s="916"/>
      <c r="O11" s="916"/>
      <c r="P11" s="916"/>
      <c r="Q11" s="916"/>
      <c r="R11" s="1132"/>
    </row>
    <row r="12" spans="1:18" s="930" customFormat="1" ht="18" customHeight="1">
      <c r="A12" s="898">
        <v>5</v>
      </c>
      <c r="B12" s="913"/>
      <c r="C12" s="914"/>
      <c r="D12" s="1305" t="s">
        <v>284</v>
      </c>
      <c r="E12" s="1305"/>
      <c r="F12" s="916"/>
      <c r="G12" s="916"/>
      <c r="H12" s="917"/>
      <c r="I12" s="918"/>
      <c r="J12" s="916"/>
      <c r="K12" s="916"/>
      <c r="L12" s="916"/>
      <c r="M12" s="916"/>
      <c r="N12" s="916"/>
      <c r="O12" s="916"/>
      <c r="P12" s="916"/>
      <c r="Q12" s="916"/>
      <c r="R12" s="1132"/>
    </row>
    <row r="13" spans="1:18" s="931" customFormat="1" ht="18" customHeight="1">
      <c r="A13" s="898">
        <v>6</v>
      </c>
      <c r="B13" s="920"/>
      <c r="C13" s="921"/>
      <c r="D13" s="922"/>
      <c r="E13" s="923" t="s">
        <v>283</v>
      </c>
      <c r="F13" s="924"/>
      <c r="G13" s="924"/>
      <c r="H13" s="925"/>
      <c r="I13" s="926">
        <f>SUM(J13:Q13)</f>
        <v>406776</v>
      </c>
      <c r="J13" s="924">
        <v>10017</v>
      </c>
      <c r="K13" s="924"/>
      <c r="L13" s="924"/>
      <c r="M13" s="924"/>
      <c r="N13" s="924"/>
      <c r="O13" s="924"/>
      <c r="P13" s="924">
        <v>5000</v>
      </c>
      <c r="Q13" s="924">
        <v>391759</v>
      </c>
      <c r="R13" s="1290">
        <f>313948+9047</f>
        <v>322995</v>
      </c>
    </row>
    <row r="14" spans="1:18" s="932" customFormat="1" ht="22.5" customHeight="1">
      <c r="A14" s="898">
        <v>7</v>
      </c>
      <c r="B14" s="913">
        <v>3</v>
      </c>
      <c r="C14" s="914"/>
      <c r="D14" s="929" t="s">
        <v>247</v>
      </c>
      <c r="E14" s="929"/>
      <c r="F14" s="916">
        <v>447705</v>
      </c>
      <c r="G14" s="916">
        <v>430451</v>
      </c>
      <c r="H14" s="917">
        <v>448173</v>
      </c>
      <c r="I14" s="918"/>
      <c r="J14" s="916"/>
      <c r="K14" s="916"/>
      <c r="L14" s="916"/>
      <c r="M14" s="916"/>
      <c r="N14" s="916"/>
      <c r="O14" s="916"/>
      <c r="P14" s="916"/>
      <c r="Q14" s="916"/>
      <c r="R14" s="1132"/>
    </row>
    <row r="15" spans="1:18" s="458" customFormat="1" ht="18" customHeight="1">
      <c r="A15" s="898">
        <v>8</v>
      </c>
      <c r="B15" s="933"/>
      <c r="C15" s="914"/>
      <c r="D15" s="934" t="s">
        <v>138</v>
      </c>
      <c r="E15" s="934"/>
      <c r="F15" s="935"/>
      <c r="G15" s="935"/>
      <c r="H15" s="936"/>
      <c r="I15" s="937"/>
      <c r="J15" s="935"/>
      <c r="K15" s="935"/>
      <c r="L15" s="935"/>
      <c r="M15" s="935"/>
      <c r="N15" s="935"/>
      <c r="O15" s="935"/>
      <c r="P15" s="935"/>
      <c r="Q15" s="935"/>
      <c r="R15" s="1291"/>
    </row>
    <row r="16" spans="1:19" s="928" customFormat="1" ht="18" customHeight="1">
      <c r="A16" s="898">
        <v>9</v>
      </c>
      <c r="B16" s="920"/>
      <c r="C16" s="921"/>
      <c r="D16" s="922"/>
      <c r="E16" s="923" t="s">
        <v>283</v>
      </c>
      <c r="F16" s="924"/>
      <c r="G16" s="924"/>
      <c r="H16" s="925"/>
      <c r="I16" s="926">
        <f>SUM(J16:Q16)</f>
        <v>457212</v>
      </c>
      <c r="J16" s="924">
        <v>12633</v>
      </c>
      <c r="K16" s="924"/>
      <c r="L16" s="924"/>
      <c r="M16" s="924"/>
      <c r="N16" s="924"/>
      <c r="O16" s="924"/>
      <c r="P16" s="924">
        <v>24909</v>
      </c>
      <c r="Q16" s="924">
        <v>419670</v>
      </c>
      <c r="R16" s="1290">
        <f>329503+10783</f>
        <v>340286</v>
      </c>
      <c r="S16" s="927"/>
    </row>
    <row r="17" spans="1:18" s="930" customFormat="1" ht="22.5" customHeight="1">
      <c r="A17" s="898">
        <v>10</v>
      </c>
      <c r="B17" s="913">
        <v>4</v>
      </c>
      <c r="C17" s="914"/>
      <c r="D17" s="938" t="s">
        <v>248</v>
      </c>
      <c r="E17" s="938"/>
      <c r="F17" s="916">
        <v>333792</v>
      </c>
      <c r="G17" s="916">
        <v>340680</v>
      </c>
      <c r="H17" s="917">
        <v>363038</v>
      </c>
      <c r="I17" s="918"/>
      <c r="J17" s="916"/>
      <c r="K17" s="916"/>
      <c r="L17" s="916"/>
      <c r="M17" s="916"/>
      <c r="N17" s="916"/>
      <c r="O17" s="916"/>
      <c r="P17" s="916"/>
      <c r="Q17" s="916"/>
      <c r="R17" s="1132"/>
    </row>
    <row r="18" spans="1:18" s="932" customFormat="1" ht="18" customHeight="1">
      <c r="A18" s="898">
        <v>11</v>
      </c>
      <c r="B18" s="933"/>
      <c r="C18" s="914"/>
      <c r="D18" s="934" t="s">
        <v>139</v>
      </c>
      <c r="E18" s="934"/>
      <c r="F18" s="935"/>
      <c r="G18" s="935"/>
      <c r="H18" s="936"/>
      <c r="I18" s="937"/>
      <c r="J18" s="935"/>
      <c r="K18" s="935"/>
      <c r="L18" s="935"/>
      <c r="M18" s="935"/>
      <c r="N18" s="935"/>
      <c r="O18" s="935"/>
      <c r="P18" s="935"/>
      <c r="Q18" s="935"/>
      <c r="R18" s="1291"/>
    </row>
    <row r="19" spans="1:18" s="939" customFormat="1" ht="18" customHeight="1">
      <c r="A19" s="898">
        <v>12</v>
      </c>
      <c r="B19" s="920"/>
      <c r="C19" s="921"/>
      <c r="D19" s="922"/>
      <c r="E19" s="923" t="s">
        <v>283</v>
      </c>
      <c r="F19" s="924"/>
      <c r="G19" s="924"/>
      <c r="H19" s="925"/>
      <c r="I19" s="926">
        <f>SUM(J19:Q19)</f>
        <v>388568</v>
      </c>
      <c r="J19" s="924">
        <v>13962</v>
      </c>
      <c r="K19" s="924"/>
      <c r="L19" s="924"/>
      <c r="M19" s="924"/>
      <c r="N19" s="924"/>
      <c r="O19" s="924"/>
      <c r="P19" s="924">
        <v>7711</v>
      </c>
      <c r="Q19" s="924">
        <v>366895</v>
      </c>
      <c r="R19" s="1290">
        <f>298729+8260</f>
        <v>306989</v>
      </c>
    </row>
    <row r="20" spans="1:18" s="940" customFormat="1" ht="22.5" customHeight="1">
      <c r="A20" s="898">
        <v>13</v>
      </c>
      <c r="B20" s="913">
        <v>5</v>
      </c>
      <c r="C20" s="914"/>
      <c r="D20" s="938" t="s">
        <v>249</v>
      </c>
      <c r="E20" s="938"/>
      <c r="F20" s="916">
        <v>365853</v>
      </c>
      <c r="G20" s="916">
        <v>362829</v>
      </c>
      <c r="H20" s="917">
        <v>371104</v>
      </c>
      <c r="I20" s="918"/>
      <c r="J20" s="916"/>
      <c r="K20" s="916"/>
      <c r="L20" s="916"/>
      <c r="M20" s="916"/>
      <c r="N20" s="916"/>
      <c r="O20" s="916"/>
      <c r="P20" s="916"/>
      <c r="Q20" s="916"/>
      <c r="R20" s="1132"/>
    </row>
    <row r="21" spans="1:18" s="930" customFormat="1" ht="18" customHeight="1">
      <c r="A21" s="898">
        <v>14</v>
      </c>
      <c r="B21" s="933"/>
      <c r="C21" s="914"/>
      <c r="D21" s="934" t="s">
        <v>140</v>
      </c>
      <c r="E21" s="934"/>
      <c r="F21" s="935"/>
      <c r="G21" s="935"/>
      <c r="H21" s="936"/>
      <c r="I21" s="937"/>
      <c r="J21" s="935"/>
      <c r="K21" s="935"/>
      <c r="L21" s="935"/>
      <c r="M21" s="935"/>
      <c r="N21" s="935"/>
      <c r="O21" s="935"/>
      <c r="P21" s="935"/>
      <c r="Q21" s="935"/>
      <c r="R21" s="1291"/>
    </row>
    <row r="22" spans="1:18" s="931" customFormat="1" ht="18" customHeight="1">
      <c r="A22" s="898">
        <v>15</v>
      </c>
      <c r="B22" s="920"/>
      <c r="C22" s="921"/>
      <c r="D22" s="922"/>
      <c r="E22" s="923" t="s">
        <v>283</v>
      </c>
      <c r="F22" s="924"/>
      <c r="G22" s="924"/>
      <c r="H22" s="925"/>
      <c r="I22" s="926">
        <f>SUM(J22:Q22)</f>
        <v>403969</v>
      </c>
      <c r="J22" s="924">
        <v>16853</v>
      </c>
      <c r="K22" s="924"/>
      <c r="L22" s="924"/>
      <c r="M22" s="924"/>
      <c r="N22" s="924"/>
      <c r="O22" s="924"/>
      <c r="P22" s="924">
        <v>10049</v>
      </c>
      <c r="Q22" s="924">
        <v>377067</v>
      </c>
      <c r="R22" s="1290">
        <f>315637+9139</f>
        <v>324776</v>
      </c>
    </row>
    <row r="23" spans="1:18" s="940" customFormat="1" ht="22.5" customHeight="1">
      <c r="A23" s="898">
        <v>16</v>
      </c>
      <c r="B23" s="913">
        <v>6</v>
      </c>
      <c r="C23" s="914"/>
      <c r="D23" s="938" t="s">
        <v>250</v>
      </c>
      <c r="E23" s="938"/>
      <c r="F23" s="916">
        <v>189562</v>
      </c>
      <c r="G23" s="916">
        <v>206083</v>
      </c>
      <c r="H23" s="917">
        <v>213315</v>
      </c>
      <c r="I23" s="918"/>
      <c r="J23" s="916"/>
      <c r="K23" s="916"/>
      <c r="L23" s="916"/>
      <c r="M23" s="916"/>
      <c r="N23" s="916"/>
      <c r="O23" s="916"/>
      <c r="P23" s="916"/>
      <c r="Q23" s="916"/>
      <c r="R23" s="1132"/>
    </row>
    <row r="24" spans="1:18" s="940" customFormat="1" ht="18" customHeight="1">
      <c r="A24" s="898">
        <v>17</v>
      </c>
      <c r="B24" s="933"/>
      <c r="C24" s="914"/>
      <c r="D24" s="934" t="s">
        <v>141</v>
      </c>
      <c r="E24" s="934"/>
      <c r="F24" s="935"/>
      <c r="G24" s="935"/>
      <c r="H24" s="936"/>
      <c r="I24" s="937"/>
      <c r="J24" s="935"/>
      <c r="K24" s="935"/>
      <c r="L24" s="935"/>
      <c r="M24" s="935"/>
      <c r="N24" s="935"/>
      <c r="O24" s="935"/>
      <c r="P24" s="935"/>
      <c r="Q24" s="935"/>
      <c r="R24" s="1291"/>
    </row>
    <row r="25" spans="1:18" s="941" customFormat="1" ht="18" customHeight="1" thickBot="1">
      <c r="A25" s="898">
        <v>18</v>
      </c>
      <c r="B25" s="920"/>
      <c r="C25" s="921"/>
      <c r="D25" s="922"/>
      <c r="E25" s="923" t="s">
        <v>283</v>
      </c>
      <c r="F25" s="924"/>
      <c r="G25" s="924"/>
      <c r="H25" s="925"/>
      <c r="I25" s="926">
        <f>SUM(J25:Q25)</f>
        <v>235926</v>
      </c>
      <c r="J25" s="924">
        <v>5384</v>
      </c>
      <c r="K25" s="924"/>
      <c r="L25" s="924"/>
      <c r="M25" s="924"/>
      <c r="N25" s="924"/>
      <c r="O25" s="924"/>
      <c r="P25" s="924">
        <v>8274</v>
      </c>
      <c r="Q25" s="924">
        <v>222268</v>
      </c>
      <c r="R25" s="1290">
        <f>157020+4770</f>
        <v>161790</v>
      </c>
    </row>
    <row r="26" spans="1:18" s="903" customFormat="1" ht="22.5" customHeight="1" thickTop="1">
      <c r="A26" s="898">
        <v>19</v>
      </c>
      <c r="B26" s="933"/>
      <c r="C26" s="1404" t="s">
        <v>415</v>
      </c>
      <c r="D26" s="1405"/>
      <c r="E26" s="1406"/>
      <c r="F26" s="942">
        <f>SUM(F8:F25)</f>
        <v>1954298</v>
      </c>
      <c r="G26" s="942">
        <f>SUM(G8:G25)</f>
        <v>1948076</v>
      </c>
      <c r="H26" s="943">
        <f>SUM(H8:H25)</f>
        <v>2034323</v>
      </c>
      <c r="I26" s="944"/>
      <c r="J26" s="942"/>
      <c r="K26" s="942"/>
      <c r="L26" s="942"/>
      <c r="M26" s="942"/>
      <c r="N26" s="942"/>
      <c r="O26" s="942"/>
      <c r="P26" s="942"/>
      <c r="Q26" s="942"/>
      <c r="R26" s="1292"/>
    </row>
    <row r="27" spans="1:19" s="928" customFormat="1" ht="18" customHeight="1" thickBot="1">
      <c r="A27" s="898">
        <v>20</v>
      </c>
      <c r="B27" s="945"/>
      <c r="C27" s="946"/>
      <c r="D27" s="947"/>
      <c r="E27" s="948" t="s">
        <v>283</v>
      </c>
      <c r="F27" s="949"/>
      <c r="G27" s="949"/>
      <c r="H27" s="950"/>
      <c r="I27" s="951">
        <f>SUM(I10,I13,I16,I19,I22,I25,)</f>
        <v>2135199</v>
      </c>
      <c r="J27" s="949">
        <f>SUM(J10,J13,J16,J19,J22,J25,)</f>
        <v>63714</v>
      </c>
      <c r="K27" s="949">
        <f aca="true" t="shared" si="0" ref="K27:Q27">SUM(K10,K13,K16,K19,K22,K25,)</f>
        <v>0</v>
      </c>
      <c r="L27" s="949">
        <f t="shared" si="0"/>
        <v>0</v>
      </c>
      <c r="M27" s="949">
        <f t="shared" si="0"/>
        <v>0</v>
      </c>
      <c r="N27" s="949">
        <f t="shared" si="0"/>
        <v>0</v>
      </c>
      <c r="O27" s="949">
        <f t="shared" si="0"/>
        <v>0</v>
      </c>
      <c r="P27" s="949">
        <f t="shared" si="0"/>
        <v>64613</v>
      </c>
      <c r="Q27" s="949">
        <f t="shared" si="0"/>
        <v>2006872</v>
      </c>
      <c r="R27" s="1293">
        <f>SUM(R10,R13,R16,R19,R22,R25,)</f>
        <v>1665032</v>
      </c>
      <c r="S27" s="927"/>
    </row>
    <row r="28" spans="1:18" s="458" customFormat="1" ht="30" customHeight="1" thickTop="1">
      <c r="A28" s="898">
        <v>21</v>
      </c>
      <c r="B28" s="952">
        <v>7</v>
      </c>
      <c r="C28" s="907"/>
      <c r="D28" s="1428" t="s">
        <v>303</v>
      </c>
      <c r="E28" s="1429"/>
      <c r="F28" s="910">
        <v>1098222</v>
      </c>
      <c r="G28" s="910">
        <v>1120897</v>
      </c>
      <c r="H28" s="911">
        <v>1200705</v>
      </c>
      <c r="I28" s="912"/>
      <c r="J28" s="910"/>
      <c r="K28" s="910"/>
      <c r="L28" s="910"/>
      <c r="M28" s="910"/>
      <c r="N28" s="910"/>
      <c r="O28" s="910"/>
      <c r="P28" s="910"/>
      <c r="Q28" s="910"/>
      <c r="R28" s="1289"/>
    </row>
    <row r="29" spans="1:18" s="927" customFormat="1" ht="18" customHeight="1">
      <c r="A29" s="898">
        <v>22</v>
      </c>
      <c r="B29" s="920"/>
      <c r="C29" s="921"/>
      <c r="D29" s="922"/>
      <c r="E29" s="923" t="s">
        <v>283</v>
      </c>
      <c r="F29" s="924"/>
      <c r="G29" s="924"/>
      <c r="H29" s="925"/>
      <c r="I29" s="926">
        <f>SUM(J29:Q29)</f>
        <v>1378413</v>
      </c>
      <c r="J29" s="924">
        <v>22557</v>
      </c>
      <c r="K29" s="924">
        <v>1528</v>
      </c>
      <c r="L29" s="924"/>
      <c r="M29" s="924"/>
      <c r="N29" s="924"/>
      <c r="O29" s="924"/>
      <c r="P29" s="924">
        <v>9970</v>
      </c>
      <c r="Q29" s="924">
        <v>1344358</v>
      </c>
      <c r="R29" s="1290">
        <f>950330+12869</f>
        <v>963199</v>
      </c>
    </row>
    <row r="30" spans="1:19" ht="22.5" customHeight="1">
      <c r="A30" s="898">
        <v>23</v>
      </c>
      <c r="B30" s="913">
        <v>8</v>
      </c>
      <c r="C30" s="914"/>
      <c r="D30" s="938" t="s">
        <v>111</v>
      </c>
      <c r="E30" s="938"/>
      <c r="F30" s="916">
        <v>104176</v>
      </c>
      <c r="G30" s="916">
        <v>73767</v>
      </c>
      <c r="H30" s="917">
        <v>106981</v>
      </c>
      <c r="I30" s="918"/>
      <c r="J30" s="916"/>
      <c r="K30" s="916"/>
      <c r="L30" s="916"/>
      <c r="M30" s="916"/>
      <c r="N30" s="916"/>
      <c r="O30" s="916"/>
      <c r="P30" s="916"/>
      <c r="Q30" s="916"/>
      <c r="R30" s="1132"/>
      <c r="S30" s="458"/>
    </row>
    <row r="31" spans="1:18" s="931" customFormat="1" ht="18" customHeight="1">
      <c r="A31" s="898">
        <v>24</v>
      </c>
      <c r="B31" s="920"/>
      <c r="C31" s="921"/>
      <c r="D31" s="922"/>
      <c r="E31" s="923" t="s">
        <v>283</v>
      </c>
      <c r="F31" s="924"/>
      <c r="G31" s="924"/>
      <c r="H31" s="925"/>
      <c r="I31" s="926">
        <f>SUM(J31:Q31)</f>
        <v>86372</v>
      </c>
      <c r="J31" s="924">
        <v>14100</v>
      </c>
      <c r="K31" s="924"/>
      <c r="L31" s="924"/>
      <c r="M31" s="924"/>
      <c r="N31" s="924"/>
      <c r="O31" s="924"/>
      <c r="P31" s="924">
        <v>3307</v>
      </c>
      <c r="Q31" s="924">
        <v>68965</v>
      </c>
      <c r="R31" s="1290">
        <v>41506</v>
      </c>
    </row>
    <row r="32" spans="1:19" ht="22.5" customHeight="1">
      <c r="A32" s="898">
        <v>25</v>
      </c>
      <c r="B32" s="913">
        <v>9</v>
      </c>
      <c r="C32" s="914"/>
      <c r="D32" s="938" t="s">
        <v>369</v>
      </c>
      <c r="E32" s="938"/>
      <c r="F32" s="916">
        <v>343864</v>
      </c>
      <c r="G32" s="916">
        <v>263190</v>
      </c>
      <c r="H32" s="917">
        <v>346977</v>
      </c>
      <c r="I32" s="918"/>
      <c r="J32" s="916"/>
      <c r="K32" s="916"/>
      <c r="L32" s="916"/>
      <c r="M32" s="916"/>
      <c r="N32" s="916"/>
      <c r="O32" s="916"/>
      <c r="P32" s="916"/>
      <c r="Q32" s="916"/>
      <c r="R32" s="1132"/>
      <c r="S32" s="458"/>
    </row>
    <row r="33" spans="1:18" s="931" customFormat="1" ht="18" customHeight="1">
      <c r="A33" s="898">
        <v>26</v>
      </c>
      <c r="B33" s="920"/>
      <c r="C33" s="953"/>
      <c r="D33" s="954"/>
      <c r="E33" s="955" t="s">
        <v>283</v>
      </c>
      <c r="F33" s="956"/>
      <c r="G33" s="956"/>
      <c r="H33" s="957"/>
      <c r="I33" s="958">
        <f>SUM(J33:Q33)</f>
        <v>293643</v>
      </c>
      <c r="J33" s="956">
        <v>1800</v>
      </c>
      <c r="K33" s="956"/>
      <c r="L33" s="956"/>
      <c r="M33" s="956"/>
      <c r="N33" s="956"/>
      <c r="O33" s="956"/>
      <c r="P33" s="956">
        <v>6653</v>
      </c>
      <c r="Q33" s="956">
        <v>285190</v>
      </c>
      <c r="R33" s="1294">
        <v>188942</v>
      </c>
    </row>
    <row r="34" spans="1:19" s="960" customFormat="1" ht="30" customHeight="1">
      <c r="A34" s="898">
        <v>27</v>
      </c>
      <c r="B34" s="913"/>
      <c r="C34" s="959">
        <v>1</v>
      </c>
      <c r="D34" s="1422" t="s">
        <v>704</v>
      </c>
      <c r="E34" s="1423"/>
      <c r="F34" s="916"/>
      <c r="G34" s="916"/>
      <c r="H34" s="917">
        <v>15000</v>
      </c>
      <c r="I34" s="918"/>
      <c r="J34" s="916"/>
      <c r="K34" s="916"/>
      <c r="L34" s="916"/>
      <c r="M34" s="916"/>
      <c r="N34" s="916"/>
      <c r="O34" s="916"/>
      <c r="P34" s="916"/>
      <c r="Q34" s="916"/>
      <c r="R34" s="1132"/>
      <c r="S34" s="903"/>
    </row>
    <row r="35" spans="1:18" s="927" customFormat="1" ht="18" customHeight="1" thickBot="1">
      <c r="A35" s="898">
        <v>28</v>
      </c>
      <c r="B35" s="945"/>
      <c r="C35" s="953"/>
      <c r="D35" s="954"/>
      <c r="E35" s="961" t="s">
        <v>283</v>
      </c>
      <c r="F35" s="956"/>
      <c r="G35" s="956"/>
      <c r="H35" s="957"/>
      <c r="I35" s="958">
        <f>SUM(J35:Q35)</f>
        <v>0</v>
      </c>
      <c r="J35" s="956"/>
      <c r="K35" s="956"/>
      <c r="L35" s="956"/>
      <c r="M35" s="956"/>
      <c r="N35" s="956"/>
      <c r="O35" s="956"/>
      <c r="P35" s="956"/>
      <c r="Q35" s="956"/>
      <c r="R35" s="1294"/>
    </row>
    <row r="36" spans="1:18" s="940" customFormat="1" ht="22.5" customHeight="1" thickTop="1">
      <c r="A36" s="898">
        <v>29</v>
      </c>
      <c r="B36" s="933"/>
      <c r="C36" s="1404" t="s">
        <v>416</v>
      </c>
      <c r="D36" s="1405"/>
      <c r="E36" s="1406"/>
      <c r="F36" s="942">
        <f>SUM(F28:F35)</f>
        <v>1546262</v>
      </c>
      <c r="G36" s="942">
        <f>SUM(G28:G35)</f>
        <v>1457854</v>
      </c>
      <c r="H36" s="943">
        <f>SUM(H28:H35)</f>
        <v>1669663</v>
      </c>
      <c r="I36" s="944"/>
      <c r="J36" s="942"/>
      <c r="K36" s="942"/>
      <c r="L36" s="942"/>
      <c r="M36" s="942"/>
      <c r="N36" s="942"/>
      <c r="O36" s="942"/>
      <c r="P36" s="942"/>
      <c r="Q36" s="942"/>
      <c r="R36" s="1295"/>
    </row>
    <row r="37" spans="1:18" s="931" customFormat="1" ht="18" customHeight="1" thickBot="1">
      <c r="A37" s="898">
        <v>30</v>
      </c>
      <c r="B37" s="920"/>
      <c r="C37" s="946"/>
      <c r="D37" s="947"/>
      <c r="E37" s="962" t="s">
        <v>283</v>
      </c>
      <c r="F37" s="949"/>
      <c r="G37" s="949"/>
      <c r="H37" s="950"/>
      <c r="I37" s="951">
        <f>SUM(I29,I31,I33,I35)</f>
        <v>1758428</v>
      </c>
      <c r="J37" s="949">
        <f>SUM(J29,J31,J33,J35)</f>
        <v>38457</v>
      </c>
      <c r="K37" s="949">
        <f aca="true" t="shared" si="1" ref="K37:R37">SUM(K29,K31,K33,K35)</f>
        <v>1528</v>
      </c>
      <c r="L37" s="949">
        <f t="shared" si="1"/>
        <v>0</v>
      </c>
      <c r="M37" s="949">
        <f t="shared" si="1"/>
        <v>0</v>
      </c>
      <c r="N37" s="949">
        <f t="shared" si="1"/>
        <v>0</v>
      </c>
      <c r="O37" s="949">
        <f t="shared" si="1"/>
        <v>0</v>
      </c>
      <c r="P37" s="949">
        <f t="shared" si="1"/>
        <v>19930</v>
      </c>
      <c r="Q37" s="949">
        <f t="shared" si="1"/>
        <v>1698513</v>
      </c>
      <c r="R37" s="1296">
        <f t="shared" si="1"/>
        <v>1193647</v>
      </c>
    </row>
    <row r="38" spans="1:19" s="904" customFormat="1" ht="22.5" customHeight="1" thickTop="1">
      <c r="A38" s="898">
        <v>31</v>
      </c>
      <c r="B38" s="906">
        <v>10</v>
      </c>
      <c r="C38" s="907"/>
      <c r="D38" s="897" t="s">
        <v>371</v>
      </c>
      <c r="E38" s="963"/>
      <c r="F38" s="910">
        <v>256766</v>
      </c>
      <c r="G38" s="910">
        <v>239700</v>
      </c>
      <c r="H38" s="911">
        <v>315212</v>
      </c>
      <c r="I38" s="912"/>
      <c r="J38" s="910"/>
      <c r="K38" s="910"/>
      <c r="L38" s="910"/>
      <c r="M38" s="910"/>
      <c r="N38" s="910"/>
      <c r="O38" s="910"/>
      <c r="P38" s="910"/>
      <c r="Q38" s="910"/>
      <c r="R38" s="1289"/>
      <c r="S38" s="903"/>
    </row>
    <row r="39" spans="1:18" s="927" customFormat="1" ht="18" customHeight="1">
      <c r="A39" s="898">
        <v>32</v>
      </c>
      <c r="B39" s="920"/>
      <c r="C39" s="921"/>
      <c r="D39" s="922"/>
      <c r="E39" s="923" t="s">
        <v>283</v>
      </c>
      <c r="F39" s="924"/>
      <c r="G39" s="924"/>
      <c r="H39" s="925"/>
      <c r="I39" s="926">
        <f>SUM(J39:Q39)</f>
        <v>253600</v>
      </c>
      <c r="J39" s="924">
        <v>38377</v>
      </c>
      <c r="K39" s="924">
        <v>18172</v>
      </c>
      <c r="L39" s="924"/>
      <c r="M39" s="924"/>
      <c r="N39" s="924"/>
      <c r="O39" s="924"/>
      <c r="P39" s="924">
        <v>311</v>
      </c>
      <c r="Q39" s="924">
        <v>196740</v>
      </c>
      <c r="R39" s="1290">
        <v>26989</v>
      </c>
    </row>
    <row r="40" spans="1:19" s="960" customFormat="1" ht="30" customHeight="1">
      <c r="A40" s="898">
        <v>33</v>
      </c>
      <c r="B40" s="913"/>
      <c r="C40" s="959">
        <v>1</v>
      </c>
      <c r="D40" s="1422" t="s">
        <v>412</v>
      </c>
      <c r="E40" s="1423"/>
      <c r="F40" s="916">
        <v>33609</v>
      </c>
      <c r="G40" s="916">
        <v>75640</v>
      </c>
      <c r="H40" s="917">
        <v>79633</v>
      </c>
      <c r="I40" s="918"/>
      <c r="J40" s="916"/>
      <c r="K40" s="916"/>
      <c r="L40" s="916"/>
      <c r="M40" s="916"/>
      <c r="N40" s="916"/>
      <c r="O40" s="916"/>
      <c r="P40" s="916"/>
      <c r="Q40" s="916"/>
      <c r="R40" s="1132"/>
      <c r="S40" s="903"/>
    </row>
    <row r="41" spans="1:18" s="927" customFormat="1" ht="18" customHeight="1">
      <c r="A41" s="898">
        <v>34</v>
      </c>
      <c r="B41" s="945"/>
      <c r="C41" s="953"/>
      <c r="D41" s="954"/>
      <c r="E41" s="961" t="s">
        <v>283</v>
      </c>
      <c r="F41" s="956"/>
      <c r="G41" s="956"/>
      <c r="H41" s="957"/>
      <c r="I41" s="958">
        <f>SUM(J41:Q41)</f>
        <v>66535</v>
      </c>
      <c r="J41" s="956"/>
      <c r="K41" s="956">
        <v>43829</v>
      </c>
      <c r="L41" s="956"/>
      <c r="M41" s="956"/>
      <c r="N41" s="956">
        <v>2741</v>
      </c>
      <c r="O41" s="956"/>
      <c r="P41" s="956">
        <v>19965</v>
      </c>
      <c r="Q41" s="956"/>
      <c r="R41" s="1294"/>
    </row>
    <row r="42" spans="1:19" s="960" customFormat="1" ht="30" customHeight="1">
      <c r="A42" s="898">
        <v>35</v>
      </c>
      <c r="B42" s="913"/>
      <c r="C42" s="959">
        <v>2</v>
      </c>
      <c r="D42" s="1422" t="s">
        <v>705</v>
      </c>
      <c r="E42" s="1423"/>
      <c r="F42" s="916"/>
      <c r="G42" s="916"/>
      <c r="H42" s="917">
        <v>20000</v>
      </c>
      <c r="I42" s="918"/>
      <c r="J42" s="916"/>
      <c r="K42" s="916"/>
      <c r="L42" s="916"/>
      <c r="M42" s="916"/>
      <c r="N42" s="916"/>
      <c r="O42" s="916"/>
      <c r="P42" s="916"/>
      <c r="Q42" s="916"/>
      <c r="R42" s="1132"/>
      <c r="S42" s="903"/>
    </row>
    <row r="43" spans="1:18" s="927" customFormat="1" ht="18" customHeight="1">
      <c r="A43" s="898">
        <v>36</v>
      </c>
      <c r="B43" s="945"/>
      <c r="C43" s="953"/>
      <c r="D43" s="954"/>
      <c r="E43" s="961" t="s">
        <v>283</v>
      </c>
      <c r="F43" s="956"/>
      <c r="G43" s="956"/>
      <c r="H43" s="957"/>
      <c r="I43" s="958">
        <f>SUM(J43:Q43)</f>
        <v>1173</v>
      </c>
      <c r="J43" s="956"/>
      <c r="K43" s="956"/>
      <c r="L43" s="956"/>
      <c r="M43" s="956"/>
      <c r="N43" s="956"/>
      <c r="O43" s="956"/>
      <c r="P43" s="956">
        <v>1173</v>
      </c>
      <c r="Q43" s="956"/>
      <c r="R43" s="1294"/>
    </row>
    <row r="44" spans="1:19" s="960" customFormat="1" ht="22.5" customHeight="1">
      <c r="A44" s="898">
        <v>37</v>
      </c>
      <c r="B44" s="913">
        <v>11</v>
      </c>
      <c r="C44" s="914"/>
      <c r="D44" s="938" t="s">
        <v>364</v>
      </c>
      <c r="E44" s="938"/>
      <c r="F44" s="916">
        <v>154309</v>
      </c>
      <c r="G44" s="916">
        <v>156915</v>
      </c>
      <c r="H44" s="917">
        <v>185459</v>
      </c>
      <c r="I44" s="918"/>
      <c r="J44" s="916"/>
      <c r="K44" s="916"/>
      <c r="L44" s="916"/>
      <c r="M44" s="916"/>
      <c r="N44" s="916"/>
      <c r="O44" s="916"/>
      <c r="P44" s="916"/>
      <c r="Q44" s="916"/>
      <c r="R44" s="1132"/>
      <c r="S44" s="903"/>
    </row>
    <row r="45" spans="1:18" s="927" customFormat="1" ht="18" customHeight="1">
      <c r="A45" s="898">
        <v>38</v>
      </c>
      <c r="B45" s="920"/>
      <c r="C45" s="921"/>
      <c r="D45" s="922"/>
      <c r="E45" s="923" t="s">
        <v>283</v>
      </c>
      <c r="F45" s="924"/>
      <c r="G45" s="924"/>
      <c r="H45" s="925"/>
      <c r="I45" s="926">
        <f>SUM(J45:Q45)</f>
        <v>173307</v>
      </c>
      <c r="J45" s="924">
        <v>12693</v>
      </c>
      <c r="K45" s="924"/>
      <c r="L45" s="924"/>
      <c r="M45" s="924"/>
      <c r="N45" s="924"/>
      <c r="O45" s="924"/>
      <c r="P45" s="924">
        <v>9503</v>
      </c>
      <c r="Q45" s="924">
        <v>151111</v>
      </c>
      <c r="R45" s="1290">
        <v>25598</v>
      </c>
    </row>
    <row r="46" spans="1:19" s="960" customFormat="1" ht="18" customHeight="1">
      <c r="A46" s="898">
        <v>39</v>
      </c>
      <c r="B46" s="913"/>
      <c r="C46" s="914">
        <v>1</v>
      </c>
      <c r="D46" s="929" t="s">
        <v>497</v>
      </c>
      <c r="E46" s="1305"/>
      <c r="F46" s="916">
        <v>1879</v>
      </c>
      <c r="G46" s="916">
        <v>2349</v>
      </c>
      <c r="H46" s="917">
        <v>2349</v>
      </c>
      <c r="I46" s="918"/>
      <c r="J46" s="916"/>
      <c r="K46" s="916"/>
      <c r="L46" s="916"/>
      <c r="M46" s="916"/>
      <c r="N46" s="916"/>
      <c r="O46" s="916"/>
      <c r="P46" s="916"/>
      <c r="Q46" s="916"/>
      <c r="R46" s="1132"/>
      <c r="S46" s="903"/>
    </row>
    <row r="47" spans="1:18" s="927" customFormat="1" ht="18" customHeight="1">
      <c r="A47" s="898">
        <v>40</v>
      </c>
      <c r="B47" s="945"/>
      <c r="C47" s="953"/>
      <c r="D47" s="954"/>
      <c r="E47" s="961" t="s">
        <v>283</v>
      </c>
      <c r="F47" s="956"/>
      <c r="G47" s="956"/>
      <c r="H47" s="957"/>
      <c r="I47" s="958">
        <f>SUM(J47:Q47)</f>
        <v>0</v>
      </c>
      <c r="J47" s="956"/>
      <c r="K47" s="956"/>
      <c r="L47" s="956"/>
      <c r="M47" s="956"/>
      <c r="N47" s="956"/>
      <c r="O47" s="956"/>
      <c r="P47" s="956"/>
      <c r="Q47" s="956"/>
      <c r="R47" s="1294"/>
    </row>
    <row r="48" spans="1:19" s="960" customFormat="1" ht="18" customHeight="1">
      <c r="A48" s="898">
        <v>41</v>
      </c>
      <c r="B48" s="913"/>
      <c r="C48" s="914">
        <v>2</v>
      </c>
      <c r="D48" s="929" t="s">
        <v>706</v>
      </c>
      <c r="E48" s="1305"/>
      <c r="F48" s="916"/>
      <c r="G48" s="916"/>
      <c r="H48" s="917">
        <v>15000</v>
      </c>
      <c r="I48" s="918"/>
      <c r="J48" s="916"/>
      <c r="K48" s="916"/>
      <c r="L48" s="916"/>
      <c r="M48" s="916"/>
      <c r="N48" s="916"/>
      <c r="O48" s="916"/>
      <c r="P48" s="916"/>
      <c r="Q48" s="916"/>
      <c r="R48" s="1132"/>
      <c r="S48" s="903"/>
    </row>
    <row r="49" spans="1:18" s="927" customFormat="1" ht="18" customHeight="1">
      <c r="A49" s="898">
        <v>42</v>
      </c>
      <c r="B49" s="945"/>
      <c r="C49" s="953"/>
      <c r="D49" s="954"/>
      <c r="E49" s="961" t="s">
        <v>283</v>
      </c>
      <c r="F49" s="956"/>
      <c r="G49" s="956"/>
      <c r="H49" s="957"/>
      <c r="I49" s="958">
        <f>SUM(J49:Q49)</f>
        <v>7512</v>
      </c>
      <c r="J49" s="956"/>
      <c r="K49" s="956"/>
      <c r="L49" s="956"/>
      <c r="M49" s="956"/>
      <c r="N49" s="956"/>
      <c r="O49" s="956"/>
      <c r="P49" s="956">
        <v>7512</v>
      </c>
      <c r="Q49" s="956"/>
      <c r="R49" s="1294"/>
    </row>
    <row r="50" spans="1:18" s="932" customFormat="1" ht="22.5" customHeight="1">
      <c r="A50" s="898">
        <v>43</v>
      </c>
      <c r="B50" s="913">
        <v>12</v>
      </c>
      <c r="C50" s="914"/>
      <c r="D50" s="938" t="s">
        <v>25</v>
      </c>
      <c r="E50" s="964"/>
      <c r="F50" s="916">
        <v>460446</v>
      </c>
      <c r="G50" s="916">
        <v>458734</v>
      </c>
      <c r="H50" s="917">
        <v>486715</v>
      </c>
      <c r="I50" s="918"/>
      <c r="J50" s="916"/>
      <c r="K50" s="916"/>
      <c r="L50" s="916"/>
      <c r="M50" s="916"/>
      <c r="N50" s="916"/>
      <c r="O50" s="916"/>
      <c r="P50" s="916"/>
      <c r="Q50" s="916"/>
      <c r="R50" s="1132"/>
    </row>
    <row r="51" spans="1:18" s="939" customFormat="1" ht="18" customHeight="1">
      <c r="A51" s="898">
        <v>44</v>
      </c>
      <c r="B51" s="920"/>
      <c r="C51" s="921"/>
      <c r="D51" s="922"/>
      <c r="E51" s="923" t="s">
        <v>283</v>
      </c>
      <c r="F51" s="924"/>
      <c r="G51" s="924"/>
      <c r="H51" s="925"/>
      <c r="I51" s="926">
        <f>SUM(J51:Q51)</f>
        <v>531198</v>
      </c>
      <c r="J51" s="924">
        <v>30171</v>
      </c>
      <c r="K51" s="924">
        <v>40025</v>
      </c>
      <c r="L51" s="924"/>
      <c r="M51" s="924"/>
      <c r="N51" s="924"/>
      <c r="O51" s="924"/>
      <c r="P51" s="924"/>
      <c r="Q51" s="924">
        <v>461002</v>
      </c>
      <c r="R51" s="1290">
        <v>290456</v>
      </c>
    </row>
    <row r="52" spans="1:18" s="932" customFormat="1" ht="30" customHeight="1">
      <c r="A52" s="898">
        <v>45</v>
      </c>
      <c r="B52" s="933"/>
      <c r="C52" s="959">
        <v>2</v>
      </c>
      <c r="D52" s="1422" t="s">
        <v>412</v>
      </c>
      <c r="E52" s="1423"/>
      <c r="F52" s="916">
        <v>18642</v>
      </c>
      <c r="G52" s="916">
        <v>49690</v>
      </c>
      <c r="H52" s="917">
        <v>43337</v>
      </c>
      <c r="I52" s="918"/>
      <c r="J52" s="916"/>
      <c r="K52" s="916"/>
      <c r="L52" s="916"/>
      <c r="M52" s="916"/>
      <c r="N52" s="916"/>
      <c r="O52" s="916"/>
      <c r="P52" s="916"/>
      <c r="Q52" s="916"/>
      <c r="R52" s="1132"/>
    </row>
    <row r="53" spans="1:19" s="928" customFormat="1" ht="18" customHeight="1">
      <c r="A53" s="898">
        <v>46</v>
      </c>
      <c r="B53" s="945"/>
      <c r="C53" s="921"/>
      <c r="D53" s="922"/>
      <c r="E53" s="965" t="s">
        <v>283</v>
      </c>
      <c r="F53" s="924"/>
      <c r="G53" s="924"/>
      <c r="H53" s="925"/>
      <c r="I53" s="926">
        <f>SUM(J53:Q53)</f>
        <v>38331</v>
      </c>
      <c r="J53" s="924"/>
      <c r="K53" s="924">
        <v>26691</v>
      </c>
      <c r="L53" s="924"/>
      <c r="M53" s="924"/>
      <c r="N53" s="924"/>
      <c r="O53" s="924"/>
      <c r="P53" s="924">
        <v>11640</v>
      </c>
      <c r="Q53" s="924"/>
      <c r="R53" s="1290"/>
      <c r="S53" s="927"/>
    </row>
    <row r="54" spans="1:18" s="932" customFormat="1" ht="22.5" customHeight="1">
      <c r="A54" s="898">
        <v>47</v>
      </c>
      <c r="B54" s="913">
        <v>13</v>
      </c>
      <c r="C54" s="914"/>
      <c r="D54" s="938" t="s">
        <v>32</v>
      </c>
      <c r="E54" s="964"/>
      <c r="F54" s="916">
        <v>437547</v>
      </c>
      <c r="G54" s="916">
        <v>442284</v>
      </c>
      <c r="H54" s="917">
        <v>535971</v>
      </c>
      <c r="I54" s="918"/>
      <c r="J54" s="916"/>
      <c r="K54" s="916"/>
      <c r="L54" s="916"/>
      <c r="M54" s="916"/>
      <c r="N54" s="916"/>
      <c r="O54" s="916"/>
      <c r="P54" s="916"/>
      <c r="Q54" s="916"/>
      <c r="R54" s="1132"/>
    </row>
    <row r="55" spans="1:18" s="939" customFormat="1" ht="18" customHeight="1">
      <c r="A55" s="898">
        <v>48</v>
      </c>
      <c r="B55" s="920"/>
      <c r="C55" s="921"/>
      <c r="D55" s="922"/>
      <c r="E55" s="923" t="s">
        <v>283</v>
      </c>
      <c r="F55" s="924"/>
      <c r="G55" s="924"/>
      <c r="H55" s="925"/>
      <c r="I55" s="926">
        <f>SUM(J55:Q55)</f>
        <v>410179</v>
      </c>
      <c r="J55" s="924">
        <v>96166</v>
      </c>
      <c r="K55" s="924">
        <v>38692</v>
      </c>
      <c r="L55" s="924">
        <v>5210</v>
      </c>
      <c r="M55" s="924"/>
      <c r="N55" s="924"/>
      <c r="O55" s="924"/>
      <c r="P55" s="924">
        <v>15219</v>
      </c>
      <c r="Q55" s="924">
        <v>254892</v>
      </c>
      <c r="R55" s="1290">
        <v>120660</v>
      </c>
    </row>
    <row r="56" spans="1:19" s="960" customFormat="1" ht="18" customHeight="1">
      <c r="A56" s="898">
        <v>49</v>
      </c>
      <c r="B56" s="913"/>
      <c r="C56" s="914">
        <v>1</v>
      </c>
      <c r="D56" s="929" t="s">
        <v>497</v>
      </c>
      <c r="E56" s="1305"/>
      <c r="F56" s="916">
        <v>8944</v>
      </c>
      <c r="G56" s="916">
        <v>8944</v>
      </c>
      <c r="H56" s="917">
        <v>8944</v>
      </c>
      <c r="I56" s="918"/>
      <c r="J56" s="916"/>
      <c r="K56" s="916"/>
      <c r="L56" s="916"/>
      <c r="M56" s="916"/>
      <c r="N56" s="916"/>
      <c r="O56" s="916"/>
      <c r="P56" s="916"/>
      <c r="Q56" s="916"/>
      <c r="R56" s="1132"/>
      <c r="S56" s="903"/>
    </row>
    <row r="57" spans="1:18" s="927" customFormat="1" ht="18" customHeight="1">
      <c r="A57" s="898">
        <v>50</v>
      </c>
      <c r="B57" s="945"/>
      <c r="C57" s="953"/>
      <c r="D57" s="954"/>
      <c r="E57" s="961" t="s">
        <v>283</v>
      </c>
      <c r="F57" s="956"/>
      <c r="G57" s="956"/>
      <c r="H57" s="957"/>
      <c r="I57" s="958">
        <f>SUM(J57:Q57)</f>
        <v>8944</v>
      </c>
      <c r="J57" s="956"/>
      <c r="K57" s="956"/>
      <c r="L57" s="956"/>
      <c r="M57" s="956"/>
      <c r="N57" s="956"/>
      <c r="O57" s="956"/>
      <c r="P57" s="956">
        <v>8944</v>
      </c>
      <c r="Q57" s="956"/>
      <c r="R57" s="1294"/>
    </row>
    <row r="58" spans="1:19" s="960" customFormat="1" ht="30" customHeight="1">
      <c r="A58" s="898">
        <v>51</v>
      </c>
      <c r="B58" s="913"/>
      <c r="C58" s="959">
        <v>2</v>
      </c>
      <c r="D58" s="1433" t="s">
        <v>707</v>
      </c>
      <c r="E58" s="1434"/>
      <c r="F58" s="916"/>
      <c r="G58" s="916"/>
      <c r="H58" s="917">
        <v>30582</v>
      </c>
      <c r="I58" s="918"/>
      <c r="J58" s="916"/>
      <c r="K58" s="916"/>
      <c r="L58" s="916"/>
      <c r="M58" s="916"/>
      <c r="N58" s="916"/>
      <c r="O58" s="916"/>
      <c r="P58" s="916"/>
      <c r="Q58" s="916"/>
      <c r="R58" s="1132"/>
      <c r="S58" s="903"/>
    </row>
    <row r="59" spans="1:18" s="927" customFormat="1" ht="18" customHeight="1">
      <c r="A59" s="898">
        <v>52</v>
      </c>
      <c r="B59" s="945"/>
      <c r="C59" s="953"/>
      <c r="D59" s="954"/>
      <c r="E59" s="961" t="s">
        <v>283</v>
      </c>
      <c r="F59" s="956"/>
      <c r="G59" s="956"/>
      <c r="H59" s="957"/>
      <c r="I59" s="958">
        <f>SUM(J59:Q59)</f>
        <v>30582</v>
      </c>
      <c r="J59" s="956">
        <v>5582</v>
      </c>
      <c r="K59" s="956"/>
      <c r="L59" s="956"/>
      <c r="M59" s="956"/>
      <c r="N59" s="956"/>
      <c r="O59" s="956"/>
      <c r="P59" s="956">
        <v>25000</v>
      </c>
      <c r="Q59" s="956"/>
      <c r="R59" s="1294"/>
    </row>
    <row r="60" spans="1:18" s="932" customFormat="1" ht="22.5" customHeight="1">
      <c r="A60" s="898">
        <v>53</v>
      </c>
      <c r="B60" s="913">
        <v>14</v>
      </c>
      <c r="C60" s="914"/>
      <c r="D60" s="938" t="s">
        <v>365</v>
      </c>
      <c r="E60" s="938"/>
      <c r="F60" s="916">
        <v>140902</v>
      </c>
      <c r="G60" s="916">
        <v>150913</v>
      </c>
      <c r="H60" s="917">
        <v>187004</v>
      </c>
      <c r="I60" s="918"/>
      <c r="J60" s="916"/>
      <c r="K60" s="916"/>
      <c r="L60" s="916"/>
      <c r="M60" s="916"/>
      <c r="N60" s="916"/>
      <c r="O60" s="916"/>
      <c r="P60" s="916"/>
      <c r="Q60" s="916"/>
      <c r="R60" s="1132"/>
    </row>
    <row r="61" spans="1:18" s="939" customFormat="1" ht="18" customHeight="1">
      <c r="A61" s="898">
        <v>54</v>
      </c>
      <c r="B61" s="920"/>
      <c r="C61" s="921"/>
      <c r="D61" s="922"/>
      <c r="E61" s="923" t="s">
        <v>283</v>
      </c>
      <c r="F61" s="924"/>
      <c r="G61" s="924"/>
      <c r="H61" s="925"/>
      <c r="I61" s="926">
        <f>SUM(J61:Q61)</f>
        <v>192725</v>
      </c>
      <c r="J61" s="924">
        <v>38526</v>
      </c>
      <c r="K61" s="924">
        <v>17976</v>
      </c>
      <c r="L61" s="924">
        <v>10000</v>
      </c>
      <c r="M61" s="924"/>
      <c r="N61" s="924"/>
      <c r="O61" s="924"/>
      <c r="P61" s="924">
        <v>3826</v>
      </c>
      <c r="Q61" s="924">
        <v>122397</v>
      </c>
      <c r="R61" s="1290">
        <v>61643</v>
      </c>
    </row>
    <row r="62" spans="1:19" s="967" customFormat="1" ht="18" customHeight="1">
      <c r="A62" s="898">
        <v>55</v>
      </c>
      <c r="B62" s="966"/>
      <c r="C62" s="914">
        <v>1</v>
      </c>
      <c r="D62" s="1305" t="s">
        <v>137</v>
      </c>
      <c r="E62" s="1305"/>
      <c r="F62" s="916">
        <v>639</v>
      </c>
      <c r="G62" s="916">
        <v>1054</v>
      </c>
      <c r="H62" s="917">
        <v>1755</v>
      </c>
      <c r="I62" s="918"/>
      <c r="J62" s="916"/>
      <c r="K62" s="916"/>
      <c r="L62" s="916"/>
      <c r="M62" s="916"/>
      <c r="N62" s="916"/>
      <c r="O62" s="916"/>
      <c r="P62" s="916"/>
      <c r="Q62" s="916"/>
      <c r="R62" s="1132"/>
      <c r="S62" s="904"/>
    </row>
    <row r="63" spans="1:19" s="969" customFormat="1" ht="18" customHeight="1">
      <c r="A63" s="898">
        <v>56</v>
      </c>
      <c r="B63" s="945"/>
      <c r="C63" s="921"/>
      <c r="D63" s="922"/>
      <c r="E63" s="965" t="s">
        <v>283</v>
      </c>
      <c r="F63" s="924"/>
      <c r="G63" s="924"/>
      <c r="H63" s="925"/>
      <c r="I63" s="926">
        <f>SUM(J63:Q63)</f>
        <v>1444</v>
      </c>
      <c r="J63" s="924"/>
      <c r="K63" s="924">
        <v>1444</v>
      </c>
      <c r="L63" s="924"/>
      <c r="M63" s="924"/>
      <c r="N63" s="924"/>
      <c r="O63" s="924"/>
      <c r="P63" s="924"/>
      <c r="Q63" s="924"/>
      <c r="R63" s="1290"/>
      <c r="S63" s="968"/>
    </row>
    <row r="64" spans="1:19" s="960" customFormat="1" ht="30" customHeight="1">
      <c r="A64" s="898">
        <v>57</v>
      </c>
      <c r="B64" s="913"/>
      <c r="C64" s="914"/>
      <c r="D64" s="1433" t="s">
        <v>708</v>
      </c>
      <c r="E64" s="1434"/>
      <c r="F64" s="916">
        <v>5352</v>
      </c>
      <c r="G64" s="916"/>
      <c r="H64" s="917"/>
      <c r="I64" s="918"/>
      <c r="J64" s="916"/>
      <c r="K64" s="916"/>
      <c r="L64" s="916"/>
      <c r="M64" s="916"/>
      <c r="N64" s="916"/>
      <c r="O64" s="916"/>
      <c r="P64" s="916"/>
      <c r="Q64" s="916"/>
      <c r="R64" s="1132"/>
      <c r="S64" s="903"/>
    </row>
    <row r="65" spans="1:19" s="960" customFormat="1" ht="18" customHeight="1">
      <c r="A65" s="898">
        <v>58</v>
      </c>
      <c r="B65" s="913"/>
      <c r="C65" s="914">
        <v>2</v>
      </c>
      <c r="D65" s="929" t="s">
        <v>497</v>
      </c>
      <c r="E65" s="1305"/>
      <c r="F65" s="916">
        <v>2627</v>
      </c>
      <c r="G65" s="916">
        <v>6701</v>
      </c>
      <c r="H65" s="917">
        <v>6701</v>
      </c>
      <c r="I65" s="918"/>
      <c r="J65" s="916"/>
      <c r="K65" s="916"/>
      <c r="L65" s="916"/>
      <c r="M65" s="916"/>
      <c r="N65" s="916"/>
      <c r="O65" s="916"/>
      <c r="P65" s="916"/>
      <c r="Q65" s="916"/>
      <c r="R65" s="1132"/>
      <c r="S65" s="903"/>
    </row>
    <row r="66" spans="1:18" s="927" customFormat="1" ht="18" customHeight="1">
      <c r="A66" s="898">
        <v>59</v>
      </c>
      <c r="B66" s="945"/>
      <c r="C66" s="953"/>
      <c r="D66" s="954"/>
      <c r="E66" s="961" t="s">
        <v>283</v>
      </c>
      <c r="F66" s="956"/>
      <c r="G66" s="956"/>
      <c r="H66" s="957"/>
      <c r="I66" s="958">
        <f>SUM(J66:Q66)</f>
        <v>4099</v>
      </c>
      <c r="J66" s="956"/>
      <c r="K66" s="956"/>
      <c r="L66" s="956">
        <v>4099</v>
      </c>
      <c r="M66" s="956"/>
      <c r="N66" s="956"/>
      <c r="O66" s="956"/>
      <c r="P66" s="956"/>
      <c r="Q66" s="956"/>
      <c r="R66" s="1294"/>
    </row>
    <row r="67" spans="1:19" s="960" customFormat="1" ht="45" customHeight="1">
      <c r="A67" s="898">
        <v>60</v>
      </c>
      <c r="B67" s="913"/>
      <c r="C67" s="959">
        <v>3</v>
      </c>
      <c r="D67" s="1433" t="s">
        <v>709</v>
      </c>
      <c r="E67" s="1434"/>
      <c r="F67" s="916"/>
      <c r="G67" s="916"/>
      <c r="H67" s="917">
        <v>16312</v>
      </c>
      <c r="I67" s="918"/>
      <c r="J67" s="916"/>
      <c r="K67" s="916"/>
      <c r="L67" s="916"/>
      <c r="M67" s="916"/>
      <c r="N67" s="916"/>
      <c r="O67" s="916"/>
      <c r="P67" s="916"/>
      <c r="Q67" s="916"/>
      <c r="R67" s="1132"/>
      <c r="S67" s="903"/>
    </row>
    <row r="68" spans="1:18" s="927" customFormat="1" ht="18" customHeight="1">
      <c r="A68" s="898">
        <v>61</v>
      </c>
      <c r="B68" s="945"/>
      <c r="C68" s="953"/>
      <c r="D68" s="954"/>
      <c r="E68" s="961" t="s">
        <v>283</v>
      </c>
      <c r="F68" s="956"/>
      <c r="G68" s="956"/>
      <c r="H68" s="957"/>
      <c r="I68" s="958">
        <f>SUM(J68:Q68)</f>
        <v>6161</v>
      </c>
      <c r="J68" s="956">
        <v>1312</v>
      </c>
      <c r="K68" s="956"/>
      <c r="L68" s="956"/>
      <c r="M68" s="956"/>
      <c r="N68" s="956"/>
      <c r="O68" s="956"/>
      <c r="P68" s="956">
        <v>4849</v>
      </c>
      <c r="Q68" s="956"/>
      <c r="R68" s="1294"/>
    </row>
    <row r="69" spans="1:18" s="930" customFormat="1" ht="22.5" customHeight="1">
      <c r="A69" s="898">
        <v>62</v>
      </c>
      <c r="B69" s="913">
        <v>15</v>
      </c>
      <c r="C69" s="914"/>
      <c r="D69" s="938" t="s">
        <v>142</v>
      </c>
      <c r="E69" s="964"/>
      <c r="F69" s="916">
        <v>969326</v>
      </c>
      <c r="G69" s="916">
        <v>747152</v>
      </c>
      <c r="H69" s="917">
        <v>1025450</v>
      </c>
      <c r="I69" s="918"/>
      <c r="J69" s="916"/>
      <c r="K69" s="916"/>
      <c r="L69" s="916"/>
      <c r="M69" s="916"/>
      <c r="N69" s="916"/>
      <c r="O69" s="916"/>
      <c r="P69" s="916"/>
      <c r="Q69" s="916"/>
      <c r="R69" s="1132"/>
    </row>
    <row r="70" spans="1:18" s="931" customFormat="1" ht="18" customHeight="1" thickBot="1">
      <c r="A70" s="898">
        <v>63</v>
      </c>
      <c r="B70" s="920"/>
      <c r="C70" s="953"/>
      <c r="D70" s="954"/>
      <c r="E70" s="955" t="s">
        <v>283</v>
      </c>
      <c r="F70" s="956"/>
      <c r="G70" s="956"/>
      <c r="H70" s="957"/>
      <c r="I70" s="958">
        <f>SUM(J70:Q70)</f>
        <v>833114</v>
      </c>
      <c r="J70" s="956">
        <v>120330</v>
      </c>
      <c r="K70" s="956">
        <v>139291</v>
      </c>
      <c r="L70" s="956"/>
      <c r="M70" s="956"/>
      <c r="N70" s="956"/>
      <c r="O70" s="956"/>
      <c r="P70" s="956"/>
      <c r="Q70" s="956">
        <v>573493</v>
      </c>
      <c r="R70" s="1294">
        <v>355684</v>
      </c>
    </row>
    <row r="71" spans="1:18" s="930" customFormat="1" ht="22.5" customHeight="1" thickTop="1">
      <c r="A71" s="898">
        <v>64</v>
      </c>
      <c r="B71" s="933"/>
      <c r="C71" s="1404" t="s">
        <v>417</v>
      </c>
      <c r="D71" s="1405"/>
      <c r="E71" s="1406"/>
      <c r="F71" s="942">
        <f>SUM(F38:F70)</f>
        <v>2490988</v>
      </c>
      <c r="G71" s="942">
        <f>SUM(G38:G70)</f>
        <v>2340076</v>
      </c>
      <c r="H71" s="943">
        <f>SUM(H38:H70)</f>
        <v>2960424</v>
      </c>
      <c r="I71" s="944"/>
      <c r="J71" s="942"/>
      <c r="K71" s="942"/>
      <c r="L71" s="942"/>
      <c r="M71" s="942"/>
      <c r="N71" s="942"/>
      <c r="O71" s="942"/>
      <c r="P71" s="942"/>
      <c r="Q71" s="942"/>
      <c r="R71" s="1295"/>
    </row>
    <row r="72" spans="1:18" s="931" customFormat="1" ht="18" customHeight="1" thickBot="1">
      <c r="A72" s="898">
        <v>65</v>
      </c>
      <c r="B72" s="920"/>
      <c r="C72" s="946"/>
      <c r="D72" s="947"/>
      <c r="E72" s="962" t="s">
        <v>283</v>
      </c>
      <c r="F72" s="949"/>
      <c r="G72" s="949"/>
      <c r="H72" s="950"/>
      <c r="I72" s="951">
        <f>SUM(I39,I41,I45,I51,I53,I55,I61,I63,I70,I47,I57,I66,I43,I49,I59,I68)</f>
        <v>2558904</v>
      </c>
      <c r="J72" s="949">
        <f>SUM(J39,J41,J45,J51,J53,J55,J61,J63,J70,J47,J57,J66,J43,J49,J59,J68)</f>
        <v>343157</v>
      </c>
      <c r="K72" s="949">
        <f aca="true" t="shared" si="2" ref="K72:R72">SUM(K39,K41,K45,K51,K53,K55,K61,K63,K70,K47,K57,K66,K43,K49,K59,K68)</f>
        <v>326120</v>
      </c>
      <c r="L72" s="949">
        <f t="shared" si="2"/>
        <v>19309</v>
      </c>
      <c r="M72" s="949">
        <f t="shared" si="2"/>
        <v>0</v>
      </c>
      <c r="N72" s="949">
        <f t="shared" si="2"/>
        <v>2741</v>
      </c>
      <c r="O72" s="949">
        <f t="shared" si="2"/>
        <v>0</v>
      </c>
      <c r="P72" s="949">
        <f t="shared" si="2"/>
        <v>107942</v>
      </c>
      <c r="Q72" s="949">
        <f t="shared" si="2"/>
        <v>1759635</v>
      </c>
      <c r="R72" s="1293">
        <f t="shared" si="2"/>
        <v>881030</v>
      </c>
    </row>
    <row r="73" spans="1:19" ht="22.5" customHeight="1" thickTop="1">
      <c r="A73" s="898">
        <v>66</v>
      </c>
      <c r="B73" s="906">
        <v>16</v>
      </c>
      <c r="C73" s="907"/>
      <c r="D73" s="897" t="s">
        <v>251</v>
      </c>
      <c r="E73" s="897"/>
      <c r="F73" s="910">
        <v>935708</v>
      </c>
      <c r="G73" s="910">
        <v>1199812</v>
      </c>
      <c r="H73" s="911">
        <v>1188246</v>
      </c>
      <c r="I73" s="912"/>
      <c r="J73" s="910"/>
      <c r="K73" s="910"/>
      <c r="L73" s="910"/>
      <c r="M73" s="910"/>
      <c r="N73" s="910"/>
      <c r="O73" s="910"/>
      <c r="P73" s="910"/>
      <c r="Q73" s="910"/>
      <c r="R73" s="1289"/>
      <c r="S73" s="903"/>
    </row>
    <row r="74" spans="1:19" s="969" customFormat="1" ht="18" customHeight="1" thickBot="1">
      <c r="A74" s="898">
        <v>67</v>
      </c>
      <c r="B74" s="970"/>
      <c r="C74" s="971"/>
      <c r="D74" s="972"/>
      <c r="E74" s="973" t="s">
        <v>283</v>
      </c>
      <c r="F74" s="974"/>
      <c r="G74" s="974"/>
      <c r="H74" s="975"/>
      <c r="I74" s="976">
        <f>SUM(J74:Q74)</f>
        <v>1370985</v>
      </c>
      <c r="J74" s="974">
        <v>336240</v>
      </c>
      <c r="K74" s="974"/>
      <c r="L74" s="974"/>
      <c r="M74" s="974"/>
      <c r="N74" s="974"/>
      <c r="O74" s="974"/>
      <c r="P74" s="974">
        <v>180073</v>
      </c>
      <c r="Q74" s="974">
        <v>854672</v>
      </c>
      <c r="R74" s="1297">
        <f>369631+80398</f>
        <v>450029</v>
      </c>
      <c r="S74" s="968"/>
    </row>
    <row r="75" spans="1:19" s="967" customFormat="1" ht="36" customHeight="1">
      <c r="A75" s="898">
        <v>68</v>
      </c>
      <c r="B75" s="1435" t="s">
        <v>143</v>
      </c>
      <c r="C75" s="1436"/>
      <c r="D75" s="1436"/>
      <c r="E75" s="1437"/>
      <c r="F75" s="977">
        <f>SUM(F73,F71,F36,F26)</f>
        <v>6927256</v>
      </c>
      <c r="G75" s="977">
        <f>SUM(G73,G71,G36,G26)</f>
        <v>6945818</v>
      </c>
      <c r="H75" s="978">
        <f>SUM(H73,H71,H36,H26)</f>
        <v>7852656</v>
      </c>
      <c r="I75" s="979"/>
      <c r="J75" s="980"/>
      <c r="K75" s="980"/>
      <c r="L75" s="980"/>
      <c r="M75" s="980"/>
      <c r="N75" s="980"/>
      <c r="O75" s="980"/>
      <c r="P75" s="980"/>
      <c r="Q75" s="980"/>
      <c r="R75" s="1298"/>
      <c r="S75" s="904"/>
    </row>
    <row r="76" spans="1:19" s="969" customFormat="1" ht="18" customHeight="1" thickBot="1">
      <c r="A76" s="898">
        <v>69</v>
      </c>
      <c r="B76" s="970"/>
      <c r="C76" s="971"/>
      <c r="D76" s="972"/>
      <c r="E76" s="973" t="s">
        <v>283</v>
      </c>
      <c r="F76" s="974"/>
      <c r="G76" s="974"/>
      <c r="H76" s="975"/>
      <c r="I76" s="976">
        <f aca="true" t="shared" si="3" ref="I76:R76">SUM(I74,I72,I37,I27)</f>
        <v>7823516</v>
      </c>
      <c r="J76" s="974">
        <f t="shared" si="3"/>
        <v>781568</v>
      </c>
      <c r="K76" s="974">
        <f t="shared" si="3"/>
        <v>327648</v>
      </c>
      <c r="L76" s="974">
        <f t="shared" si="3"/>
        <v>19309</v>
      </c>
      <c r="M76" s="974">
        <f t="shared" si="3"/>
        <v>0</v>
      </c>
      <c r="N76" s="974">
        <f t="shared" si="3"/>
        <v>2741</v>
      </c>
      <c r="O76" s="974">
        <f t="shared" si="3"/>
        <v>0</v>
      </c>
      <c r="P76" s="974">
        <f t="shared" si="3"/>
        <v>372558</v>
      </c>
      <c r="Q76" s="974">
        <f t="shared" si="3"/>
        <v>6319692</v>
      </c>
      <c r="R76" s="1297">
        <f t="shared" si="3"/>
        <v>4189738</v>
      </c>
      <c r="S76" s="968"/>
    </row>
    <row r="77" spans="1:19" ht="30" customHeight="1">
      <c r="A77" s="898">
        <v>70</v>
      </c>
      <c r="B77" s="981">
        <v>17</v>
      </c>
      <c r="C77" s="982"/>
      <c r="D77" s="1438" t="s">
        <v>144</v>
      </c>
      <c r="E77" s="1439"/>
      <c r="F77" s="983">
        <v>1948889</v>
      </c>
      <c r="G77" s="983">
        <v>1889184</v>
      </c>
      <c r="H77" s="984">
        <v>2339168</v>
      </c>
      <c r="I77" s="985"/>
      <c r="J77" s="985"/>
      <c r="K77" s="986"/>
      <c r="L77" s="980"/>
      <c r="M77" s="980"/>
      <c r="N77" s="980"/>
      <c r="O77" s="980"/>
      <c r="P77" s="980"/>
      <c r="Q77" s="980"/>
      <c r="R77" s="1298"/>
      <c r="S77" s="903"/>
    </row>
    <row r="78" spans="1:19" s="969" customFormat="1" ht="18" customHeight="1" thickBot="1">
      <c r="A78" s="898">
        <v>71</v>
      </c>
      <c r="B78" s="987"/>
      <c r="C78" s="953"/>
      <c r="D78" s="953"/>
      <c r="E78" s="988" t="s">
        <v>283</v>
      </c>
      <c r="F78" s="956"/>
      <c r="G78" s="956"/>
      <c r="H78" s="957"/>
      <c r="I78" s="958">
        <f>SUM(J78:Q78)</f>
        <v>2107457</v>
      </c>
      <c r="J78" s="956">
        <f>4445</f>
        <v>4445</v>
      </c>
      <c r="K78" s="956">
        <v>39826</v>
      </c>
      <c r="L78" s="956"/>
      <c r="M78" s="956"/>
      <c r="N78" s="956">
        <v>6840</v>
      </c>
      <c r="O78" s="956"/>
      <c r="P78" s="956">
        <f>165373+83896</f>
        <v>249269</v>
      </c>
      <c r="Q78" s="956">
        <f>1768025+39052</f>
        <v>1807077</v>
      </c>
      <c r="R78" s="1294">
        <v>787081</v>
      </c>
      <c r="S78" s="968"/>
    </row>
    <row r="79" spans="1:19" s="967" customFormat="1" ht="36" customHeight="1">
      <c r="A79" s="898">
        <v>72</v>
      </c>
      <c r="B79" s="1430" t="s">
        <v>13</v>
      </c>
      <c r="C79" s="1431"/>
      <c r="D79" s="1431"/>
      <c r="E79" s="1432"/>
      <c r="F79" s="977">
        <f>SUM(F75:F78)</f>
        <v>8876145</v>
      </c>
      <c r="G79" s="977">
        <f>SUM(G75:G78)</f>
        <v>8835002</v>
      </c>
      <c r="H79" s="978">
        <f>SUM(H75:H78)</f>
        <v>10191824</v>
      </c>
      <c r="I79" s="989"/>
      <c r="J79" s="977"/>
      <c r="K79" s="977"/>
      <c r="L79" s="977"/>
      <c r="M79" s="977"/>
      <c r="N79" s="977"/>
      <c r="O79" s="977"/>
      <c r="P79" s="977"/>
      <c r="Q79" s="977"/>
      <c r="R79" s="1299"/>
      <c r="S79" s="904"/>
    </row>
    <row r="80" spans="1:19" s="969" customFormat="1" ht="18" customHeight="1" thickBot="1">
      <c r="A80" s="898">
        <v>73</v>
      </c>
      <c r="B80" s="970"/>
      <c r="C80" s="971"/>
      <c r="D80" s="971"/>
      <c r="E80" s="990" t="s">
        <v>283</v>
      </c>
      <c r="F80" s="974"/>
      <c r="G80" s="974"/>
      <c r="H80" s="975"/>
      <c r="I80" s="976">
        <f>SUM(I76,I78)</f>
        <v>9930973</v>
      </c>
      <c r="J80" s="974">
        <f>SUM(J76,J78)</f>
        <v>786013</v>
      </c>
      <c r="K80" s="974">
        <f aca="true" t="shared" si="4" ref="K80:R80">SUM(K76,K78)</f>
        <v>367474</v>
      </c>
      <c r="L80" s="974">
        <f t="shared" si="4"/>
        <v>19309</v>
      </c>
      <c r="M80" s="974">
        <f t="shared" si="4"/>
        <v>0</v>
      </c>
      <c r="N80" s="974">
        <f t="shared" si="4"/>
        <v>9581</v>
      </c>
      <c r="O80" s="974">
        <f t="shared" si="4"/>
        <v>0</v>
      </c>
      <c r="P80" s="974">
        <f t="shared" si="4"/>
        <v>621827</v>
      </c>
      <c r="Q80" s="974">
        <f t="shared" si="4"/>
        <v>8126769</v>
      </c>
      <c r="R80" s="1297">
        <f t="shared" si="4"/>
        <v>4976819</v>
      </c>
      <c r="S80" s="968"/>
    </row>
    <row r="81" spans="6:16" ht="12.75">
      <c r="F81" s="991"/>
      <c r="G81" s="991"/>
      <c r="H81" s="991"/>
      <c r="I81" s="991"/>
      <c r="J81" s="991"/>
      <c r="K81" s="991"/>
      <c r="L81" s="991"/>
      <c r="M81" s="991"/>
      <c r="N81" s="991"/>
      <c r="O81" s="991"/>
      <c r="P81" s="991"/>
    </row>
  </sheetData>
  <sheetProtection/>
  <mergeCells count="29">
    <mergeCell ref="B79:E79"/>
    <mergeCell ref="D58:E58"/>
    <mergeCell ref="D64:E64"/>
    <mergeCell ref="D67:E67"/>
    <mergeCell ref="C71:E71"/>
    <mergeCell ref="B75:E75"/>
    <mergeCell ref="D77:E77"/>
    <mergeCell ref="D52:E52"/>
    <mergeCell ref="I6:I7"/>
    <mergeCell ref="J6:L6"/>
    <mergeCell ref="M6:O6"/>
    <mergeCell ref="P6:P7"/>
    <mergeCell ref="D28:E28"/>
    <mergeCell ref="D34:E34"/>
    <mergeCell ref="C36:E36"/>
    <mergeCell ref="D40:E40"/>
    <mergeCell ref="D42:E42"/>
    <mergeCell ref="Q6:R6"/>
    <mergeCell ref="C26:E26"/>
    <mergeCell ref="B1:E1"/>
    <mergeCell ref="B2:R2"/>
    <mergeCell ref="B3:R3"/>
    <mergeCell ref="D5:E5"/>
    <mergeCell ref="B6:B7"/>
    <mergeCell ref="C6:C7"/>
    <mergeCell ref="D6:E7"/>
    <mergeCell ref="F6:F7"/>
    <mergeCell ref="G6:G7"/>
    <mergeCell ref="H6:H7"/>
  </mergeCells>
  <printOptions horizontalCentered="1"/>
  <pageMargins left="0.1968503937007874" right="0.1968503937007874" top="0.5905511811023623" bottom="0.5905511811023623" header="0.5118110236220472" footer="0.31496062992125984"/>
  <pageSetup fitToHeight="0" fitToWidth="1" horizontalDpi="600" verticalDpi="600" orientation="landscape" paperSize="9" scale="64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6"/>
  <sheetViews>
    <sheetView view="pageBreakPreview" zoomScaleSheetLayoutView="100" zoomScalePageLayoutView="0" workbookViewId="0" topLeftCell="A1">
      <selection activeCell="B1" sqref="B1:G1"/>
    </sheetView>
  </sheetViews>
  <sheetFormatPr defaultColWidth="9.125" defaultRowHeight="12.75"/>
  <cols>
    <col min="1" max="1" width="3.75390625" style="898" customWidth="1"/>
    <col min="2" max="2" width="5.625" style="995" customWidth="1"/>
    <col min="3" max="3" width="5.75390625" style="995" customWidth="1"/>
    <col min="4" max="4" width="4.75390625" style="995" customWidth="1"/>
    <col min="5" max="5" width="60.75390625" style="458" customWidth="1"/>
    <col min="6" max="6" width="6.75390625" style="996" customWidth="1"/>
    <col min="7" max="7" width="10.75390625" style="460" customWidth="1"/>
    <col min="8" max="8" width="12.125" style="460" customWidth="1"/>
    <col min="9" max="9" width="10.75390625" style="460" customWidth="1"/>
    <col min="10" max="10" width="13.75390625" style="997" customWidth="1"/>
    <col min="11" max="18" width="14.75390625" style="460" customWidth="1"/>
    <col min="19" max="19" width="9.625" style="460" bestFit="1" customWidth="1"/>
    <col min="20" max="31" width="9.125" style="460" customWidth="1"/>
    <col min="32" max="16384" width="9.125" style="458" customWidth="1"/>
  </cols>
  <sheetData>
    <row r="1" spans="1:31" s="899" customFormat="1" ht="18" customHeight="1">
      <c r="A1" s="898"/>
      <c r="B1" s="1407" t="s">
        <v>819</v>
      </c>
      <c r="C1" s="1407"/>
      <c r="D1" s="1407"/>
      <c r="E1" s="1407"/>
      <c r="F1" s="1407"/>
      <c r="G1" s="1407"/>
      <c r="H1" s="993"/>
      <c r="I1" s="993"/>
      <c r="J1" s="994"/>
      <c r="K1" s="993"/>
      <c r="L1" s="993"/>
      <c r="M1" s="993"/>
      <c r="N1" s="993"/>
      <c r="O1" s="993"/>
      <c r="P1" s="993"/>
      <c r="Q1" s="993"/>
      <c r="R1" s="993"/>
      <c r="S1" s="993"/>
      <c r="T1" s="993"/>
      <c r="U1" s="993"/>
      <c r="V1" s="993"/>
      <c r="W1" s="993"/>
      <c r="X1" s="993"/>
      <c r="Y1" s="993"/>
      <c r="Z1" s="993"/>
      <c r="AA1" s="993"/>
      <c r="AB1" s="993"/>
      <c r="AC1" s="993"/>
      <c r="AD1" s="993"/>
      <c r="AE1" s="993"/>
    </row>
    <row r="2" spans="1:31" s="899" customFormat="1" ht="24.75" customHeight="1">
      <c r="A2" s="898"/>
      <c r="B2" s="1408" t="s">
        <v>127</v>
      </c>
      <c r="C2" s="1408"/>
      <c r="D2" s="1408"/>
      <c r="E2" s="1408"/>
      <c r="F2" s="1408"/>
      <c r="G2" s="1408"/>
      <c r="H2" s="1408"/>
      <c r="I2" s="1408"/>
      <c r="J2" s="1408"/>
      <c r="K2" s="1408"/>
      <c r="L2" s="1408"/>
      <c r="M2" s="1408"/>
      <c r="N2" s="1408"/>
      <c r="O2" s="1408"/>
      <c r="P2" s="1408"/>
      <c r="Q2" s="1408"/>
      <c r="R2" s="1408"/>
      <c r="S2" s="993"/>
      <c r="T2" s="993"/>
      <c r="U2" s="993"/>
      <c r="V2" s="993"/>
      <c r="W2" s="993"/>
      <c r="X2" s="993"/>
      <c r="Y2" s="993"/>
      <c r="Z2" s="993"/>
      <c r="AA2" s="993"/>
      <c r="AB2" s="993"/>
      <c r="AC2" s="993"/>
      <c r="AD2" s="993"/>
      <c r="AE2" s="993"/>
    </row>
    <row r="3" spans="1:31" s="899" customFormat="1" ht="24.75" customHeight="1">
      <c r="A3" s="898"/>
      <c r="B3" s="1408" t="s">
        <v>553</v>
      </c>
      <c r="C3" s="1408"/>
      <c r="D3" s="1408"/>
      <c r="E3" s="1408"/>
      <c r="F3" s="1408"/>
      <c r="G3" s="1408"/>
      <c r="H3" s="1408"/>
      <c r="I3" s="1408"/>
      <c r="J3" s="1408"/>
      <c r="K3" s="1408"/>
      <c r="L3" s="1408"/>
      <c r="M3" s="1408"/>
      <c r="N3" s="1408"/>
      <c r="O3" s="1408"/>
      <c r="P3" s="1408"/>
      <c r="Q3" s="1408"/>
      <c r="R3" s="1408"/>
      <c r="S3" s="993"/>
      <c r="T3" s="993"/>
      <c r="U3" s="993"/>
      <c r="V3" s="993"/>
      <c r="W3" s="993"/>
      <c r="X3" s="993"/>
      <c r="Y3" s="993"/>
      <c r="Z3" s="993"/>
      <c r="AA3" s="993"/>
      <c r="AB3" s="993"/>
      <c r="AC3" s="993"/>
      <c r="AD3" s="993"/>
      <c r="AE3" s="993"/>
    </row>
    <row r="4" spans="17:18" ht="18" customHeight="1">
      <c r="Q4" s="1440" t="s">
        <v>0</v>
      </c>
      <c r="R4" s="1440"/>
    </row>
    <row r="5" spans="2:18" s="898" customFormat="1" ht="18" customHeight="1" thickBot="1">
      <c r="B5" s="898" t="s">
        <v>1</v>
      </c>
      <c r="C5" s="898" t="s">
        <v>3</v>
      </c>
      <c r="D5" s="1409" t="s">
        <v>2</v>
      </c>
      <c r="E5" s="1409"/>
      <c r="F5" s="898" t="s">
        <v>4</v>
      </c>
      <c r="G5" s="898" t="s">
        <v>5</v>
      </c>
      <c r="H5" s="898" t="s">
        <v>15</v>
      </c>
      <c r="I5" s="898" t="s">
        <v>16</v>
      </c>
      <c r="J5" s="898" t="s">
        <v>17</v>
      </c>
      <c r="K5" s="898" t="s">
        <v>34</v>
      </c>
      <c r="L5" s="898" t="s">
        <v>30</v>
      </c>
      <c r="M5" s="898" t="s">
        <v>23</v>
      </c>
      <c r="N5" s="898" t="s">
        <v>35</v>
      </c>
      <c r="O5" s="898" t="s">
        <v>36</v>
      </c>
      <c r="P5" s="898" t="s">
        <v>145</v>
      </c>
      <c r="Q5" s="898" t="s">
        <v>146</v>
      </c>
      <c r="R5" s="898" t="s">
        <v>147</v>
      </c>
    </row>
    <row r="6" spans="1:18" s="996" customFormat="1" ht="30" customHeight="1">
      <c r="A6" s="898"/>
      <c r="B6" s="1410" t="s">
        <v>18</v>
      </c>
      <c r="C6" s="1441" t="s">
        <v>19</v>
      </c>
      <c r="D6" s="1414" t="s">
        <v>6</v>
      </c>
      <c r="E6" s="1443"/>
      <c r="F6" s="1445" t="s">
        <v>20</v>
      </c>
      <c r="G6" s="1418" t="s">
        <v>508</v>
      </c>
      <c r="H6" s="1418" t="s">
        <v>554</v>
      </c>
      <c r="I6" s="1420" t="s">
        <v>555</v>
      </c>
      <c r="J6" s="1447" t="s">
        <v>710</v>
      </c>
      <c r="K6" s="1449" t="s">
        <v>37</v>
      </c>
      <c r="L6" s="1450"/>
      <c r="M6" s="1450"/>
      <c r="N6" s="1450"/>
      <c r="O6" s="1451"/>
      <c r="P6" s="1452" t="s">
        <v>148</v>
      </c>
      <c r="Q6" s="1452"/>
      <c r="R6" s="1452"/>
    </row>
    <row r="7" spans="1:18" s="996" customFormat="1" ht="60.75" customHeight="1" thickBot="1">
      <c r="A7" s="898"/>
      <c r="B7" s="1411"/>
      <c r="C7" s="1442"/>
      <c r="D7" s="1416"/>
      <c r="E7" s="1444"/>
      <c r="F7" s="1446"/>
      <c r="G7" s="1419"/>
      <c r="H7" s="1419"/>
      <c r="I7" s="1421"/>
      <c r="J7" s="1448"/>
      <c r="K7" s="1304" t="s">
        <v>38</v>
      </c>
      <c r="L7" s="1304" t="s">
        <v>39</v>
      </c>
      <c r="M7" s="1304" t="s">
        <v>40</v>
      </c>
      <c r="N7" s="1304" t="s">
        <v>205</v>
      </c>
      <c r="O7" s="1304" t="s">
        <v>41</v>
      </c>
      <c r="P7" s="998" t="s">
        <v>213</v>
      </c>
      <c r="Q7" s="1304" t="s">
        <v>214</v>
      </c>
      <c r="R7" s="1304" t="s">
        <v>149</v>
      </c>
    </row>
    <row r="8" spans="1:18" ht="22.5" customHeight="1">
      <c r="A8" s="898">
        <v>1</v>
      </c>
      <c r="B8" s="906">
        <v>1</v>
      </c>
      <c r="C8" s="999"/>
      <c r="D8" s="1000" t="s">
        <v>286</v>
      </c>
      <c r="E8" s="1000"/>
      <c r="F8" s="1001" t="s">
        <v>23</v>
      </c>
      <c r="G8" s="910">
        <v>204045</v>
      </c>
      <c r="H8" s="910">
        <v>228773</v>
      </c>
      <c r="I8" s="1002">
        <v>242575</v>
      </c>
      <c r="J8" s="1003"/>
      <c r="K8" s="910"/>
      <c r="L8" s="910"/>
      <c r="M8" s="910"/>
      <c r="N8" s="910"/>
      <c r="O8" s="910"/>
      <c r="P8" s="910"/>
      <c r="Q8" s="910"/>
      <c r="R8" s="1004"/>
    </row>
    <row r="9" spans="1:18" ht="18" customHeight="1">
      <c r="A9" s="898">
        <v>2</v>
      </c>
      <c r="B9" s="913"/>
      <c r="C9" s="1005"/>
      <c r="D9" s="1006" t="s">
        <v>292</v>
      </c>
      <c r="E9" s="1006"/>
      <c r="F9" s="916"/>
      <c r="G9" s="916"/>
      <c r="H9" s="916"/>
      <c r="I9" s="1007"/>
      <c r="J9" s="1008"/>
      <c r="K9" s="916"/>
      <c r="L9" s="916"/>
      <c r="M9" s="916"/>
      <c r="N9" s="916"/>
      <c r="O9" s="916"/>
      <c r="P9" s="916"/>
      <c r="Q9" s="916"/>
      <c r="R9" s="1009"/>
    </row>
    <row r="10" spans="1:31" s="927" customFormat="1" ht="18" customHeight="1">
      <c r="A10" s="898">
        <v>3</v>
      </c>
      <c r="B10" s="920"/>
      <c r="C10" s="1010"/>
      <c r="D10" s="1010"/>
      <c r="E10" s="1011" t="s">
        <v>283</v>
      </c>
      <c r="F10" s="1012"/>
      <c r="G10" s="1012"/>
      <c r="H10" s="1012"/>
      <c r="I10" s="1013"/>
      <c r="J10" s="1014">
        <f>SUM(K10:R10)</f>
        <v>242748</v>
      </c>
      <c r="K10" s="1015">
        <v>160950</v>
      </c>
      <c r="L10" s="1015">
        <v>24726</v>
      </c>
      <c r="M10" s="1015">
        <v>55902</v>
      </c>
      <c r="N10" s="1015"/>
      <c r="O10" s="1015"/>
      <c r="P10" s="1015">
        <v>1170</v>
      </c>
      <c r="Q10" s="1015"/>
      <c r="R10" s="1016"/>
      <c r="S10" s="1017"/>
      <c r="T10" s="1017"/>
      <c r="U10" s="1017"/>
      <c r="V10" s="1017"/>
      <c r="W10" s="1017"/>
      <c r="X10" s="1017"/>
      <c r="Y10" s="1017"/>
      <c r="Z10" s="1017"/>
      <c r="AA10" s="1017"/>
      <c r="AB10" s="1017"/>
      <c r="AC10" s="1017"/>
      <c r="AD10" s="1017"/>
      <c r="AE10" s="1017"/>
    </row>
    <row r="11" spans="1:31" s="960" customFormat="1" ht="22.5" customHeight="1">
      <c r="A11" s="898">
        <v>4</v>
      </c>
      <c r="B11" s="913">
        <v>2</v>
      </c>
      <c r="C11" s="1005"/>
      <c r="D11" s="1018" t="s">
        <v>285</v>
      </c>
      <c r="E11" s="1018"/>
      <c r="F11" s="1019" t="s">
        <v>23</v>
      </c>
      <c r="G11" s="916">
        <v>376590</v>
      </c>
      <c r="H11" s="916">
        <v>379260</v>
      </c>
      <c r="I11" s="1007">
        <v>396118</v>
      </c>
      <c r="J11" s="1008"/>
      <c r="K11" s="916"/>
      <c r="L11" s="916"/>
      <c r="M11" s="916"/>
      <c r="N11" s="916"/>
      <c r="O11" s="916"/>
      <c r="P11" s="916"/>
      <c r="Q11" s="916"/>
      <c r="R11" s="1009"/>
      <c r="S11" s="1020"/>
      <c r="T11" s="1020"/>
      <c r="U11" s="1020"/>
      <c r="V11" s="1020"/>
      <c r="W11" s="1020"/>
      <c r="X11" s="1020"/>
      <c r="Y11" s="1020"/>
      <c r="Z11" s="1020"/>
      <c r="AA11" s="1020"/>
      <c r="AB11" s="1020"/>
      <c r="AC11" s="1020"/>
      <c r="AD11" s="1020"/>
      <c r="AE11" s="1020"/>
    </row>
    <row r="12" spans="1:18" ht="18" customHeight="1">
      <c r="A12" s="898">
        <v>5</v>
      </c>
      <c r="B12" s="913"/>
      <c r="C12" s="1005"/>
      <c r="D12" s="1006" t="s">
        <v>284</v>
      </c>
      <c r="E12" s="1006"/>
      <c r="F12" s="916"/>
      <c r="G12" s="916"/>
      <c r="H12" s="916"/>
      <c r="I12" s="1007"/>
      <c r="J12" s="1008"/>
      <c r="K12" s="916"/>
      <c r="L12" s="916"/>
      <c r="M12" s="916"/>
      <c r="N12" s="916"/>
      <c r="O12" s="916"/>
      <c r="P12" s="916"/>
      <c r="Q12" s="916"/>
      <c r="R12" s="1009"/>
    </row>
    <row r="13" spans="1:31" s="939" customFormat="1" ht="18" customHeight="1">
      <c r="A13" s="898">
        <v>6</v>
      </c>
      <c r="B13" s="920"/>
      <c r="C13" s="1010"/>
      <c r="D13" s="1010"/>
      <c r="E13" s="1011" t="s">
        <v>283</v>
      </c>
      <c r="F13" s="1012"/>
      <c r="G13" s="1012"/>
      <c r="H13" s="1012"/>
      <c r="I13" s="1013"/>
      <c r="J13" s="1014">
        <f>SUM(K13:R13)</f>
        <v>406776</v>
      </c>
      <c r="K13" s="1015">
        <v>277703</v>
      </c>
      <c r="L13" s="1015">
        <v>40125</v>
      </c>
      <c r="M13" s="1015">
        <v>88948</v>
      </c>
      <c r="N13" s="1015"/>
      <c r="O13" s="1015"/>
      <c r="P13" s="1015"/>
      <c r="Q13" s="1015"/>
      <c r="R13" s="1016"/>
      <c r="S13" s="1021"/>
      <c r="T13" s="1021"/>
      <c r="U13" s="1021"/>
      <c r="V13" s="1021"/>
      <c r="W13" s="1021"/>
      <c r="X13" s="1021"/>
      <c r="Y13" s="1021"/>
      <c r="Z13" s="1021"/>
      <c r="AA13" s="1021"/>
      <c r="AB13" s="1021"/>
      <c r="AC13" s="1021"/>
      <c r="AD13" s="1021"/>
      <c r="AE13" s="1021"/>
    </row>
    <row r="14" spans="1:18" ht="22.5" customHeight="1">
      <c r="A14" s="898">
        <v>7</v>
      </c>
      <c r="B14" s="913">
        <v>3</v>
      </c>
      <c r="C14" s="1005"/>
      <c r="D14" s="1018" t="s">
        <v>247</v>
      </c>
      <c r="E14" s="1018"/>
      <c r="F14" s="1019" t="s">
        <v>23</v>
      </c>
      <c r="G14" s="916">
        <v>410352</v>
      </c>
      <c r="H14" s="916">
        <v>430451</v>
      </c>
      <c r="I14" s="1007">
        <v>448173</v>
      </c>
      <c r="J14" s="1008"/>
      <c r="K14" s="916"/>
      <c r="L14" s="916"/>
      <c r="M14" s="916"/>
      <c r="N14" s="916"/>
      <c r="O14" s="916"/>
      <c r="P14" s="916"/>
      <c r="Q14" s="916"/>
      <c r="R14" s="1009"/>
    </row>
    <row r="15" spans="1:31" s="903" customFormat="1" ht="18" customHeight="1">
      <c r="A15" s="898">
        <v>8</v>
      </c>
      <c r="B15" s="913"/>
      <c r="C15" s="1005"/>
      <c r="D15" s="1006" t="s">
        <v>138</v>
      </c>
      <c r="E15" s="1006"/>
      <c r="F15" s="916"/>
      <c r="G15" s="916"/>
      <c r="H15" s="916"/>
      <c r="I15" s="1007"/>
      <c r="J15" s="1008"/>
      <c r="K15" s="916"/>
      <c r="L15" s="916"/>
      <c r="M15" s="916"/>
      <c r="N15" s="916"/>
      <c r="O15" s="916"/>
      <c r="P15" s="916"/>
      <c r="Q15" s="916"/>
      <c r="R15" s="1009"/>
      <c r="S15" s="1022"/>
      <c r="T15" s="1022"/>
      <c r="U15" s="1022"/>
      <c r="V15" s="1022"/>
      <c r="W15" s="1022"/>
      <c r="X15" s="1022"/>
      <c r="Y15" s="1022"/>
      <c r="Z15" s="1022"/>
      <c r="AA15" s="1022"/>
      <c r="AB15" s="1022"/>
      <c r="AC15" s="1022"/>
      <c r="AD15" s="1022"/>
      <c r="AE15" s="1022"/>
    </row>
    <row r="16" spans="1:31" s="927" customFormat="1" ht="18" customHeight="1">
      <c r="A16" s="898">
        <v>9</v>
      </c>
      <c r="B16" s="920"/>
      <c r="C16" s="1010"/>
      <c r="D16" s="1010"/>
      <c r="E16" s="1011" t="s">
        <v>283</v>
      </c>
      <c r="F16" s="1012"/>
      <c r="G16" s="1012"/>
      <c r="H16" s="1012"/>
      <c r="I16" s="1013"/>
      <c r="J16" s="1014">
        <f>SUM(K16:R16)</f>
        <v>457212</v>
      </c>
      <c r="K16" s="1015">
        <v>317750</v>
      </c>
      <c r="L16" s="1015">
        <v>49000</v>
      </c>
      <c r="M16" s="1015">
        <v>88053</v>
      </c>
      <c r="N16" s="1015"/>
      <c r="O16" s="1015"/>
      <c r="P16" s="1015">
        <v>2409</v>
      </c>
      <c r="Q16" s="1015"/>
      <c r="R16" s="1016"/>
      <c r="S16" s="1017"/>
      <c r="T16" s="1017"/>
      <c r="U16" s="1017"/>
      <c r="V16" s="1017"/>
      <c r="W16" s="1017"/>
      <c r="X16" s="1017"/>
      <c r="Y16" s="1017"/>
      <c r="Z16" s="1017"/>
      <c r="AA16" s="1017"/>
      <c r="AB16" s="1017"/>
      <c r="AC16" s="1017"/>
      <c r="AD16" s="1017"/>
      <c r="AE16" s="1017"/>
    </row>
    <row r="17" spans="1:18" ht="22.5" customHeight="1">
      <c r="A17" s="898">
        <v>10</v>
      </c>
      <c r="B17" s="913">
        <v>4</v>
      </c>
      <c r="C17" s="1005"/>
      <c r="D17" s="1018" t="s">
        <v>248</v>
      </c>
      <c r="E17" s="1018"/>
      <c r="F17" s="1019" t="s">
        <v>23</v>
      </c>
      <c r="G17" s="916">
        <v>314958</v>
      </c>
      <c r="H17" s="916">
        <v>340680</v>
      </c>
      <c r="I17" s="1007">
        <v>363038</v>
      </c>
      <c r="J17" s="1008"/>
      <c r="K17" s="916"/>
      <c r="L17" s="916"/>
      <c r="M17" s="916"/>
      <c r="N17" s="916"/>
      <c r="O17" s="916"/>
      <c r="P17" s="916"/>
      <c r="Q17" s="916"/>
      <c r="R17" s="1009"/>
    </row>
    <row r="18" spans="1:18" ht="18" customHeight="1">
      <c r="A18" s="898">
        <v>11</v>
      </c>
      <c r="B18" s="913"/>
      <c r="C18" s="1005"/>
      <c r="D18" s="1006" t="s">
        <v>139</v>
      </c>
      <c r="E18" s="1006"/>
      <c r="F18" s="916"/>
      <c r="G18" s="916"/>
      <c r="H18" s="916"/>
      <c r="I18" s="1007"/>
      <c r="J18" s="1008"/>
      <c r="K18" s="916"/>
      <c r="L18" s="916"/>
      <c r="M18" s="916"/>
      <c r="N18" s="916"/>
      <c r="O18" s="916"/>
      <c r="P18" s="916"/>
      <c r="Q18" s="916"/>
      <c r="R18" s="1009"/>
    </row>
    <row r="19" spans="1:31" s="927" customFormat="1" ht="18" customHeight="1">
      <c r="A19" s="898">
        <v>12</v>
      </c>
      <c r="B19" s="920"/>
      <c r="C19" s="1010"/>
      <c r="D19" s="1010"/>
      <c r="E19" s="1011" t="s">
        <v>283</v>
      </c>
      <c r="F19" s="1012"/>
      <c r="G19" s="1012"/>
      <c r="H19" s="1012"/>
      <c r="I19" s="1013"/>
      <c r="J19" s="1014">
        <f>SUM(K19:R19)</f>
        <v>388568</v>
      </c>
      <c r="K19" s="1015">
        <v>258151</v>
      </c>
      <c r="L19" s="1015">
        <v>40373</v>
      </c>
      <c r="M19" s="1015">
        <v>89833</v>
      </c>
      <c r="N19" s="1015"/>
      <c r="O19" s="1015"/>
      <c r="P19" s="1015">
        <v>211</v>
      </c>
      <c r="Q19" s="1015"/>
      <c r="R19" s="1016"/>
      <c r="S19" s="1017"/>
      <c r="T19" s="1017"/>
      <c r="U19" s="1017"/>
      <c r="V19" s="1017"/>
      <c r="W19" s="1017"/>
      <c r="X19" s="1017"/>
      <c r="Y19" s="1017"/>
      <c r="Z19" s="1017"/>
      <c r="AA19" s="1017"/>
      <c r="AB19" s="1017"/>
      <c r="AC19" s="1017"/>
      <c r="AD19" s="1017"/>
      <c r="AE19" s="1017"/>
    </row>
    <row r="20" spans="1:31" s="960" customFormat="1" ht="22.5" customHeight="1">
      <c r="A20" s="898">
        <v>13</v>
      </c>
      <c r="B20" s="913">
        <v>5</v>
      </c>
      <c r="C20" s="1005"/>
      <c r="D20" s="1018" t="s">
        <v>249</v>
      </c>
      <c r="E20" s="1018"/>
      <c r="F20" s="1019" t="s">
        <v>23</v>
      </c>
      <c r="G20" s="916">
        <v>343526</v>
      </c>
      <c r="H20" s="916">
        <v>362829</v>
      </c>
      <c r="I20" s="1007">
        <v>371104</v>
      </c>
      <c r="J20" s="1008"/>
      <c r="K20" s="916"/>
      <c r="L20" s="916"/>
      <c r="M20" s="916"/>
      <c r="N20" s="1023"/>
      <c r="O20" s="1023"/>
      <c r="P20" s="1023"/>
      <c r="Q20" s="1023"/>
      <c r="R20" s="1024"/>
      <c r="S20" s="1020"/>
      <c r="T20" s="1020"/>
      <c r="U20" s="1020"/>
      <c r="V20" s="1020"/>
      <c r="W20" s="1020"/>
      <c r="X20" s="1020"/>
      <c r="Y20" s="1020"/>
      <c r="Z20" s="1020"/>
      <c r="AA20" s="1020"/>
      <c r="AB20" s="1020"/>
      <c r="AC20" s="1020"/>
      <c r="AD20" s="1020"/>
      <c r="AE20" s="1020"/>
    </row>
    <row r="21" spans="1:18" ht="18" customHeight="1">
      <c r="A21" s="898">
        <v>14</v>
      </c>
      <c r="B21" s="913"/>
      <c r="C21" s="1005"/>
      <c r="D21" s="1006" t="s">
        <v>140</v>
      </c>
      <c r="E21" s="1006"/>
      <c r="F21" s="916"/>
      <c r="G21" s="916"/>
      <c r="H21" s="916"/>
      <c r="I21" s="1007"/>
      <c r="J21" s="1008"/>
      <c r="K21" s="916"/>
      <c r="L21" s="916"/>
      <c r="M21" s="916"/>
      <c r="N21" s="1023"/>
      <c r="O21" s="1023"/>
      <c r="P21" s="1023"/>
      <c r="Q21" s="1023"/>
      <c r="R21" s="1024"/>
    </row>
    <row r="22" spans="1:31" s="939" customFormat="1" ht="18" customHeight="1">
      <c r="A22" s="898">
        <v>15</v>
      </c>
      <c r="B22" s="920"/>
      <c r="C22" s="1010"/>
      <c r="D22" s="1010"/>
      <c r="E22" s="1011" t="s">
        <v>283</v>
      </c>
      <c r="F22" s="1012"/>
      <c r="G22" s="1012"/>
      <c r="H22" s="1012"/>
      <c r="I22" s="1013"/>
      <c r="J22" s="1014">
        <f>SUM(K22:R22)</f>
        <v>403969</v>
      </c>
      <c r="K22" s="1015">
        <v>257705</v>
      </c>
      <c r="L22" s="1015">
        <v>39349</v>
      </c>
      <c r="M22" s="1015">
        <v>106866</v>
      </c>
      <c r="N22" s="1015"/>
      <c r="O22" s="1015"/>
      <c r="P22" s="1015">
        <v>49</v>
      </c>
      <c r="Q22" s="1015"/>
      <c r="R22" s="1016"/>
      <c r="S22" s="1021"/>
      <c r="T22" s="1021"/>
      <c r="U22" s="1021"/>
      <c r="V22" s="1021"/>
      <c r="W22" s="1021"/>
      <c r="X22" s="1021"/>
      <c r="Y22" s="1021"/>
      <c r="Z22" s="1021"/>
      <c r="AA22" s="1021"/>
      <c r="AB22" s="1021"/>
      <c r="AC22" s="1021"/>
      <c r="AD22" s="1021"/>
      <c r="AE22" s="1021"/>
    </row>
    <row r="23" spans="1:31" s="904" customFormat="1" ht="22.5" customHeight="1">
      <c r="A23" s="898">
        <v>16</v>
      </c>
      <c r="B23" s="913">
        <v>6</v>
      </c>
      <c r="C23" s="1005"/>
      <c r="D23" s="1018" t="s">
        <v>250</v>
      </c>
      <c r="E23" s="1018"/>
      <c r="F23" s="1019" t="s">
        <v>23</v>
      </c>
      <c r="G23" s="916">
        <v>171451</v>
      </c>
      <c r="H23" s="916">
        <v>206083</v>
      </c>
      <c r="I23" s="1007">
        <v>213315</v>
      </c>
      <c r="J23" s="1008"/>
      <c r="K23" s="916"/>
      <c r="L23" s="916"/>
      <c r="M23" s="916"/>
      <c r="N23" s="1023"/>
      <c r="O23" s="1023"/>
      <c r="P23" s="1023"/>
      <c r="Q23" s="1023"/>
      <c r="R23" s="1024"/>
      <c r="S23" s="1025"/>
      <c r="T23" s="1025"/>
      <c r="U23" s="1025"/>
      <c r="V23" s="1025"/>
      <c r="W23" s="1025"/>
      <c r="X23" s="1025"/>
      <c r="Y23" s="1025"/>
      <c r="Z23" s="1025"/>
      <c r="AA23" s="1025"/>
      <c r="AB23" s="1025"/>
      <c r="AC23" s="1025"/>
      <c r="AD23" s="1025"/>
      <c r="AE23" s="1025"/>
    </row>
    <row r="24" spans="1:31" s="960" customFormat="1" ht="18" customHeight="1">
      <c r="A24" s="898">
        <v>17</v>
      </c>
      <c r="B24" s="913"/>
      <c r="C24" s="1005"/>
      <c r="D24" s="1006" t="s">
        <v>141</v>
      </c>
      <c r="E24" s="1006"/>
      <c r="F24" s="916"/>
      <c r="G24" s="916"/>
      <c r="H24" s="916"/>
      <c r="I24" s="1007"/>
      <c r="J24" s="1008"/>
      <c r="K24" s="916"/>
      <c r="L24" s="916"/>
      <c r="M24" s="916"/>
      <c r="N24" s="1023"/>
      <c r="O24" s="1023"/>
      <c r="P24" s="1023"/>
      <c r="Q24" s="1023"/>
      <c r="R24" s="1024"/>
      <c r="S24" s="1020"/>
      <c r="T24" s="1020"/>
      <c r="U24" s="1020"/>
      <c r="V24" s="1020"/>
      <c r="W24" s="1020"/>
      <c r="X24" s="1020"/>
      <c r="Y24" s="1020"/>
      <c r="Z24" s="1020"/>
      <c r="AA24" s="1020"/>
      <c r="AB24" s="1020"/>
      <c r="AC24" s="1020"/>
      <c r="AD24" s="1020"/>
      <c r="AE24" s="1020"/>
    </row>
    <row r="25" spans="1:31" s="939" customFormat="1" ht="18" customHeight="1" thickBot="1">
      <c r="A25" s="898">
        <v>18</v>
      </c>
      <c r="B25" s="920"/>
      <c r="C25" s="1010"/>
      <c r="D25" s="1010"/>
      <c r="E25" s="1011" t="s">
        <v>283</v>
      </c>
      <c r="F25" s="1012"/>
      <c r="G25" s="1012"/>
      <c r="H25" s="1012"/>
      <c r="I25" s="1013"/>
      <c r="J25" s="1014">
        <f>SUM(K25:R25)</f>
        <v>235926</v>
      </c>
      <c r="K25" s="1015">
        <v>145103</v>
      </c>
      <c r="L25" s="1015">
        <v>21990</v>
      </c>
      <c r="M25" s="1015">
        <v>63059</v>
      </c>
      <c r="N25" s="1015"/>
      <c r="O25" s="1015"/>
      <c r="P25" s="1015">
        <v>5774</v>
      </c>
      <c r="Q25" s="1015"/>
      <c r="R25" s="1016"/>
      <c r="S25" s="1021"/>
      <c r="T25" s="1021"/>
      <c r="U25" s="1021"/>
      <c r="V25" s="1021"/>
      <c r="W25" s="1021"/>
      <c r="X25" s="1021"/>
      <c r="Y25" s="1021"/>
      <c r="Z25" s="1021"/>
      <c r="AA25" s="1021"/>
      <c r="AB25" s="1021"/>
      <c r="AC25" s="1021"/>
      <c r="AD25" s="1021"/>
      <c r="AE25" s="1021"/>
    </row>
    <row r="26" spans="1:31" s="1032" customFormat="1" ht="22.5" customHeight="1" thickTop="1">
      <c r="A26" s="898">
        <v>19</v>
      </c>
      <c r="B26" s="1026"/>
      <c r="C26" s="1404" t="s">
        <v>415</v>
      </c>
      <c r="D26" s="1405"/>
      <c r="E26" s="1406"/>
      <c r="F26" s="1027"/>
      <c r="G26" s="1027">
        <f>SUM(G8:G25)</f>
        <v>1820922</v>
      </c>
      <c r="H26" s="1027">
        <f>SUM(H8:H25)</f>
        <v>1948076</v>
      </c>
      <c r="I26" s="1028">
        <f>SUM(I8:I25)</f>
        <v>2034323</v>
      </c>
      <c r="J26" s="1029"/>
      <c r="K26" s="1027"/>
      <c r="L26" s="1027"/>
      <c r="M26" s="1027"/>
      <c r="N26" s="1027"/>
      <c r="O26" s="1027"/>
      <c r="P26" s="1027"/>
      <c r="Q26" s="1027"/>
      <c r="R26" s="1030"/>
      <c r="S26" s="1031"/>
      <c r="T26" s="1031"/>
      <c r="U26" s="1031"/>
      <c r="V26" s="1031"/>
      <c r="W26" s="1031"/>
      <c r="X26" s="1031"/>
      <c r="Y26" s="1031"/>
      <c r="Z26" s="1031"/>
      <c r="AA26" s="1031"/>
      <c r="AB26" s="1031"/>
      <c r="AC26" s="1031"/>
      <c r="AD26" s="1031"/>
      <c r="AE26" s="1031"/>
    </row>
    <row r="27" spans="1:31" s="927" customFormat="1" ht="18" customHeight="1" thickBot="1">
      <c r="A27" s="898">
        <v>20</v>
      </c>
      <c r="B27" s="987"/>
      <c r="C27" s="1033"/>
      <c r="D27" s="1034"/>
      <c r="E27" s="1035" t="s">
        <v>283</v>
      </c>
      <c r="F27" s="1036"/>
      <c r="G27" s="1036"/>
      <c r="H27" s="1036"/>
      <c r="I27" s="1037"/>
      <c r="J27" s="1038">
        <f>SUM(K27:R27)</f>
        <v>2135199</v>
      </c>
      <c r="K27" s="1039">
        <f>SUM(K10,K13,K16,K19,K22,K25)</f>
        <v>1417362</v>
      </c>
      <c r="L27" s="1039">
        <f aca="true" t="shared" si="0" ref="L27:R27">SUM(L10,L13,L16,L19,L22,L25)</f>
        <v>215563</v>
      </c>
      <c r="M27" s="1039">
        <f t="shared" si="0"/>
        <v>492661</v>
      </c>
      <c r="N27" s="1039">
        <f t="shared" si="0"/>
        <v>0</v>
      </c>
      <c r="O27" s="1039">
        <f t="shared" si="0"/>
        <v>0</v>
      </c>
      <c r="P27" s="1039">
        <f t="shared" si="0"/>
        <v>9613</v>
      </c>
      <c r="Q27" s="1039">
        <f t="shared" si="0"/>
        <v>0</v>
      </c>
      <c r="R27" s="1040">
        <f t="shared" si="0"/>
        <v>0</v>
      </c>
      <c r="S27" s="1017"/>
      <c r="T27" s="1017"/>
      <c r="U27" s="1017"/>
      <c r="V27" s="1017"/>
      <c r="W27" s="1017"/>
      <c r="X27" s="1017"/>
      <c r="Y27" s="1017"/>
      <c r="Z27" s="1017"/>
      <c r="AA27" s="1017"/>
      <c r="AB27" s="1017"/>
      <c r="AC27" s="1017"/>
      <c r="AD27" s="1017"/>
      <c r="AE27" s="1017"/>
    </row>
    <row r="28" spans="1:31" s="904" customFormat="1" ht="22.5" customHeight="1" thickTop="1">
      <c r="A28" s="898">
        <v>21</v>
      </c>
      <c r="B28" s="906">
        <v>7</v>
      </c>
      <c r="C28" s="999"/>
      <c r="D28" s="1000" t="s">
        <v>303</v>
      </c>
      <c r="E28" s="1041"/>
      <c r="F28" s="1001" t="s">
        <v>23</v>
      </c>
      <c r="G28" s="910">
        <v>1026913</v>
      </c>
      <c r="H28" s="910">
        <v>1120897</v>
      </c>
      <c r="I28" s="1002">
        <v>1200705</v>
      </c>
      <c r="J28" s="1042"/>
      <c r="K28" s="910"/>
      <c r="L28" s="910"/>
      <c r="M28" s="910"/>
      <c r="N28" s="910"/>
      <c r="O28" s="910"/>
      <c r="P28" s="910"/>
      <c r="Q28" s="910"/>
      <c r="R28" s="1004"/>
      <c r="S28" s="1025"/>
      <c r="T28" s="1025"/>
      <c r="U28" s="1025"/>
      <c r="V28" s="1025"/>
      <c r="W28" s="1025"/>
      <c r="X28" s="1025"/>
      <c r="Y28" s="1025"/>
      <c r="Z28" s="1025"/>
      <c r="AA28" s="1025"/>
      <c r="AB28" s="1025"/>
      <c r="AC28" s="1025"/>
      <c r="AD28" s="1025"/>
      <c r="AE28" s="1025"/>
    </row>
    <row r="29" spans="1:31" s="927" customFormat="1" ht="18" customHeight="1">
      <c r="A29" s="898">
        <v>22</v>
      </c>
      <c r="B29" s="920"/>
      <c r="C29" s="1010"/>
      <c r="D29" s="1010"/>
      <c r="E29" s="1011" t="s">
        <v>283</v>
      </c>
      <c r="F29" s="1012"/>
      <c r="G29" s="1012"/>
      <c r="H29" s="1012"/>
      <c r="I29" s="1013"/>
      <c r="J29" s="1014">
        <f>SUM(K29:R29)</f>
        <v>1378413</v>
      </c>
      <c r="K29" s="1015">
        <v>1026685</v>
      </c>
      <c r="L29" s="1015">
        <v>155777</v>
      </c>
      <c r="M29" s="1015">
        <v>193981</v>
      </c>
      <c r="N29" s="1015"/>
      <c r="O29" s="1015"/>
      <c r="P29" s="1015">
        <v>1970</v>
      </c>
      <c r="Q29" s="1015"/>
      <c r="R29" s="1016"/>
      <c r="S29" s="1017"/>
      <c r="T29" s="1017"/>
      <c r="U29" s="1017"/>
      <c r="V29" s="1017"/>
      <c r="W29" s="1017"/>
      <c r="X29" s="1017"/>
      <c r="Y29" s="1017"/>
      <c r="Z29" s="1017"/>
      <c r="AA29" s="1017"/>
      <c r="AB29" s="1017"/>
      <c r="AC29" s="1017"/>
      <c r="AD29" s="1017"/>
      <c r="AE29" s="1017"/>
    </row>
    <row r="30" spans="1:31" s="960" customFormat="1" ht="22.5" customHeight="1">
      <c r="A30" s="898">
        <v>23</v>
      </c>
      <c r="B30" s="913">
        <v>8</v>
      </c>
      <c r="C30" s="1005"/>
      <c r="D30" s="1018" t="s">
        <v>111</v>
      </c>
      <c r="E30" s="1018"/>
      <c r="F30" s="1019" t="s">
        <v>23</v>
      </c>
      <c r="G30" s="916">
        <v>85741</v>
      </c>
      <c r="H30" s="916">
        <v>73767</v>
      </c>
      <c r="I30" s="1007">
        <v>106981</v>
      </c>
      <c r="J30" s="1043"/>
      <c r="K30" s="916"/>
      <c r="L30" s="916"/>
      <c r="M30" s="916"/>
      <c r="N30" s="916"/>
      <c r="O30" s="916"/>
      <c r="P30" s="916"/>
      <c r="Q30" s="916"/>
      <c r="R30" s="1009"/>
      <c r="S30" s="1020"/>
      <c r="T30" s="1020"/>
      <c r="U30" s="1020"/>
      <c r="V30" s="1020"/>
      <c r="W30" s="1020"/>
      <c r="X30" s="1020"/>
      <c r="Y30" s="1020"/>
      <c r="Z30" s="1020"/>
      <c r="AA30" s="1020"/>
      <c r="AB30" s="1020"/>
      <c r="AC30" s="1020"/>
      <c r="AD30" s="1020"/>
      <c r="AE30" s="1020"/>
    </row>
    <row r="31" spans="1:31" s="939" customFormat="1" ht="18" customHeight="1">
      <c r="A31" s="898">
        <v>24</v>
      </c>
      <c r="B31" s="1044"/>
      <c r="C31" s="1045"/>
      <c r="D31" s="1045"/>
      <c r="E31" s="1011" t="s">
        <v>283</v>
      </c>
      <c r="F31" s="1046"/>
      <c r="G31" s="1046"/>
      <c r="H31" s="1046"/>
      <c r="I31" s="1013"/>
      <c r="J31" s="1014">
        <f>SUM(K31:R31)</f>
        <v>86372</v>
      </c>
      <c r="K31" s="1015">
        <v>49302</v>
      </c>
      <c r="L31" s="1015">
        <v>6580</v>
      </c>
      <c r="M31" s="1015">
        <v>30183</v>
      </c>
      <c r="N31" s="1015"/>
      <c r="O31" s="1015"/>
      <c r="P31" s="1015">
        <v>307</v>
      </c>
      <c r="Q31" s="1015"/>
      <c r="R31" s="1016"/>
      <c r="S31" s="1021"/>
      <c r="T31" s="1021"/>
      <c r="U31" s="1021"/>
      <c r="V31" s="1021"/>
      <c r="W31" s="1021"/>
      <c r="X31" s="1021"/>
      <c r="Y31" s="1021"/>
      <c r="Z31" s="1021"/>
      <c r="AA31" s="1021"/>
      <c r="AB31" s="1021"/>
      <c r="AC31" s="1021"/>
      <c r="AD31" s="1021"/>
      <c r="AE31" s="1021"/>
    </row>
    <row r="32" spans="1:31" s="960" customFormat="1" ht="22.5" customHeight="1">
      <c r="A32" s="898">
        <v>25</v>
      </c>
      <c r="B32" s="913">
        <v>9</v>
      </c>
      <c r="C32" s="1005"/>
      <c r="D32" s="1018" t="s">
        <v>369</v>
      </c>
      <c r="E32" s="1018"/>
      <c r="F32" s="1019" t="s">
        <v>23</v>
      </c>
      <c r="G32" s="916">
        <v>300491</v>
      </c>
      <c r="H32" s="916">
        <v>263190</v>
      </c>
      <c r="I32" s="1007">
        <v>346977</v>
      </c>
      <c r="J32" s="1043"/>
      <c r="K32" s="916"/>
      <c r="L32" s="916"/>
      <c r="M32" s="916"/>
      <c r="N32" s="916"/>
      <c r="O32" s="916"/>
      <c r="P32" s="916"/>
      <c r="Q32" s="916"/>
      <c r="R32" s="1009"/>
      <c r="S32" s="1020"/>
      <c r="T32" s="1020"/>
      <c r="U32" s="1020"/>
      <c r="V32" s="1020"/>
      <c r="W32" s="1020"/>
      <c r="X32" s="1020"/>
      <c r="Y32" s="1020"/>
      <c r="Z32" s="1020"/>
      <c r="AA32" s="1020"/>
      <c r="AB32" s="1020"/>
      <c r="AC32" s="1020"/>
      <c r="AD32" s="1020"/>
      <c r="AE32" s="1020"/>
    </row>
    <row r="33" spans="1:31" s="939" customFormat="1" ht="18" customHeight="1">
      <c r="A33" s="898">
        <v>26</v>
      </c>
      <c r="B33" s="1044"/>
      <c r="C33" s="1047"/>
      <c r="D33" s="1047"/>
      <c r="E33" s="1011" t="s">
        <v>283</v>
      </c>
      <c r="F33" s="1048"/>
      <c r="G33" s="1048"/>
      <c r="H33" s="1048"/>
      <c r="I33" s="1049"/>
      <c r="J33" s="1050">
        <f>SUM(K33:R33)</f>
        <v>293643</v>
      </c>
      <c r="K33" s="1051">
        <v>221040</v>
      </c>
      <c r="L33" s="1051">
        <v>36018</v>
      </c>
      <c r="M33" s="1051">
        <v>34880</v>
      </c>
      <c r="N33" s="1051"/>
      <c r="O33" s="1051"/>
      <c r="P33" s="1051">
        <v>1705</v>
      </c>
      <c r="Q33" s="1051"/>
      <c r="R33" s="1052"/>
      <c r="S33" s="1021"/>
      <c r="T33" s="1021"/>
      <c r="U33" s="1021"/>
      <c r="V33" s="1021"/>
      <c r="W33" s="1021"/>
      <c r="X33" s="1021"/>
      <c r="Y33" s="1021"/>
      <c r="Z33" s="1021"/>
      <c r="AA33" s="1021"/>
      <c r="AB33" s="1021"/>
      <c r="AC33" s="1021"/>
      <c r="AD33" s="1021"/>
      <c r="AE33" s="1021"/>
    </row>
    <row r="34" spans="1:31" s="960" customFormat="1" ht="18" customHeight="1">
      <c r="A34" s="898">
        <v>27</v>
      </c>
      <c r="B34" s="966"/>
      <c r="C34" s="1053">
        <v>1</v>
      </c>
      <c r="D34" s="1054" t="s">
        <v>556</v>
      </c>
      <c r="E34" s="1054"/>
      <c r="F34" s="1055"/>
      <c r="G34" s="916"/>
      <c r="H34" s="916"/>
      <c r="I34" s="1007">
        <v>15000</v>
      </c>
      <c r="J34" s="1043"/>
      <c r="K34" s="1023"/>
      <c r="L34" s="1023"/>
      <c r="M34" s="1023"/>
      <c r="N34" s="1056"/>
      <c r="O34" s="1056"/>
      <c r="P34" s="1056"/>
      <c r="Q34" s="1056"/>
      <c r="R34" s="1057"/>
      <c r="S34" s="1020"/>
      <c r="T34" s="1020"/>
      <c r="U34" s="1020"/>
      <c r="V34" s="1020"/>
      <c r="W34" s="1020"/>
      <c r="X34" s="1020"/>
      <c r="Y34" s="1020"/>
      <c r="Z34" s="1020"/>
      <c r="AA34" s="1020"/>
      <c r="AB34" s="1020"/>
      <c r="AC34" s="1020"/>
      <c r="AD34" s="1020"/>
      <c r="AE34" s="1020"/>
    </row>
    <row r="35" spans="1:31" s="960" customFormat="1" ht="18" customHeight="1" thickBot="1">
      <c r="A35" s="898">
        <v>28</v>
      </c>
      <c r="B35" s="966"/>
      <c r="C35" s="1058"/>
      <c r="D35" s="1059"/>
      <c r="E35" s="1011" t="s">
        <v>283</v>
      </c>
      <c r="F35" s="1060"/>
      <c r="G35" s="910"/>
      <c r="H35" s="910"/>
      <c r="I35" s="1002"/>
      <c r="J35" s="1050">
        <f>SUM(K35:R35)</f>
        <v>0</v>
      </c>
      <c r="K35" s="1061"/>
      <c r="L35" s="1061"/>
      <c r="M35" s="1061"/>
      <c r="N35" s="1062"/>
      <c r="O35" s="1062"/>
      <c r="P35" s="1062"/>
      <c r="Q35" s="1062"/>
      <c r="R35" s="1063"/>
      <c r="S35" s="1020"/>
      <c r="T35" s="1020"/>
      <c r="U35" s="1020"/>
      <c r="V35" s="1020"/>
      <c r="W35" s="1020"/>
      <c r="X35" s="1020"/>
      <c r="Y35" s="1020"/>
      <c r="Z35" s="1020"/>
      <c r="AA35" s="1020"/>
      <c r="AB35" s="1020"/>
      <c r="AC35" s="1020"/>
      <c r="AD35" s="1020"/>
      <c r="AE35" s="1020"/>
    </row>
    <row r="36" spans="1:31" s="1068" customFormat="1" ht="22.5" customHeight="1" thickTop="1">
      <c r="A36" s="898">
        <v>29</v>
      </c>
      <c r="B36" s="1026"/>
      <c r="C36" s="1404" t="s">
        <v>416</v>
      </c>
      <c r="D36" s="1405"/>
      <c r="E36" s="1406"/>
      <c r="F36" s="1064"/>
      <c r="G36" s="1027">
        <f>SUM(G28:G34)</f>
        <v>1413145</v>
      </c>
      <c r="H36" s="1027">
        <f>SUM(H28:H34)</f>
        <v>1457854</v>
      </c>
      <c r="I36" s="1028">
        <f>SUM(I28:I34)</f>
        <v>1669663</v>
      </c>
      <c r="J36" s="1029"/>
      <c r="K36" s="1065"/>
      <c r="L36" s="1065"/>
      <c r="M36" s="1065"/>
      <c r="N36" s="1065"/>
      <c r="O36" s="1065"/>
      <c r="P36" s="1065"/>
      <c r="Q36" s="1065"/>
      <c r="R36" s="1066"/>
      <c r="S36" s="1031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</row>
    <row r="37" spans="1:31" s="939" customFormat="1" ht="18" customHeight="1" thickBot="1">
      <c r="A37" s="898">
        <v>30</v>
      </c>
      <c r="B37" s="1044"/>
      <c r="C37" s="1069"/>
      <c r="D37" s="1070"/>
      <c r="E37" s="1071" t="s">
        <v>283</v>
      </c>
      <c r="F37" s="1072"/>
      <c r="G37" s="1072"/>
      <c r="H37" s="1072"/>
      <c r="I37" s="1037"/>
      <c r="J37" s="1038">
        <f>SUM(K37:R37)</f>
        <v>1758428</v>
      </c>
      <c r="K37" s="1039">
        <f aca="true" t="shared" si="1" ref="K37:R37">SUM(K29,K31,K33,K35)</f>
        <v>1297027</v>
      </c>
      <c r="L37" s="1039">
        <f t="shared" si="1"/>
        <v>198375</v>
      </c>
      <c r="M37" s="1039">
        <f t="shared" si="1"/>
        <v>259044</v>
      </c>
      <c r="N37" s="1039">
        <f t="shared" si="1"/>
        <v>0</v>
      </c>
      <c r="O37" s="1039">
        <f t="shared" si="1"/>
        <v>0</v>
      </c>
      <c r="P37" s="1039">
        <f t="shared" si="1"/>
        <v>3982</v>
      </c>
      <c r="Q37" s="1039">
        <f t="shared" si="1"/>
        <v>0</v>
      </c>
      <c r="R37" s="1040">
        <f t="shared" si="1"/>
        <v>0</v>
      </c>
      <c r="S37" s="1021"/>
      <c r="T37" s="1021"/>
      <c r="U37" s="1021"/>
      <c r="V37" s="1021"/>
      <c r="W37" s="1021"/>
      <c r="X37" s="1021"/>
      <c r="Y37" s="1021"/>
      <c r="Z37" s="1021"/>
      <c r="AA37" s="1021"/>
      <c r="AB37" s="1021"/>
      <c r="AC37" s="1021"/>
      <c r="AD37" s="1021"/>
      <c r="AE37" s="1021"/>
    </row>
    <row r="38" spans="1:31" s="903" customFormat="1" ht="22.5" customHeight="1" thickTop="1">
      <c r="A38" s="898">
        <v>31</v>
      </c>
      <c r="B38" s="906">
        <v>10</v>
      </c>
      <c r="C38" s="999"/>
      <c r="D38" s="1000" t="s">
        <v>371</v>
      </c>
      <c r="E38" s="1041"/>
      <c r="F38" s="1001" t="s">
        <v>23</v>
      </c>
      <c r="G38" s="910">
        <v>207853</v>
      </c>
      <c r="H38" s="910">
        <v>239700</v>
      </c>
      <c r="I38" s="1002">
        <v>319654</v>
      </c>
      <c r="J38" s="1042"/>
      <c r="K38" s="910"/>
      <c r="L38" s="910"/>
      <c r="M38" s="910"/>
      <c r="N38" s="910"/>
      <c r="O38" s="910"/>
      <c r="P38" s="910"/>
      <c r="Q38" s="910"/>
      <c r="R38" s="1004"/>
      <c r="S38" s="1022"/>
      <c r="T38" s="1022"/>
      <c r="U38" s="1022"/>
      <c r="V38" s="1022"/>
      <c r="W38" s="1022"/>
      <c r="X38" s="1022"/>
      <c r="Y38" s="1022"/>
      <c r="Z38" s="1022"/>
      <c r="AA38" s="1022"/>
      <c r="AB38" s="1022"/>
      <c r="AC38" s="1022"/>
      <c r="AD38" s="1022"/>
      <c r="AE38" s="1022"/>
    </row>
    <row r="39" spans="1:31" s="939" customFormat="1" ht="18" customHeight="1">
      <c r="A39" s="898">
        <v>32</v>
      </c>
      <c r="B39" s="1044"/>
      <c r="C39" s="1045"/>
      <c r="D39" s="1045"/>
      <c r="E39" s="1011" t="s">
        <v>283</v>
      </c>
      <c r="F39" s="1046"/>
      <c r="G39" s="1046"/>
      <c r="H39" s="1046"/>
      <c r="I39" s="1013"/>
      <c r="J39" s="1014">
        <f>SUM(K39:R39)</f>
        <v>253600</v>
      </c>
      <c r="K39" s="1015">
        <v>112367</v>
      </c>
      <c r="L39" s="1015">
        <v>15804</v>
      </c>
      <c r="M39" s="1015">
        <v>125118</v>
      </c>
      <c r="N39" s="1015"/>
      <c r="O39" s="1015"/>
      <c r="P39" s="1015">
        <v>311</v>
      </c>
      <c r="Q39" s="1015"/>
      <c r="R39" s="1016"/>
      <c r="S39" s="1021"/>
      <c r="T39" s="1021"/>
      <c r="U39" s="1021"/>
      <c r="V39" s="1021"/>
      <c r="W39" s="1021"/>
      <c r="X39" s="1021"/>
      <c r="Y39" s="1021"/>
      <c r="Z39" s="1021"/>
      <c r="AA39" s="1021"/>
      <c r="AB39" s="1021"/>
      <c r="AC39" s="1021"/>
      <c r="AD39" s="1021"/>
      <c r="AE39" s="1021"/>
    </row>
    <row r="40" spans="1:31" s="903" customFormat="1" ht="18" customHeight="1">
      <c r="A40" s="898">
        <v>33</v>
      </c>
      <c r="B40" s="966"/>
      <c r="C40" s="1005">
        <v>1</v>
      </c>
      <c r="D40" s="1054" t="s">
        <v>412</v>
      </c>
      <c r="E40" s="1054"/>
      <c r="F40" s="1055"/>
      <c r="G40" s="916">
        <v>13739</v>
      </c>
      <c r="H40" s="916">
        <v>75640</v>
      </c>
      <c r="I40" s="1007">
        <v>79633</v>
      </c>
      <c r="J40" s="1043"/>
      <c r="K40" s="1023"/>
      <c r="L40" s="1023"/>
      <c r="M40" s="1023"/>
      <c r="N40" s="1056"/>
      <c r="O40" s="1056"/>
      <c r="P40" s="1056"/>
      <c r="Q40" s="1056"/>
      <c r="R40" s="1057"/>
      <c r="S40" s="1022"/>
      <c r="T40" s="1022"/>
      <c r="U40" s="1022"/>
      <c r="V40" s="1022"/>
      <c r="W40" s="1022"/>
      <c r="X40" s="1022"/>
      <c r="Y40" s="1022"/>
      <c r="Z40" s="1022"/>
      <c r="AA40" s="1022"/>
      <c r="AB40" s="1022"/>
      <c r="AC40" s="1022"/>
      <c r="AD40" s="1022"/>
      <c r="AE40" s="1022"/>
    </row>
    <row r="41" spans="1:31" s="968" customFormat="1" ht="18" customHeight="1">
      <c r="A41" s="898">
        <v>34</v>
      </c>
      <c r="B41" s="1044"/>
      <c r="C41" s="1045"/>
      <c r="D41" s="1045"/>
      <c r="E41" s="1073" t="s">
        <v>283</v>
      </c>
      <c r="F41" s="1074"/>
      <c r="G41" s="1046"/>
      <c r="H41" s="1046"/>
      <c r="I41" s="1013"/>
      <c r="J41" s="1014">
        <f>SUM(K41:R41)</f>
        <v>66535</v>
      </c>
      <c r="K41" s="1015">
        <v>13377</v>
      </c>
      <c r="L41" s="1015">
        <v>1938</v>
      </c>
      <c r="M41" s="1015">
        <v>48479</v>
      </c>
      <c r="N41" s="1015"/>
      <c r="O41" s="1015"/>
      <c r="P41" s="1015">
        <v>2741</v>
      </c>
      <c r="Q41" s="1015"/>
      <c r="R41" s="1016"/>
      <c r="S41" s="1075"/>
      <c r="T41" s="1075"/>
      <c r="U41" s="1075"/>
      <c r="V41" s="1075"/>
      <c r="W41" s="1075"/>
      <c r="X41" s="1075"/>
      <c r="Y41" s="1075"/>
      <c r="Z41" s="1075"/>
      <c r="AA41" s="1075"/>
      <c r="AB41" s="1075"/>
      <c r="AC41" s="1075"/>
      <c r="AD41" s="1075"/>
      <c r="AE41" s="1075"/>
    </row>
    <row r="42" spans="1:31" s="968" customFormat="1" ht="18" customHeight="1">
      <c r="A42" s="898">
        <v>35</v>
      </c>
      <c r="B42" s="1044"/>
      <c r="C42" s="1076">
        <v>2</v>
      </c>
      <c r="D42" s="1077" t="s">
        <v>557</v>
      </c>
      <c r="E42" s="1078"/>
      <c r="F42" s="1078"/>
      <c r="G42" s="1078"/>
      <c r="H42" s="1079"/>
      <c r="I42" s="1080">
        <v>15558</v>
      </c>
      <c r="J42" s="1014"/>
      <c r="K42" s="1015"/>
      <c r="L42" s="1015"/>
      <c r="M42" s="1015"/>
      <c r="N42" s="1015"/>
      <c r="O42" s="1015"/>
      <c r="P42" s="1015"/>
      <c r="Q42" s="1015"/>
      <c r="R42" s="1016"/>
      <c r="S42" s="1075"/>
      <c r="T42" s="1075"/>
      <c r="U42" s="1075"/>
      <c r="V42" s="1075"/>
      <c r="W42" s="1075"/>
      <c r="X42" s="1075"/>
      <c r="Y42" s="1075"/>
      <c r="Z42" s="1075"/>
      <c r="AA42" s="1075"/>
      <c r="AB42" s="1075"/>
      <c r="AC42" s="1075"/>
      <c r="AD42" s="1075"/>
      <c r="AE42" s="1075"/>
    </row>
    <row r="43" spans="1:31" s="968" customFormat="1" ht="18" customHeight="1">
      <c r="A43" s="898">
        <v>36</v>
      </c>
      <c r="B43" s="1044"/>
      <c r="C43" s="1076"/>
      <c r="D43" s="1045"/>
      <c r="E43" s="1073" t="s">
        <v>283</v>
      </c>
      <c r="F43" s="1074"/>
      <c r="G43" s="1046"/>
      <c r="H43" s="1046"/>
      <c r="I43" s="1013"/>
      <c r="J43" s="1014">
        <f>SUM(K43:R43)</f>
        <v>1173</v>
      </c>
      <c r="K43" s="1015">
        <v>1025</v>
      </c>
      <c r="L43" s="1015">
        <v>145</v>
      </c>
      <c r="M43" s="1015">
        <v>3</v>
      </c>
      <c r="N43" s="1015"/>
      <c r="O43" s="1015"/>
      <c r="P43" s="1015"/>
      <c r="Q43" s="1015"/>
      <c r="R43" s="1016"/>
      <c r="S43" s="1075"/>
      <c r="T43" s="1075"/>
      <c r="U43" s="1075"/>
      <c r="V43" s="1075"/>
      <c r="W43" s="1075"/>
      <c r="X43" s="1075"/>
      <c r="Y43" s="1075"/>
      <c r="Z43" s="1075"/>
      <c r="AA43" s="1075"/>
      <c r="AB43" s="1075"/>
      <c r="AC43" s="1075"/>
      <c r="AD43" s="1075"/>
      <c r="AE43" s="1075"/>
    </row>
    <row r="44" spans="1:31" s="904" customFormat="1" ht="22.5" customHeight="1">
      <c r="A44" s="898">
        <v>37</v>
      </c>
      <c r="B44" s="913">
        <v>11</v>
      </c>
      <c r="C44" s="1005"/>
      <c r="D44" s="1018" t="s">
        <v>364</v>
      </c>
      <c r="E44" s="1018"/>
      <c r="F44" s="1019" t="s">
        <v>23</v>
      </c>
      <c r="G44" s="916">
        <v>136279</v>
      </c>
      <c r="H44" s="916">
        <v>156915</v>
      </c>
      <c r="I44" s="1007">
        <v>185459</v>
      </c>
      <c r="J44" s="1043"/>
      <c r="K44" s="916"/>
      <c r="L44" s="916"/>
      <c r="M44" s="916"/>
      <c r="N44" s="916"/>
      <c r="O44" s="916"/>
      <c r="P44" s="916"/>
      <c r="Q44" s="916"/>
      <c r="R44" s="1009"/>
      <c r="S44" s="1025"/>
      <c r="T44" s="1025"/>
      <c r="U44" s="1025"/>
      <c r="V44" s="1025"/>
      <c r="W44" s="1025"/>
      <c r="X44" s="1025"/>
      <c r="Y44" s="1025"/>
      <c r="Z44" s="1025"/>
      <c r="AA44" s="1025"/>
      <c r="AB44" s="1025"/>
      <c r="AC44" s="1025"/>
      <c r="AD44" s="1025"/>
      <c r="AE44" s="1025"/>
    </row>
    <row r="45" spans="1:31" s="968" customFormat="1" ht="18" customHeight="1">
      <c r="A45" s="898">
        <v>38</v>
      </c>
      <c r="B45" s="1044"/>
      <c r="C45" s="1045"/>
      <c r="D45" s="1045"/>
      <c r="E45" s="1011" t="s">
        <v>283</v>
      </c>
      <c r="F45" s="1046"/>
      <c r="G45" s="1046"/>
      <c r="H45" s="1046"/>
      <c r="I45" s="1013"/>
      <c r="J45" s="1014">
        <f>SUM(K45:R45)</f>
        <v>173307</v>
      </c>
      <c r="K45" s="1015">
        <v>100425</v>
      </c>
      <c r="L45" s="1015">
        <v>13059</v>
      </c>
      <c r="M45" s="1015">
        <v>53473</v>
      </c>
      <c r="N45" s="1015"/>
      <c r="O45" s="1015"/>
      <c r="P45" s="1015">
        <v>6350</v>
      </c>
      <c r="Q45" s="1015"/>
      <c r="R45" s="1016"/>
      <c r="S45" s="1075"/>
      <c r="T45" s="1075"/>
      <c r="U45" s="1075"/>
      <c r="V45" s="1075"/>
      <c r="W45" s="1075"/>
      <c r="X45" s="1075"/>
      <c r="Y45" s="1075"/>
      <c r="Z45" s="1075"/>
      <c r="AA45" s="1075"/>
      <c r="AB45" s="1075"/>
      <c r="AC45" s="1075"/>
      <c r="AD45" s="1075"/>
      <c r="AE45" s="1075"/>
    </row>
    <row r="46" spans="1:31" s="903" customFormat="1" ht="18" customHeight="1">
      <c r="A46" s="898">
        <v>39</v>
      </c>
      <c r="B46" s="966"/>
      <c r="C46" s="1005">
        <v>1</v>
      </c>
      <c r="D46" s="1081" t="s">
        <v>497</v>
      </c>
      <c r="E46" s="1054"/>
      <c r="F46" s="1055"/>
      <c r="G46" s="916"/>
      <c r="H46" s="916">
        <v>2349</v>
      </c>
      <c r="I46" s="1007">
        <v>2349</v>
      </c>
      <c r="J46" s="1043"/>
      <c r="K46" s="1023"/>
      <c r="L46" s="1023"/>
      <c r="M46" s="1023"/>
      <c r="N46" s="1056"/>
      <c r="O46" s="1056"/>
      <c r="P46" s="1056"/>
      <c r="Q46" s="1056"/>
      <c r="R46" s="1057"/>
      <c r="S46" s="1022"/>
      <c r="T46" s="1022"/>
      <c r="U46" s="1022"/>
      <c r="V46" s="1022"/>
      <c r="W46" s="1022"/>
      <c r="X46" s="1022"/>
      <c r="Y46" s="1022"/>
      <c r="Z46" s="1022"/>
      <c r="AA46" s="1022"/>
      <c r="AB46" s="1022"/>
      <c r="AC46" s="1022"/>
      <c r="AD46" s="1022"/>
      <c r="AE46" s="1022"/>
    </row>
    <row r="47" spans="1:31" s="968" customFormat="1" ht="18" customHeight="1">
      <c r="A47" s="898">
        <v>40</v>
      </c>
      <c r="B47" s="1044"/>
      <c r="C47" s="1045"/>
      <c r="D47" s="1045"/>
      <c r="E47" s="1073" t="s">
        <v>283</v>
      </c>
      <c r="F47" s="1074"/>
      <c r="G47" s="1046"/>
      <c r="H47" s="1046"/>
      <c r="I47" s="1013"/>
      <c r="J47" s="1014">
        <f>SUM(K47:R47)</f>
        <v>0</v>
      </c>
      <c r="K47" s="1015"/>
      <c r="L47" s="1015"/>
      <c r="M47" s="1015"/>
      <c r="N47" s="1015"/>
      <c r="O47" s="1015"/>
      <c r="P47" s="1015"/>
      <c r="Q47" s="1015"/>
      <c r="R47" s="1016"/>
      <c r="S47" s="1075"/>
      <c r="T47" s="1075"/>
      <c r="U47" s="1075"/>
      <c r="V47" s="1075"/>
      <c r="W47" s="1075"/>
      <c r="X47" s="1075"/>
      <c r="Y47" s="1075"/>
      <c r="Z47" s="1075"/>
      <c r="AA47" s="1075"/>
      <c r="AB47" s="1075"/>
      <c r="AC47" s="1075"/>
      <c r="AD47" s="1075"/>
      <c r="AE47" s="1075"/>
    </row>
    <row r="48" spans="1:31" s="968" customFormat="1" ht="18" customHeight="1">
      <c r="A48" s="898">
        <v>41</v>
      </c>
      <c r="B48" s="1044"/>
      <c r="C48" s="1076">
        <v>2</v>
      </c>
      <c r="D48" s="1081" t="s">
        <v>706</v>
      </c>
      <c r="E48" s="1073"/>
      <c r="F48" s="1074"/>
      <c r="G48" s="1046"/>
      <c r="H48" s="1079"/>
      <c r="I48" s="1080">
        <v>15000</v>
      </c>
      <c r="J48" s="1014"/>
      <c r="K48" s="1015"/>
      <c r="L48" s="1015"/>
      <c r="M48" s="1015"/>
      <c r="N48" s="1015"/>
      <c r="O48" s="1015"/>
      <c r="P48" s="1015"/>
      <c r="Q48" s="1015"/>
      <c r="R48" s="1016"/>
      <c r="S48" s="1075"/>
      <c r="T48" s="1075"/>
      <c r="U48" s="1075"/>
      <c r="V48" s="1075"/>
      <c r="W48" s="1075"/>
      <c r="X48" s="1075"/>
      <c r="Y48" s="1075"/>
      <c r="Z48" s="1075"/>
      <c r="AA48" s="1075"/>
      <c r="AB48" s="1075"/>
      <c r="AC48" s="1075"/>
      <c r="AD48" s="1075"/>
      <c r="AE48" s="1075"/>
    </row>
    <row r="49" spans="1:31" s="968" customFormat="1" ht="18" customHeight="1">
      <c r="A49" s="898">
        <v>42</v>
      </c>
      <c r="B49" s="1044"/>
      <c r="C49" s="1045"/>
      <c r="D49" s="1045"/>
      <c r="E49" s="1073" t="s">
        <v>283</v>
      </c>
      <c r="F49" s="1074"/>
      <c r="G49" s="1046"/>
      <c r="H49" s="1046"/>
      <c r="I49" s="1013"/>
      <c r="J49" s="1014">
        <f>SUM(K49:R49)</f>
        <v>7512</v>
      </c>
      <c r="K49" s="1015">
        <v>697</v>
      </c>
      <c r="L49" s="1015">
        <v>141</v>
      </c>
      <c r="M49" s="1015">
        <v>5156</v>
      </c>
      <c r="N49" s="1015"/>
      <c r="O49" s="1015"/>
      <c r="P49" s="1015">
        <v>1518</v>
      </c>
      <c r="Q49" s="1015"/>
      <c r="R49" s="1016"/>
      <c r="S49" s="1075"/>
      <c r="T49" s="1075"/>
      <c r="U49" s="1075"/>
      <c r="V49" s="1075"/>
      <c r="W49" s="1075"/>
      <c r="X49" s="1075"/>
      <c r="Y49" s="1075"/>
      <c r="Z49" s="1075"/>
      <c r="AA49" s="1075"/>
      <c r="AB49" s="1075"/>
      <c r="AC49" s="1075"/>
      <c r="AD49" s="1075"/>
      <c r="AE49" s="1075"/>
    </row>
    <row r="50" spans="1:31" s="904" customFormat="1" ht="22.5" customHeight="1">
      <c r="A50" s="898">
        <v>43</v>
      </c>
      <c r="B50" s="913">
        <v>12</v>
      </c>
      <c r="C50" s="1005"/>
      <c r="D50" s="1018" t="s">
        <v>25</v>
      </c>
      <c r="E50" s="1018"/>
      <c r="F50" s="1019" t="s">
        <v>23</v>
      </c>
      <c r="G50" s="916">
        <v>449529</v>
      </c>
      <c r="H50" s="916">
        <v>458734</v>
      </c>
      <c r="I50" s="1007">
        <v>486715</v>
      </c>
      <c r="J50" s="1043"/>
      <c r="K50" s="916"/>
      <c r="L50" s="916"/>
      <c r="M50" s="916"/>
      <c r="N50" s="916"/>
      <c r="O50" s="916"/>
      <c r="P50" s="916"/>
      <c r="Q50" s="916"/>
      <c r="R50" s="1009"/>
      <c r="S50" s="1025"/>
      <c r="T50" s="1025"/>
      <c r="U50" s="1025"/>
      <c r="V50" s="1025"/>
      <c r="W50" s="1025"/>
      <c r="X50" s="1025"/>
      <c r="Y50" s="1025"/>
      <c r="Z50" s="1025"/>
      <c r="AA50" s="1025"/>
      <c r="AB50" s="1025"/>
      <c r="AC50" s="1025"/>
      <c r="AD50" s="1025"/>
      <c r="AE50" s="1025"/>
    </row>
    <row r="51" spans="1:31" s="968" customFormat="1" ht="18" customHeight="1">
      <c r="A51" s="898">
        <v>44</v>
      </c>
      <c r="B51" s="1044"/>
      <c r="C51" s="1045"/>
      <c r="D51" s="1045"/>
      <c r="E51" s="1011" t="s">
        <v>283</v>
      </c>
      <c r="F51" s="1046"/>
      <c r="G51" s="1046"/>
      <c r="H51" s="1046"/>
      <c r="I51" s="1013"/>
      <c r="J51" s="1014">
        <f>SUM(K51:R51)</f>
        <v>531198</v>
      </c>
      <c r="K51" s="1015">
        <v>235004</v>
      </c>
      <c r="L51" s="1015">
        <v>34855</v>
      </c>
      <c r="M51" s="1015">
        <v>194789</v>
      </c>
      <c r="N51" s="1015"/>
      <c r="O51" s="1015"/>
      <c r="P51" s="1015">
        <v>66550</v>
      </c>
      <c r="Q51" s="1015"/>
      <c r="R51" s="1016"/>
      <c r="S51" s="1075"/>
      <c r="T51" s="1075"/>
      <c r="U51" s="1075"/>
      <c r="V51" s="1075"/>
      <c r="W51" s="1075"/>
      <c r="X51" s="1075"/>
      <c r="Y51" s="1075"/>
      <c r="Z51" s="1075"/>
      <c r="AA51" s="1075"/>
      <c r="AB51" s="1075"/>
      <c r="AC51" s="1075"/>
      <c r="AD51" s="1075"/>
      <c r="AE51" s="1075"/>
    </row>
    <row r="52" spans="1:31" s="903" customFormat="1" ht="18" customHeight="1">
      <c r="A52" s="898">
        <v>45</v>
      </c>
      <c r="B52" s="966"/>
      <c r="C52" s="1005">
        <v>1</v>
      </c>
      <c r="D52" s="1054" t="s">
        <v>412</v>
      </c>
      <c r="E52" s="1054"/>
      <c r="F52" s="1055"/>
      <c r="G52" s="916">
        <v>5801</v>
      </c>
      <c r="H52" s="916">
        <v>49690</v>
      </c>
      <c r="I52" s="1007">
        <v>43337</v>
      </c>
      <c r="J52" s="1043"/>
      <c r="K52" s="1023"/>
      <c r="L52" s="1023"/>
      <c r="M52" s="1023"/>
      <c r="N52" s="1056"/>
      <c r="O52" s="1056"/>
      <c r="P52" s="1056"/>
      <c r="Q52" s="1056"/>
      <c r="R52" s="1057"/>
      <c r="S52" s="1022"/>
      <c r="T52" s="1022"/>
      <c r="U52" s="1022"/>
      <c r="V52" s="1022"/>
      <c r="W52" s="1022"/>
      <c r="X52" s="1022"/>
      <c r="Y52" s="1022"/>
      <c r="Z52" s="1022"/>
      <c r="AA52" s="1022"/>
      <c r="AB52" s="1022"/>
      <c r="AC52" s="1022"/>
      <c r="AD52" s="1022"/>
      <c r="AE52" s="1022"/>
    </row>
    <row r="53" spans="1:31" s="968" customFormat="1" ht="18" customHeight="1">
      <c r="A53" s="898">
        <v>46</v>
      </c>
      <c r="B53" s="1044"/>
      <c r="C53" s="1045"/>
      <c r="D53" s="1045"/>
      <c r="E53" s="1073" t="s">
        <v>283</v>
      </c>
      <c r="F53" s="1074"/>
      <c r="G53" s="1046"/>
      <c r="H53" s="1046"/>
      <c r="I53" s="1013"/>
      <c r="J53" s="1014">
        <f>SUM(K53:R53)</f>
        <v>38331</v>
      </c>
      <c r="K53" s="1015">
        <v>2766</v>
      </c>
      <c r="L53" s="1015">
        <v>438</v>
      </c>
      <c r="M53" s="1015">
        <v>35014</v>
      </c>
      <c r="N53" s="1015"/>
      <c r="O53" s="1015"/>
      <c r="P53" s="1015">
        <v>113</v>
      </c>
      <c r="Q53" s="1015"/>
      <c r="R53" s="1016"/>
      <c r="S53" s="1075"/>
      <c r="T53" s="1075"/>
      <c r="U53" s="1075"/>
      <c r="V53" s="1075"/>
      <c r="W53" s="1075"/>
      <c r="X53" s="1075"/>
      <c r="Y53" s="1075"/>
      <c r="Z53" s="1075"/>
      <c r="AA53" s="1075"/>
      <c r="AB53" s="1075"/>
      <c r="AC53" s="1075"/>
      <c r="AD53" s="1075"/>
      <c r="AE53" s="1075"/>
    </row>
    <row r="54" spans="1:31" s="903" customFormat="1" ht="22.5" customHeight="1">
      <c r="A54" s="898">
        <v>47</v>
      </c>
      <c r="B54" s="913">
        <v>13</v>
      </c>
      <c r="C54" s="1005"/>
      <c r="D54" s="1018" t="s">
        <v>32</v>
      </c>
      <c r="E54" s="1018"/>
      <c r="F54" s="1019" t="s">
        <v>23</v>
      </c>
      <c r="G54" s="916">
        <v>399150</v>
      </c>
      <c r="H54" s="916">
        <v>442284</v>
      </c>
      <c r="I54" s="1007">
        <v>535971</v>
      </c>
      <c r="J54" s="1043"/>
      <c r="K54" s="916"/>
      <c r="L54" s="916"/>
      <c r="M54" s="916"/>
      <c r="N54" s="916"/>
      <c r="O54" s="916"/>
      <c r="P54" s="916"/>
      <c r="Q54" s="916"/>
      <c r="R54" s="1009"/>
      <c r="S54" s="1022"/>
      <c r="T54" s="1022"/>
      <c r="U54" s="1022"/>
      <c r="V54" s="1022"/>
      <c r="W54" s="1022"/>
      <c r="X54" s="1022"/>
      <c r="Y54" s="1022"/>
      <c r="Z54" s="1022"/>
      <c r="AA54" s="1022"/>
      <c r="AB54" s="1022"/>
      <c r="AC54" s="1022"/>
      <c r="AD54" s="1022"/>
      <c r="AE54" s="1022"/>
    </row>
    <row r="55" spans="1:31" s="968" customFormat="1" ht="18" customHeight="1">
      <c r="A55" s="898">
        <v>48</v>
      </c>
      <c r="B55" s="1044"/>
      <c r="C55" s="1045"/>
      <c r="D55" s="1045"/>
      <c r="E55" s="1011" t="s">
        <v>283</v>
      </c>
      <c r="F55" s="1046"/>
      <c r="G55" s="1046"/>
      <c r="H55" s="1046"/>
      <c r="I55" s="1013"/>
      <c r="J55" s="1014">
        <f>SUM(K55:R55)</f>
        <v>410179</v>
      </c>
      <c r="K55" s="1015">
        <v>253166</v>
      </c>
      <c r="L55" s="1015">
        <v>39840</v>
      </c>
      <c r="M55" s="1015">
        <v>106581</v>
      </c>
      <c r="N55" s="1015"/>
      <c r="O55" s="1015">
        <v>1200</v>
      </c>
      <c r="P55" s="1015">
        <v>9392</v>
      </c>
      <c r="Q55" s="1015"/>
      <c r="R55" s="1016"/>
      <c r="S55" s="1075"/>
      <c r="T55" s="1075"/>
      <c r="U55" s="1075"/>
      <c r="V55" s="1075"/>
      <c r="W55" s="1075"/>
      <c r="X55" s="1075"/>
      <c r="Y55" s="1075"/>
      <c r="Z55" s="1075"/>
      <c r="AA55" s="1075"/>
      <c r="AB55" s="1075"/>
      <c r="AC55" s="1075"/>
      <c r="AD55" s="1075"/>
      <c r="AE55" s="1075"/>
    </row>
    <row r="56" spans="1:31" s="904" customFormat="1" ht="18" customHeight="1">
      <c r="A56" s="898">
        <v>49</v>
      </c>
      <c r="B56" s="1082"/>
      <c r="C56" s="1005">
        <v>1</v>
      </c>
      <c r="D56" s="1018" t="s">
        <v>497</v>
      </c>
      <c r="E56" s="1083"/>
      <c r="F56" s="1084"/>
      <c r="G56" s="916"/>
      <c r="H56" s="916">
        <v>8944</v>
      </c>
      <c r="I56" s="1085">
        <v>8944</v>
      </c>
      <c r="J56" s="1043"/>
      <c r="K56" s="1056"/>
      <c r="L56" s="1056"/>
      <c r="M56" s="1056"/>
      <c r="N56" s="1056"/>
      <c r="O56" s="1056"/>
      <c r="P56" s="1056"/>
      <c r="Q56" s="1056"/>
      <c r="R56" s="1057"/>
      <c r="S56" s="1025"/>
      <c r="T56" s="1025"/>
      <c r="U56" s="1025"/>
      <c r="V56" s="1025"/>
      <c r="W56" s="1025"/>
      <c r="X56" s="1025"/>
      <c r="Y56" s="1025"/>
      <c r="Z56" s="1025"/>
      <c r="AA56" s="1025"/>
      <c r="AB56" s="1025"/>
      <c r="AC56" s="1025"/>
      <c r="AD56" s="1025"/>
      <c r="AE56" s="1025"/>
    </row>
    <row r="57" spans="1:31" s="968" customFormat="1" ht="18" customHeight="1">
      <c r="A57" s="898">
        <v>50</v>
      </c>
      <c r="B57" s="1026"/>
      <c r="C57" s="1086"/>
      <c r="D57" s="1086"/>
      <c r="E57" s="1011" t="s">
        <v>283</v>
      </c>
      <c r="F57" s="1087"/>
      <c r="G57" s="1088"/>
      <c r="H57" s="1088"/>
      <c r="I57" s="1089"/>
      <c r="J57" s="1090">
        <f>SUM(K57:R57)</f>
        <v>8944</v>
      </c>
      <c r="K57" s="1091">
        <v>4971</v>
      </c>
      <c r="L57" s="1091"/>
      <c r="M57" s="1091">
        <v>3973</v>
      </c>
      <c r="N57" s="1091"/>
      <c r="O57" s="1091"/>
      <c r="P57" s="1091"/>
      <c r="Q57" s="1091"/>
      <c r="R57" s="1092"/>
      <c r="S57" s="1075"/>
      <c r="T57" s="1075"/>
      <c r="U57" s="1075"/>
      <c r="V57" s="1075"/>
      <c r="W57" s="1075"/>
      <c r="X57" s="1075"/>
      <c r="Y57" s="1075"/>
      <c r="Z57" s="1075"/>
      <c r="AA57" s="1075"/>
      <c r="AB57" s="1075"/>
      <c r="AC57" s="1075"/>
      <c r="AD57" s="1075"/>
      <c r="AE57" s="1075"/>
    </row>
    <row r="58" spans="1:31" s="903" customFormat="1" ht="18" customHeight="1">
      <c r="A58" s="898">
        <v>51</v>
      </c>
      <c r="B58" s="966"/>
      <c r="C58" s="1005">
        <v>2</v>
      </c>
      <c r="D58" s="1081" t="s">
        <v>707</v>
      </c>
      <c r="E58" s="1054"/>
      <c r="F58" s="1055"/>
      <c r="G58" s="916"/>
      <c r="H58" s="916"/>
      <c r="I58" s="1007">
        <v>30582</v>
      </c>
      <c r="J58" s="1043"/>
      <c r="K58" s="1023"/>
      <c r="L58" s="1023"/>
      <c r="M58" s="1023"/>
      <c r="N58" s="1056"/>
      <c r="O58" s="1056"/>
      <c r="P58" s="1056"/>
      <c r="Q58" s="1056"/>
      <c r="R58" s="1057"/>
      <c r="S58" s="1022"/>
      <c r="T58" s="1022"/>
      <c r="U58" s="1022"/>
      <c r="V58" s="1022"/>
      <c r="W58" s="1022"/>
      <c r="X58" s="1022"/>
      <c r="Y58" s="1022"/>
      <c r="Z58" s="1022"/>
      <c r="AA58" s="1022"/>
      <c r="AB58" s="1022"/>
      <c r="AC58" s="1022"/>
      <c r="AD58" s="1022"/>
      <c r="AE58" s="1022"/>
    </row>
    <row r="59" spans="1:31" s="968" customFormat="1" ht="18" customHeight="1">
      <c r="A59" s="898">
        <v>52</v>
      </c>
      <c r="B59" s="1044"/>
      <c r="C59" s="1045"/>
      <c r="D59" s="1045"/>
      <c r="E59" s="1073" t="s">
        <v>283</v>
      </c>
      <c r="F59" s="1074"/>
      <c r="G59" s="1046"/>
      <c r="H59" s="1046"/>
      <c r="I59" s="1013"/>
      <c r="J59" s="1014">
        <f>SUM(K59:R59)</f>
        <v>30582</v>
      </c>
      <c r="K59" s="1015">
        <v>3827</v>
      </c>
      <c r="L59" s="1015">
        <v>498</v>
      </c>
      <c r="M59" s="1015">
        <v>857</v>
      </c>
      <c r="N59" s="1015"/>
      <c r="O59" s="1015"/>
      <c r="P59" s="1015">
        <v>25400</v>
      </c>
      <c r="Q59" s="1015"/>
      <c r="R59" s="1016"/>
      <c r="S59" s="1075"/>
      <c r="T59" s="1075"/>
      <c r="U59" s="1075"/>
      <c r="V59" s="1075"/>
      <c r="W59" s="1075"/>
      <c r="X59" s="1075"/>
      <c r="Y59" s="1075"/>
      <c r="Z59" s="1075"/>
      <c r="AA59" s="1075"/>
      <c r="AB59" s="1075"/>
      <c r="AC59" s="1075"/>
      <c r="AD59" s="1075"/>
      <c r="AE59" s="1075"/>
    </row>
    <row r="60" spans="1:31" s="903" customFormat="1" ht="22.5" customHeight="1">
      <c r="A60" s="898">
        <v>53</v>
      </c>
      <c r="B60" s="913">
        <v>14</v>
      </c>
      <c r="C60" s="1005"/>
      <c r="D60" s="1018" t="s">
        <v>365</v>
      </c>
      <c r="E60" s="1018"/>
      <c r="F60" s="1019" t="s">
        <v>24</v>
      </c>
      <c r="G60" s="916">
        <v>135056</v>
      </c>
      <c r="H60" s="916">
        <v>150771</v>
      </c>
      <c r="I60" s="1007">
        <v>184298</v>
      </c>
      <c r="J60" s="1043"/>
      <c r="K60" s="916"/>
      <c r="L60" s="916"/>
      <c r="M60" s="916"/>
      <c r="N60" s="916"/>
      <c r="O60" s="916"/>
      <c r="P60" s="916"/>
      <c r="Q60" s="916"/>
      <c r="R60" s="1009"/>
      <c r="S60" s="1022"/>
      <c r="T60" s="1022"/>
      <c r="U60" s="1022"/>
      <c r="V60" s="1022"/>
      <c r="W60" s="1022"/>
      <c r="X60" s="1022"/>
      <c r="Y60" s="1022"/>
      <c r="Z60" s="1022"/>
      <c r="AA60" s="1022"/>
      <c r="AB60" s="1022"/>
      <c r="AC60" s="1022"/>
      <c r="AD60" s="1022"/>
      <c r="AE60" s="1022"/>
    </row>
    <row r="61" spans="1:31" s="927" customFormat="1" ht="18" customHeight="1">
      <c r="A61" s="898">
        <v>54</v>
      </c>
      <c r="B61" s="1044"/>
      <c r="C61" s="1045"/>
      <c r="D61" s="1045"/>
      <c r="E61" s="1011" t="s">
        <v>283</v>
      </c>
      <c r="F61" s="1046"/>
      <c r="G61" s="1046"/>
      <c r="H61" s="1046"/>
      <c r="I61" s="1013"/>
      <c r="J61" s="1014">
        <f>SUM(K61:R61)</f>
        <v>193542</v>
      </c>
      <c r="K61" s="1015">
        <v>100356</v>
      </c>
      <c r="L61" s="1015">
        <v>13453</v>
      </c>
      <c r="M61" s="1015">
        <v>79319</v>
      </c>
      <c r="N61" s="1015"/>
      <c r="O61" s="1015"/>
      <c r="P61" s="1015">
        <v>414</v>
      </c>
      <c r="Q61" s="1015"/>
      <c r="R61" s="1016"/>
      <c r="S61" s="1017"/>
      <c r="T61" s="1017"/>
      <c r="U61" s="1017"/>
      <c r="V61" s="1017"/>
      <c r="W61" s="1017"/>
      <c r="X61" s="1017"/>
      <c r="Y61" s="1017"/>
      <c r="Z61" s="1017"/>
      <c r="AA61" s="1017"/>
      <c r="AB61" s="1017"/>
      <c r="AC61" s="1017"/>
      <c r="AD61" s="1017"/>
      <c r="AE61" s="1017"/>
    </row>
    <row r="62" spans="1:31" s="940" customFormat="1" ht="18" customHeight="1">
      <c r="A62" s="898">
        <v>55</v>
      </c>
      <c r="B62" s="966"/>
      <c r="C62" s="1005">
        <v>1</v>
      </c>
      <c r="D62" s="1054" t="s">
        <v>137</v>
      </c>
      <c r="E62" s="1054"/>
      <c r="F62" s="1055"/>
      <c r="G62" s="1093">
        <v>1052</v>
      </c>
      <c r="H62" s="1093">
        <v>1054</v>
      </c>
      <c r="I62" s="1094">
        <v>1755</v>
      </c>
      <c r="J62" s="1043"/>
      <c r="K62" s="1023"/>
      <c r="L62" s="1023"/>
      <c r="M62" s="1023"/>
      <c r="N62" s="1056"/>
      <c r="O62" s="1056"/>
      <c r="P62" s="1056"/>
      <c r="Q62" s="1056"/>
      <c r="R62" s="1057"/>
      <c r="S62" s="1095"/>
      <c r="T62" s="1095"/>
      <c r="U62" s="1095"/>
      <c r="V62" s="1095"/>
      <c r="W62" s="1095"/>
      <c r="X62" s="1095"/>
      <c r="Y62" s="1095"/>
      <c r="Z62" s="1095"/>
      <c r="AA62" s="1095"/>
      <c r="AB62" s="1095"/>
      <c r="AC62" s="1095"/>
      <c r="AD62" s="1095"/>
      <c r="AE62" s="1095"/>
    </row>
    <row r="63" spans="1:31" s="927" customFormat="1" ht="18" customHeight="1">
      <c r="A63" s="898">
        <v>56</v>
      </c>
      <c r="B63" s="1044"/>
      <c r="C63" s="1045"/>
      <c r="D63" s="1045"/>
      <c r="E63" s="1073" t="s">
        <v>283</v>
      </c>
      <c r="F63" s="1074"/>
      <c r="G63" s="1046"/>
      <c r="H63" s="1046"/>
      <c r="I63" s="1013"/>
      <c r="J63" s="1014">
        <f>SUM(K63:R63)</f>
        <v>1444</v>
      </c>
      <c r="K63" s="1015">
        <v>1330</v>
      </c>
      <c r="L63" s="1015">
        <v>114</v>
      </c>
      <c r="M63" s="1015"/>
      <c r="N63" s="1015"/>
      <c r="O63" s="1015"/>
      <c r="P63" s="1015"/>
      <c r="Q63" s="1015"/>
      <c r="R63" s="1016"/>
      <c r="S63" s="1017"/>
      <c r="T63" s="1017"/>
      <c r="U63" s="1017"/>
      <c r="V63" s="1017"/>
      <c r="W63" s="1017"/>
      <c r="X63" s="1017"/>
      <c r="Y63" s="1017"/>
      <c r="Z63" s="1017"/>
      <c r="AA63" s="1017"/>
      <c r="AB63" s="1017"/>
      <c r="AC63" s="1017"/>
      <c r="AD63" s="1017"/>
      <c r="AE63" s="1017"/>
    </row>
    <row r="64" spans="1:31" s="940" customFormat="1" ht="33" customHeight="1">
      <c r="A64" s="898">
        <v>57</v>
      </c>
      <c r="B64" s="966"/>
      <c r="C64" s="1053"/>
      <c r="D64" s="1422" t="s">
        <v>541</v>
      </c>
      <c r="E64" s="1453"/>
      <c r="F64" s="1096"/>
      <c r="G64" s="916">
        <v>6992</v>
      </c>
      <c r="H64" s="916"/>
      <c r="I64" s="1007"/>
      <c r="J64" s="1043"/>
      <c r="K64" s="1023"/>
      <c r="L64" s="1023"/>
      <c r="M64" s="1023"/>
      <c r="N64" s="1056"/>
      <c r="O64" s="1056"/>
      <c r="P64" s="1056"/>
      <c r="Q64" s="1056"/>
      <c r="R64" s="1057"/>
      <c r="S64" s="1095"/>
      <c r="T64" s="1095"/>
      <c r="U64" s="1095"/>
      <c r="V64" s="1095"/>
      <c r="W64" s="1095"/>
      <c r="X64" s="1095"/>
      <c r="Y64" s="1095"/>
      <c r="Z64" s="1095"/>
      <c r="AA64" s="1095"/>
      <c r="AB64" s="1095"/>
      <c r="AC64" s="1095"/>
      <c r="AD64" s="1095"/>
      <c r="AE64" s="1095"/>
    </row>
    <row r="65" spans="1:31" s="903" customFormat="1" ht="18" customHeight="1">
      <c r="A65" s="898">
        <v>58</v>
      </c>
      <c r="B65" s="966"/>
      <c r="C65" s="1005">
        <v>2</v>
      </c>
      <c r="D65" s="1081" t="s">
        <v>497</v>
      </c>
      <c r="E65" s="1054"/>
      <c r="F65" s="1055"/>
      <c r="G65" s="916"/>
      <c r="H65" s="916">
        <v>6843</v>
      </c>
      <c r="I65" s="1007">
        <v>6843</v>
      </c>
      <c r="J65" s="1043"/>
      <c r="K65" s="1023"/>
      <c r="L65" s="1023"/>
      <c r="M65" s="1023"/>
      <c r="N65" s="1056"/>
      <c r="O65" s="1056"/>
      <c r="P65" s="1056"/>
      <c r="Q65" s="1056"/>
      <c r="R65" s="1057"/>
      <c r="S65" s="1022"/>
      <c r="T65" s="1022"/>
      <c r="U65" s="1022"/>
      <c r="V65" s="1022"/>
      <c r="W65" s="1022"/>
      <c r="X65" s="1022"/>
      <c r="Y65" s="1022"/>
      <c r="Z65" s="1022"/>
      <c r="AA65" s="1022"/>
      <c r="AB65" s="1022"/>
      <c r="AC65" s="1022"/>
      <c r="AD65" s="1022"/>
      <c r="AE65" s="1022"/>
    </row>
    <row r="66" spans="1:31" s="968" customFormat="1" ht="18" customHeight="1">
      <c r="A66" s="898">
        <v>59</v>
      </c>
      <c r="B66" s="1044"/>
      <c r="C66" s="1045"/>
      <c r="D66" s="1045"/>
      <c r="E66" s="1073" t="s">
        <v>283</v>
      </c>
      <c r="F66" s="1074"/>
      <c r="G66" s="1046"/>
      <c r="H66" s="1046"/>
      <c r="I66" s="1013"/>
      <c r="J66" s="1014">
        <f>SUM(K66:R66)</f>
        <v>3282</v>
      </c>
      <c r="K66" s="1015">
        <v>1188</v>
      </c>
      <c r="L66" s="1015">
        <v>111</v>
      </c>
      <c r="M66" s="1015">
        <v>1983</v>
      </c>
      <c r="N66" s="1015"/>
      <c r="O66" s="1015"/>
      <c r="P66" s="1015"/>
      <c r="Q66" s="1015"/>
      <c r="R66" s="1016"/>
      <c r="S66" s="1075"/>
      <c r="T66" s="1075"/>
      <c r="U66" s="1075"/>
      <c r="V66" s="1075"/>
      <c r="W66" s="1075"/>
      <c r="X66" s="1075"/>
      <c r="Y66" s="1075"/>
      <c r="Z66" s="1075"/>
      <c r="AA66" s="1075"/>
      <c r="AB66" s="1075"/>
      <c r="AC66" s="1075"/>
      <c r="AD66" s="1075"/>
      <c r="AE66" s="1075"/>
    </row>
    <row r="67" spans="1:31" s="968" customFormat="1" ht="33.75" customHeight="1">
      <c r="A67" s="898">
        <v>60</v>
      </c>
      <c r="B67" s="1044"/>
      <c r="C67" s="1076">
        <v>3</v>
      </c>
      <c r="D67" s="1433" t="s">
        <v>709</v>
      </c>
      <c r="E67" s="1434"/>
      <c r="F67" s="1074"/>
      <c r="G67" s="1046"/>
      <c r="H67" s="1079"/>
      <c r="I67" s="1080">
        <v>18876</v>
      </c>
      <c r="J67" s="1014"/>
      <c r="K67" s="1015"/>
      <c r="L67" s="1015"/>
      <c r="M67" s="1015"/>
      <c r="N67" s="1015"/>
      <c r="O67" s="1015"/>
      <c r="P67" s="1015"/>
      <c r="Q67" s="1015"/>
      <c r="R67" s="1016"/>
      <c r="S67" s="1075"/>
      <c r="T67" s="1075"/>
      <c r="U67" s="1075"/>
      <c r="V67" s="1075"/>
      <c r="W67" s="1075"/>
      <c r="X67" s="1075"/>
      <c r="Y67" s="1075"/>
      <c r="Z67" s="1075"/>
      <c r="AA67" s="1075"/>
      <c r="AB67" s="1075"/>
      <c r="AC67" s="1075"/>
      <c r="AD67" s="1075"/>
      <c r="AE67" s="1075"/>
    </row>
    <row r="68" spans="1:31" s="968" customFormat="1" ht="18" customHeight="1">
      <c r="A68" s="898">
        <v>61</v>
      </c>
      <c r="B68" s="1044"/>
      <c r="C68" s="1045"/>
      <c r="D68" s="1045"/>
      <c r="E68" s="1073" t="s">
        <v>283</v>
      </c>
      <c r="F68" s="1074"/>
      <c r="G68" s="1046"/>
      <c r="H68" s="1046"/>
      <c r="I68" s="1013"/>
      <c r="J68" s="1014">
        <f>SUM(K68:R68)</f>
        <v>6161</v>
      </c>
      <c r="K68" s="1015">
        <v>1101</v>
      </c>
      <c r="L68" s="1015">
        <v>704</v>
      </c>
      <c r="M68" s="1015">
        <v>4356</v>
      </c>
      <c r="N68" s="1015"/>
      <c r="O68" s="1015"/>
      <c r="P68" s="1015"/>
      <c r="Q68" s="1015"/>
      <c r="R68" s="1016"/>
      <c r="S68" s="1075"/>
      <c r="T68" s="1075"/>
      <c r="U68" s="1075"/>
      <c r="V68" s="1075"/>
      <c r="W68" s="1075"/>
      <c r="X68" s="1075"/>
      <c r="Y68" s="1075"/>
      <c r="Z68" s="1075"/>
      <c r="AA68" s="1075"/>
      <c r="AB68" s="1075"/>
      <c r="AC68" s="1075"/>
      <c r="AD68" s="1075"/>
      <c r="AE68" s="1075"/>
    </row>
    <row r="69" spans="1:18" ht="22.5" customHeight="1">
      <c r="A69" s="898">
        <v>62</v>
      </c>
      <c r="B69" s="913">
        <v>15</v>
      </c>
      <c r="C69" s="1005"/>
      <c r="D69" s="1018" t="s">
        <v>142</v>
      </c>
      <c r="E69" s="1018"/>
      <c r="F69" s="1019" t="s">
        <v>24</v>
      </c>
      <c r="G69" s="916">
        <v>836545</v>
      </c>
      <c r="H69" s="916">
        <v>747152</v>
      </c>
      <c r="I69" s="1007">
        <v>1025450</v>
      </c>
      <c r="J69" s="1043"/>
      <c r="K69" s="916"/>
      <c r="L69" s="916"/>
      <c r="M69" s="916"/>
      <c r="N69" s="916"/>
      <c r="O69" s="916"/>
      <c r="P69" s="916"/>
      <c r="Q69" s="916"/>
      <c r="R69" s="1009"/>
    </row>
    <row r="70" spans="1:31" s="927" customFormat="1" ht="18" customHeight="1" thickBot="1">
      <c r="A70" s="898">
        <v>63</v>
      </c>
      <c r="B70" s="1044"/>
      <c r="C70" s="1047"/>
      <c r="D70" s="1047"/>
      <c r="E70" s="988" t="s">
        <v>283</v>
      </c>
      <c r="F70" s="1048"/>
      <c r="G70" s="1048"/>
      <c r="H70" s="1048"/>
      <c r="I70" s="1049"/>
      <c r="J70" s="1050">
        <f>SUM(K70:R70)</f>
        <v>833114</v>
      </c>
      <c r="K70" s="1051">
        <v>541710</v>
      </c>
      <c r="L70" s="1051">
        <v>67171</v>
      </c>
      <c r="M70" s="1051">
        <v>224233</v>
      </c>
      <c r="N70" s="1051"/>
      <c r="O70" s="1051"/>
      <c r="P70" s="1051"/>
      <c r="Q70" s="1051"/>
      <c r="R70" s="1052"/>
      <c r="S70" s="1017"/>
      <c r="T70" s="1017"/>
      <c r="U70" s="1017"/>
      <c r="V70" s="1017"/>
      <c r="W70" s="1017"/>
      <c r="X70" s="1017"/>
      <c r="Y70" s="1017"/>
      <c r="Z70" s="1017"/>
      <c r="AA70" s="1017"/>
      <c r="AB70" s="1017"/>
      <c r="AC70" s="1017"/>
      <c r="AD70" s="1017"/>
      <c r="AE70" s="1017"/>
    </row>
    <row r="71" spans="1:31" s="1068" customFormat="1" ht="22.5" customHeight="1" thickTop="1">
      <c r="A71" s="898">
        <v>64</v>
      </c>
      <c r="B71" s="1026"/>
      <c r="C71" s="1454" t="s">
        <v>417</v>
      </c>
      <c r="D71" s="1455"/>
      <c r="E71" s="1456"/>
      <c r="F71" s="1097"/>
      <c r="G71" s="1027">
        <f>SUM(G38:G70)</f>
        <v>2191996</v>
      </c>
      <c r="H71" s="1027">
        <f>SUM(H38:H70)</f>
        <v>2340076</v>
      </c>
      <c r="I71" s="1098">
        <f>SUM(I38:I70)</f>
        <v>2960424</v>
      </c>
      <c r="J71" s="1099"/>
      <c r="K71" s="1065"/>
      <c r="L71" s="1065"/>
      <c r="M71" s="1065"/>
      <c r="N71" s="1065"/>
      <c r="O71" s="1065"/>
      <c r="P71" s="1065"/>
      <c r="Q71" s="1065"/>
      <c r="R71" s="1066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1067"/>
      <c r="AD71" s="1067"/>
      <c r="AE71" s="1067"/>
    </row>
    <row r="72" spans="1:31" s="927" customFormat="1" ht="18" customHeight="1" thickBot="1">
      <c r="A72" s="898">
        <v>65</v>
      </c>
      <c r="B72" s="1044"/>
      <c r="C72" s="1069"/>
      <c r="D72" s="1070"/>
      <c r="E72" s="1071" t="s">
        <v>283</v>
      </c>
      <c r="F72" s="1072"/>
      <c r="G72" s="1072"/>
      <c r="H72" s="1072"/>
      <c r="I72" s="1037"/>
      <c r="J72" s="1038">
        <f>SUM(K72:R72)</f>
        <v>2558904</v>
      </c>
      <c r="K72" s="1039">
        <f>SUM(K39,K41,K45,K51,K53,K55,K61,K63,K70,K47,K59,K66,K43,K49,K57,K68)</f>
        <v>1373310</v>
      </c>
      <c r="L72" s="1039">
        <f aca="true" t="shared" si="2" ref="L72:R72">SUM(L39,L41,L45,L51,L53,L55,L61,L63,L70,L47,L59,L66,L43,L49,L57,L68)</f>
        <v>188271</v>
      </c>
      <c r="M72" s="1039">
        <f t="shared" si="2"/>
        <v>883334</v>
      </c>
      <c r="N72" s="1039">
        <f t="shared" si="2"/>
        <v>0</v>
      </c>
      <c r="O72" s="1039">
        <f t="shared" si="2"/>
        <v>1200</v>
      </c>
      <c r="P72" s="1039">
        <f t="shared" si="2"/>
        <v>112789</v>
      </c>
      <c r="Q72" s="1039">
        <f t="shared" si="2"/>
        <v>0</v>
      </c>
      <c r="R72" s="1040">
        <f t="shared" si="2"/>
        <v>0</v>
      </c>
      <c r="S72" s="1017"/>
      <c r="T72" s="1017"/>
      <c r="U72" s="1017"/>
      <c r="V72" s="1017"/>
      <c r="W72" s="1017"/>
      <c r="X72" s="1017"/>
      <c r="Y72" s="1017"/>
      <c r="Z72" s="1017"/>
      <c r="AA72" s="1017"/>
      <c r="AB72" s="1017"/>
      <c r="AC72" s="1017"/>
      <c r="AD72" s="1017"/>
      <c r="AE72" s="1017"/>
    </row>
    <row r="73" spans="1:31" s="960" customFormat="1" ht="22.5" customHeight="1" thickTop="1">
      <c r="A73" s="898">
        <v>66</v>
      </c>
      <c r="B73" s="906">
        <v>16</v>
      </c>
      <c r="C73" s="999"/>
      <c r="D73" s="1100" t="s">
        <v>251</v>
      </c>
      <c r="E73" s="1100"/>
      <c r="F73" s="1001" t="s">
        <v>23</v>
      </c>
      <c r="G73" s="910">
        <v>743417</v>
      </c>
      <c r="H73" s="910">
        <v>1199812</v>
      </c>
      <c r="I73" s="1002">
        <v>1188246</v>
      </c>
      <c r="J73" s="1042"/>
      <c r="K73" s="910"/>
      <c r="L73" s="910"/>
      <c r="M73" s="910"/>
      <c r="N73" s="910"/>
      <c r="O73" s="910"/>
      <c r="P73" s="910"/>
      <c r="Q73" s="910"/>
      <c r="R73" s="1004"/>
      <c r="S73" s="1020"/>
      <c r="T73" s="1020"/>
      <c r="U73" s="1020"/>
      <c r="V73" s="1020"/>
      <c r="W73" s="1020"/>
      <c r="X73" s="1020"/>
      <c r="Y73" s="1020"/>
      <c r="Z73" s="1020"/>
      <c r="AA73" s="1020"/>
      <c r="AB73" s="1020"/>
      <c r="AC73" s="1020"/>
      <c r="AD73" s="1020"/>
      <c r="AE73" s="1020"/>
    </row>
    <row r="74" spans="1:31" s="939" customFormat="1" ht="18" customHeight="1" thickBot="1">
      <c r="A74" s="898">
        <v>67</v>
      </c>
      <c r="B74" s="1101"/>
      <c r="C74" s="1102"/>
      <c r="D74" s="1102"/>
      <c r="E74" s="1103" t="s">
        <v>283</v>
      </c>
      <c r="F74" s="1104"/>
      <c r="G74" s="1104"/>
      <c r="H74" s="1104"/>
      <c r="I74" s="1105"/>
      <c r="J74" s="1106">
        <f>SUM(K74:R74)</f>
        <v>1370985</v>
      </c>
      <c r="K74" s="1107">
        <v>215144</v>
      </c>
      <c r="L74" s="1107">
        <v>33952</v>
      </c>
      <c r="M74" s="1107">
        <v>1121816</v>
      </c>
      <c r="N74" s="1107"/>
      <c r="O74" s="1107"/>
      <c r="P74" s="1107">
        <v>73</v>
      </c>
      <c r="Q74" s="1107"/>
      <c r="R74" s="1108"/>
      <c r="S74" s="1021"/>
      <c r="T74" s="1021"/>
      <c r="U74" s="1021"/>
      <c r="V74" s="1021"/>
      <c r="W74" s="1021"/>
      <c r="X74" s="1021"/>
      <c r="Y74" s="1021"/>
      <c r="Z74" s="1021"/>
      <c r="AA74" s="1021"/>
      <c r="AB74" s="1021"/>
      <c r="AC74" s="1021"/>
      <c r="AD74" s="1021"/>
      <c r="AE74" s="1021"/>
    </row>
    <row r="75" spans="1:31" s="932" customFormat="1" ht="36" customHeight="1">
      <c r="A75" s="898">
        <v>68</v>
      </c>
      <c r="B75" s="1430" t="s">
        <v>143</v>
      </c>
      <c r="C75" s="1431"/>
      <c r="D75" s="1431"/>
      <c r="E75" s="1432"/>
      <c r="F75" s="1109"/>
      <c r="G75" s="1110">
        <f>SUM(G73,G71,G36,G26)</f>
        <v>6169480</v>
      </c>
      <c r="H75" s="1110">
        <f>SUM(H73,H71,H36,H26)</f>
        <v>6945818</v>
      </c>
      <c r="I75" s="1111">
        <f>SUM(I73,I71,I36,I26)</f>
        <v>7852656</v>
      </c>
      <c r="J75" s="1112"/>
      <c r="K75" s="1113"/>
      <c r="L75" s="1113"/>
      <c r="M75" s="1113"/>
      <c r="N75" s="1113"/>
      <c r="O75" s="1113"/>
      <c r="P75" s="1113"/>
      <c r="Q75" s="1113"/>
      <c r="R75" s="1114"/>
      <c r="S75" s="1115"/>
      <c r="T75" s="1115"/>
      <c r="U75" s="1115"/>
      <c r="V75" s="1115"/>
      <c r="W75" s="1115"/>
      <c r="X75" s="1115"/>
      <c r="Y75" s="1115"/>
      <c r="Z75" s="1115"/>
      <c r="AA75" s="1115"/>
      <c r="AB75" s="1115"/>
      <c r="AC75" s="1115"/>
      <c r="AD75" s="1115"/>
      <c r="AE75" s="1115"/>
    </row>
    <row r="76" spans="1:31" s="927" customFormat="1" ht="18" customHeight="1" thickBot="1">
      <c r="A76" s="898">
        <v>69</v>
      </c>
      <c r="B76" s="1101"/>
      <c r="C76" s="1102"/>
      <c r="D76" s="1102"/>
      <c r="E76" s="1103" t="s">
        <v>283</v>
      </c>
      <c r="F76" s="1104"/>
      <c r="G76" s="1104"/>
      <c r="H76" s="1104"/>
      <c r="I76" s="1105"/>
      <c r="J76" s="1106">
        <f>SUM(K76:R76)</f>
        <v>7823516</v>
      </c>
      <c r="K76" s="1107">
        <f aca="true" t="shared" si="3" ref="K76:R76">SUM(K74,K72,K37,K27)</f>
        <v>4302843</v>
      </c>
      <c r="L76" s="1107">
        <f t="shared" si="3"/>
        <v>636161</v>
      </c>
      <c r="M76" s="1107">
        <f t="shared" si="3"/>
        <v>2756855</v>
      </c>
      <c r="N76" s="1107">
        <f t="shared" si="3"/>
        <v>0</v>
      </c>
      <c r="O76" s="1107">
        <f t="shared" si="3"/>
        <v>1200</v>
      </c>
      <c r="P76" s="1107">
        <f t="shared" si="3"/>
        <v>126457</v>
      </c>
      <c r="Q76" s="1107">
        <f t="shared" si="3"/>
        <v>0</v>
      </c>
      <c r="R76" s="1108">
        <f t="shared" si="3"/>
        <v>0</v>
      </c>
      <c r="S76" s="1017"/>
      <c r="T76" s="1017"/>
      <c r="U76" s="1017"/>
      <c r="V76" s="1017"/>
      <c r="W76" s="1017"/>
      <c r="X76" s="1017"/>
      <c r="Y76" s="1017"/>
      <c r="Z76" s="1017"/>
      <c r="AA76" s="1017"/>
      <c r="AB76" s="1017"/>
      <c r="AC76" s="1017"/>
      <c r="AD76" s="1017"/>
      <c r="AE76" s="1017"/>
    </row>
    <row r="77" spans="1:31" s="960" customFormat="1" ht="22.5" customHeight="1">
      <c r="A77" s="898">
        <v>70</v>
      </c>
      <c r="B77" s="1116">
        <v>17</v>
      </c>
      <c r="C77" s="1117"/>
      <c r="D77" s="1118" t="s">
        <v>26</v>
      </c>
      <c r="E77" s="1119"/>
      <c r="F77" s="982" t="s">
        <v>23</v>
      </c>
      <c r="G77" s="1120"/>
      <c r="H77" s="1120"/>
      <c r="I77" s="1121"/>
      <c r="J77" s="1122"/>
      <c r="K77" s="1120"/>
      <c r="L77" s="1120"/>
      <c r="M77" s="1120"/>
      <c r="N77" s="1120"/>
      <c r="O77" s="1120"/>
      <c r="P77" s="1120"/>
      <c r="Q77" s="1120"/>
      <c r="R77" s="1123"/>
      <c r="S77" s="1020"/>
      <c r="T77" s="1020"/>
      <c r="U77" s="1020"/>
      <c r="V77" s="1020"/>
      <c r="W77" s="1020"/>
      <c r="X77" s="1020"/>
      <c r="Y77" s="1020"/>
      <c r="Z77" s="1020"/>
      <c r="AA77" s="1020"/>
      <c r="AB77" s="1020"/>
      <c r="AC77" s="1020"/>
      <c r="AD77" s="1020"/>
      <c r="AE77" s="1020"/>
    </row>
    <row r="78" spans="1:31" s="1125" customFormat="1" ht="19.5" customHeight="1">
      <c r="A78" s="898">
        <v>71</v>
      </c>
      <c r="B78" s="913"/>
      <c r="C78" s="914">
        <v>1</v>
      </c>
      <c r="D78" s="1124" t="s">
        <v>150</v>
      </c>
      <c r="E78" s="1124"/>
      <c r="F78" s="1019"/>
      <c r="G78" s="916">
        <v>1222872</v>
      </c>
      <c r="H78" s="916">
        <v>1380645</v>
      </c>
      <c r="I78" s="1007">
        <v>1563484</v>
      </c>
      <c r="J78" s="1043"/>
      <c r="K78" s="916"/>
      <c r="L78" s="916"/>
      <c r="M78" s="916"/>
      <c r="N78" s="916"/>
      <c r="O78" s="916"/>
      <c r="P78" s="916"/>
      <c r="Q78" s="916"/>
      <c r="R78" s="1009"/>
      <c r="S78" s="460"/>
      <c r="T78" s="997"/>
      <c r="U78" s="997"/>
      <c r="V78" s="997"/>
      <c r="W78" s="997"/>
      <c r="X78" s="997"/>
      <c r="Y78" s="997"/>
      <c r="Z78" s="997"/>
      <c r="AA78" s="997"/>
      <c r="AB78" s="997"/>
      <c r="AC78" s="997"/>
      <c r="AD78" s="997"/>
      <c r="AE78" s="997"/>
    </row>
    <row r="79" spans="1:31" s="939" customFormat="1" ht="18" customHeight="1">
      <c r="A79" s="898">
        <v>72</v>
      </c>
      <c r="B79" s="1044"/>
      <c r="C79" s="1126"/>
      <c r="D79" s="1045"/>
      <c r="E79" s="1127" t="s">
        <v>283</v>
      </c>
      <c r="F79" s="1128"/>
      <c r="G79" s="1046"/>
      <c r="H79" s="1046"/>
      <c r="I79" s="1013"/>
      <c r="J79" s="1014">
        <f>SUM(K79:R79)</f>
        <v>1510422</v>
      </c>
      <c r="K79" s="1230">
        <v>1263305</v>
      </c>
      <c r="L79" s="1015">
        <v>193517</v>
      </c>
      <c r="M79" s="1015">
        <v>53600</v>
      </c>
      <c r="N79" s="1015"/>
      <c r="O79" s="1015"/>
      <c r="P79" s="1015"/>
      <c r="Q79" s="1015"/>
      <c r="R79" s="1016"/>
      <c r="S79" s="1021"/>
      <c r="T79" s="1021"/>
      <c r="U79" s="1021"/>
      <c r="V79" s="1021"/>
      <c r="W79" s="1021"/>
      <c r="X79" s="1021"/>
      <c r="Y79" s="1021"/>
      <c r="Z79" s="1021"/>
      <c r="AA79" s="1021"/>
      <c r="AB79" s="1021"/>
      <c r="AC79" s="1021"/>
      <c r="AD79" s="1021"/>
      <c r="AE79" s="1021"/>
    </row>
    <row r="80" spans="1:31" s="1134" customFormat="1" ht="19.5" customHeight="1">
      <c r="A80" s="898">
        <v>73</v>
      </c>
      <c r="B80" s="1129"/>
      <c r="C80" s="1130"/>
      <c r="D80" s="1457" t="s">
        <v>712</v>
      </c>
      <c r="E80" s="1458"/>
      <c r="F80" s="1131"/>
      <c r="G80" s="919"/>
      <c r="H80" s="919"/>
      <c r="I80" s="1085"/>
      <c r="J80" s="1043"/>
      <c r="K80" s="919"/>
      <c r="L80" s="919"/>
      <c r="M80" s="919"/>
      <c r="N80" s="919"/>
      <c r="O80" s="919"/>
      <c r="P80" s="919"/>
      <c r="Q80" s="919"/>
      <c r="R80" s="1132"/>
      <c r="S80" s="459"/>
      <c r="T80" s="1133"/>
      <c r="U80" s="1133"/>
      <c r="V80" s="1133"/>
      <c r="W80" s="1133"/>
      <c r="X80" s="1133"/>
      <c r="Y80" s="1133"/>
      <c r="Z80" s="1133"/>
      <c r="AA80" s="1133"/>
      <c r="AB80" s="1133"/>
      <c r="AC80" s="1133"/>
      <c r="AD80" s="1133"/>
      <c r="AE80" s="1133"/>
    </row>
    <row r="81" spans="1:31" s="1139" customFormat="1" ht="18" customHeight="1">
      <c r="A81" s="898">
        <v>74</v>
      </c>
      <c r="B81" s="1026"/>
      <c r="C81" s="1135"/>
      <c r="D81" s="1086"/>
      <c r="E81" s="1136" t="s">
        <v>283</v>
      </c>
      <c r="F81" s="1137"/>
      <c r="G81" s="1088"/>
      <c r="H81" s="1088"/>
      <c r="I81" s="1089"/>
      <c r="J81" s="1090">
        <f>SUM(K81:R81)</f>
        <v>38693</v>
      </c>
      <c r="K81" s="1091">
        <v>33500</v>
      </c>
      <c r="L81" s="1091">
        <v>5193</v>
      </c>
      <c r="M81" s="1091"/>
      <c r="N81" s="1091"/>
      <c r="O81" s="1091"/>
      <c r="P81" s="1091"/>
      <c r="Q81" s="1091"/>
      <c r="R81" s="1092"/>
      <c r="S81" s="1138"/>
      <c r="T81" s="1138"/>
      <c r="U81" s="1138"/>
      <c r="V81" s="1138"/>
      <c r="W81" s="1138"/>
      <c r="X81" s="1138"/>
      <c r="Y81" s="1138"/>
      <c r="Z81" s="1138"/>
      <c r="AA81" s="1138"/>
      <c r="AB81" s="1138"/>
      <c r="AC81" s="1138"/>
      <c r="AD81" s="1138"/>
      <c r="AE81" s="1138"/>
    </row>
    <row r="82" spans="1:31" s="960" customFormat="1" ht="19.5" customHeight="1">
      <c r="A82" s="898">
        <v>75</v>
      </c>
      <c r="B82" s="913"/>
      <c r="C82" s="914">
        <v>2</v>
      </c>
      <c r="D82" s="1124" t="s">
        <v>151</v>
      </c>
      <c r="E82" s="1124"/>
      <c r="F82" s="1019"/>
      <c r="G82" s="916">
        <v>135967</v>
      </c>
      <c r="H82" s="916">
        <v>204402</v>
      </c>
      <c r="I82" s="1007">
        <v>352991</v>
      </c>
      <c r="J82" s="1043"/>
      <c r="K82" s="916"/>
      <c r="L82" s="916"/>
      <c r="M82" s="916"/>
      <c r="N82" s="916"/>
      <c r="O82" s="916"/>
      <c r="P82" s="916"/>
      <c r="Q82" s="916"/>
      <c r="R82" s="1009"/>
      <c r="S82" s="1020"/>
      <c r="T82" s="1020"/>
      <c r="U82" s="1020"/>
      <c r="V82" s="1020"/>
      <c r="W82" s="1020"/>
      <c r="X82" s="1020"/>
      <c r="Y82" s="1020"/>
      <c r="Z82" s="1020"/>
      <c r="AA82" s="1020"/>
      <c r="AB82" s="1020"/>
      <c r="AC82" s="1020"/>
      <c r="AD82" s="1020"/>
      <c r="AE82" s="1020"/>
    </row>
    <row r="83" spans="1:31" s="939" customFormat="1" ht="18" customHeight="1">
      <c r="A83" s="898">
        <v>76</v>
      </c>
      <c r="B83" s="1044"/>
      <c r="C83" s="1126"/>
      <c r="D83" s="1045"/>
      <c r="E83" s="1127" t="s">
        <v>283</v>
      </c>
      <c r="F83" s="1128"/>
      <c r="G83" s="1046"/>
      <c r="H83" s="1046"/>
      <c r="I83" s="1013"/>
      <c r="J83" s="1014">
        <f>SUM(K83:R83)</f>
        <v>273349</v>
      </c>
      <c r="K83" s="1015">
        <v>3200</v>
      </c>
      <c r="L83" s="1015">
        <v>1471</v>
      </c>
      <c r="M83" s="1015">
        <v>217478</v>
      </c>
      <c r="N83" s="1015"/>
      <c r="O83" s="1015"/>
      <c r="P83" s="1015">
        <v>51200</v>
      </c>
      <c r="Q83" s="1015"/>
      <c r="R83" s="1016"/>
      <c r="S83" s="1021"/>
      <c r="T83" s="1021"/>
      <c r="U83" s="1021"/>
      <c r="V83" s="1021"/>
      <c r="W83" s="1021"/>
      <c r="X83" s="1021"/>
      <c r="Y83" s="1021"/>
      <c r="Z83" s="1021"/>
      <c r="AA83" s="1021"/>
      <c r="AB83" s="1021"/>
      <c r="AC83" s="1021"/>
      <c r="AD83" s="1021"/>
      <c r="AE83" s="1021"/>
    </row>
    <row r="84" spans="1:31" s="960" customFormat="1" ht="19.5" customHeight="1">
      <c r="A84" s="898">
        <v>77</v>
      </c>
      <c r="B84" s="913"/>
      <c r="C84" s="914">
        <v>3</v>
      </c>
      <c r="D84" s="1124" t="s">
        <v>33</v>
      </c>
      <c r="E84" s="1124"/>
      <c r="F84" s="1019"/>
      <c r="G84" s="916">
        <v>85976</v>
      </c>
      <c r="H84" s="916">
        <v>101862</v>
      </c>
      <c r="I84" s="1007">
        <v>133682</v>
      </c>
      <c r="J84" s="1043"/>
      <c r="K84" s="916"/>
      <c r="L84" s="916"/>
      <c r="M84" s="916"/>
      <c r="N84" s="916"/>
      <c r="O84" s="916"/>
      <c r="P84" s="916"/>
      <c r="Q84" s="916"/>
      <c r="R84" s="1009"/>
      <c r="S84" s="1020"/>
      <c r="T84" s="1020"/>
      <c r="U84" s="1020"/>
      <c r="V84" s="1020"/>
      <c r="W84" s="1020"/>
      <c r="X84" s="1020"/>
      <c r="Y84" s="1020"/>
      <c r="Z84" s="1020"/>
      <c r="AA84" s="1020"/>
      <c r="AB84" s="1020"/>
      <c r="AC84" s="1020"/>
      <c r="AD84" s="1020"/>
      <c r="AE84" s="1020"/>
    </row>
    <row r="85" spans="1:31" s="939" customFormat="1" ht="18" customHeight="1">
      <c r="A85" s="898">
        <v>78</v>
      </c>
      <c r="B85" s="1044"/>
      <c r="C85" s="1126"/>
      <c r="D85" s="1045"/>
      <c r="E85" s="1127" t="s">
        <v>283</v>
      </c>
      <c r="F85" s="1128"/>
      <c r="G85" s="1046"/>
      <c r="H85" s="1046"/>
      <c r="I85" s="1013"/>
      <c r="J85" s="1014">
        <f>SUM(K85:R85)</f>
        <v>108699</v>
      </c>
      <c r="K85" s="1015"/>
      <c r="L85" s="1015"/>
      <c r="M85" s="1015">
        <f>108699-16900</f>
        <v>91799</v>
      </c>
      <c r="N85" s="1015"/>
      <c r="O85" s="1015"/>
      <c r="P85" s="1015">
        <v>16900</v>
      </c>
      <c r="Q85" s="1015"/>
      <c r="R85" s="1016"/>
      <c r="S85" s="1021"/>
      <c r="T85" s="1021"/>
      <c r="U85" s="1021"/>
      <c r="V85" s="1021"/>
      <c r="W85" s="1021"/>
      <c r="X85" s="1021"/>
      <c r="Y85" s="1021"/>
      <c r="Z85" s="1021"/>
      <c r="AA85" s="1021"/>
      <c r="AB85" s="1021"/>
      <c r="AC85" s="1021"/>
      <c r="AD85" s="1021"/>
      <c r="AE85" s="1021"/>
    </row>
    <row r="86" spans="1:31" s="960" customFormat="1" ht="19.5" customHeight="1">
      <c r="A86" s="898">
        <v>79</v>
      </c>
      <c r="B86" s="913"/>
      <c r="C86" s="914">
        <v>4</v>
      </c>
      <c r="D86" s="1124" t="s">
        <v>537</v>
      </c>
      <c r="E86" s="1124"/>
      <c r="F86" s="1019"/>
      <c r="G86" s="916">
        <v>71</v>
      </c>
      <c r="H86" s="916">
        <v>7631</v>
      </c>
      <c r="I86" s="1007">
        <v>21532</v>
      </c>
      <c r="J86" s="1043"/>
      <c r="K86" s="916"/>
      <c r="L86" s="916"/>
      <c r="M86" s="916"/>
      <c r="N86" s="916"/>
      <c r="O86" s="916"/>
      <c r="P86" s="916"/>
      <c r="Q86" s="916"/>
      <c r="R86" s="1009"/>
      <c r="S86" s="1020"/>
      <c r="T86" s="1020"/>
      <c r="U86" s="1020"/>
      <c r="V86" s="1020"/>
      <c r="W86" s="1020"/>
      <c r="X86" s="1020"/>
      <c r="Y86" s="1020"/>
      <c r="Z86" s="1020"/>
      <c r="AA86" s="1020"/>
      <c r="AB86" s="1020"/>
      <c r="AC86" s="1020"/>
      <c r="AD86" s="1020"/>
      <c r="AE86" s="1020"/>
    </row>
    <row r="87" spans="1:31" s="939" customFormat="1" ht="18" customHeight="1">
      <c r="A87" s="898">
        <v>80</v>
      </c>
      <c r="B87" s="1044"/>
      <c r="C87" s="1126"/>
      <c r="D87" s="1045"/>
      <c r="E87" s="1127" t="s">
        <v>283</v>
      </c>
      <c r="F87" s="1128"/>
      <c r="G87" s="1046"/>
      <c r="H87" s="1046"/>
      <c r="I87" s="1013"/>
      <c r="J87" s="1014">
        <f>SUM(K87:R87)</f>
        <v>0</v>
      </c>
      <c r="K87" s="1015"/>
      <c r="L87" s="1015"/>
      <c r="M87" s="1015"/>
      <c r="N87" s="1015"/>
      <c r="O87" s="1015"/>
      <c r="P87" s="1015"/>
      <c r="Q87" s="1015"/>
      <c r="R87" s="1016"/>
      <c r="S87" s="1021"/>
      <c r="T87" s="1021"/>
      <c r="U87" s="1021"/>
      <c r="V87" s="1021"/>
      <c r="W87" s="1021"/>
      <c r="X87" s="1021"/>
      <c r="Y87" s="1021"/>
      <c r="Z87" s="1021"/>
      <c r="AA87" s="1021"/>
      <c r="AB87" s="1021"/>
      <c r="AC87" s="1021"/>
      <c r="AD87" s="1021"/>
      <c r="AE87" s="1021"/>
    </row>
    <row r="88" spans="1:31" s="960" customFormat="1" ht="30" customHeight="1">
      <c r="A88" s="898">
        <v>81</v>
      </c>
      <c r="B88" s="1044"/>
      <c r="C88" s="959">
        <v>5</v>
      </c>
      <c r="D88" s="1422" t="s">
        <v>397</v>
      </c>
      <c r="E88" s="1423"/>
      <c r="F88" s="1019"/>
      <c r="G88" s="1079"/>
      <c r="H88" s="1079">
        <v>3250</v>
      </c>
      <c r="I88" s="1080">
        <v>0</v>
      </c>
      <c r="J88" s="1008"/>
      <c r="K88" s="1140"/>
      <c r="L88" s="1140"/>
      <c r="M88" s="1141"/>
      <c r="N88" s="1141"/>
      <c r="O88" s="1141"/>
      <c r="P88" s="1141"/>
      <c r="Q88" s="1141"/>
      <c r="R88" s="1142"/>
      <c r="S88" s="1020"/>
      <c r="T88" s="1020"/>
      <c r="U88" s="1020"/>
      <c r="V88" s="1020"/>
      <c r="W88" s="1020"/>
      <c r="X88" s="1020"/>
      <c r="Y88" s="1020"/>
      <c r="Z88" s="1020"/>
      <c r="AA88" s="1020"/>
      <c r="AB88" s="1020"/>
      <c r="AC88" s="1020"/>
      <c r="AD88" s="1020"/>
      <c r="AE88" s="1020"/>
    </row>
    <row r="89" spans="1:31" s="927" customFormat="1" ht="18" customHeight="1">
      <c r="A89" s="898">
        <v>82</v>
      </c>
      <c r="B89" s="1044"/>
      <c r="C89" s="1126"/>
      <c r="D89" s="1045"/>
      <c r="E89" s="1127" t="s">
        <v>283</v>
      </c>
      <c r="F89" s="1143"/>
      <c r="G89" s="1046"/>
      <c r="H89" s="1046"/>
      <c r="I89" s="1013"/>
      <c r="J89" s="1014">
        <f>SUM(K89:R89)</f>
        <v>0</v>
      </c>
      <c r="K89" s="1144"/>
      <c r="L89" s="1144"/>
      <c r="M89" s="1144"/>
      <c r="N89" s="1144"/>
      <c r="O89" s="1144"/>
      <c r="P89" s="1144"/>
      <c r="Q89" s="1144"/>
      <c r="R89" s="1145"/>
      <c r="S89" s="1017"/>
      <c r="T89" s="1017"/>
      <c r="U89" s="1017"/>
      <c r="V89" s="1017"/>
      <c r="W89" s="1017"/>
      <c r="X89" s="1017"/>
      <c r="Y89" s="1017"/>
      <c r="Z89" s="1017"/>
      <c r="AA89" s="1017"/>
      <c r="AB89" s="1017"/>
      <c r="AC89" s="1017"/>
      <c r="AD89" s="1017"/>
      <c r="AE89" s="1017"/>
    </row>
    <row r="90" spans="1:31" s="960" customFormat="1" ht="35.25" customHeight="1">
      <c r="A90" s="898">
        <v>83</v>
      </c>
      <c r="B90" s="1044"/>
      <c r="C90" s="959">
        <v>6</v>
      </c>
      <c r="D90" s="1459" t="s">
        <v>501</v>
      </c>
      <c r="E90" s="1460"/>
      <c r="F90" s="1461"/>
      <c r="G90" s="1079"/>
      <c r="H90" s="1079">
        <v>6000</v>
      </c>
      <c r="I90" s="1080">
        <v>0</v>
      </c>
      <c r="J90" s="1008"/>
      <c r="K90" s="1141"/>
      <c r="L90" s="1141"/>
      <c r="M90" s="1141"/>
      <c r="N90" s="1141"/>
      <c r="O90" s="1141"/>
      <c r="P90" s="1141"/>
      <c r="Q90" s="1141"/>
      <c r="R90" s="1142"/>
      <c r="S90" s="1020"/>
      <c r="T90" s="1020"/>
      <c r="U90" s="1020"/>
      <c r="V90" s="1020"/>
      <c r="W90" s="1020"/>
      <c r="X90" s="1020"/>
      <c r="Y90" s="1020"/>
      <c r="Z90" s="1020"/>
      <c r="AA90" s="1020"/>
      <c r="AB90" s="1020"/>
      <c r="AC90" s="1020"/>
      <c r="AD90" s="1020"/>
      <c r="AE90" s="1020"/>
    </row>
    <row r="91" spans="1:31" s="927" customFormat="1" ht="18" customHeight="1">
      <c r="A91" s="898">
        <v>84</v>
      </c>
      <c r="B91" s="1044"/>
      <c r="C91" s="1126"/>
      <c r="D91" s="1045"/>
      <c r="E91" s="1127" t="s">
        <v>283</v>
      </c>
      <c r="F91" s="1143"/>
      <c r="G91" s="1046"/>
      <c r="H91" s="1046"/>
      <c r="I91" s="1013"/>
      <c r="J91" s="1014">
        <f>SUM(K91:R91)</f>
        <v>0</v>
      </c>
      <c r="K91" s="1144"/>
      <c r="L91" s="1144"/>
      <c r="M91" s="1144"/>
      <c r="N91" s="1144"/>
      <c r="O91" s="1144"/>
      <c r="P91" s="1144"/>
      <c r="Q91" s="1144"/>
      <c r="R91" s="1145"/>
      <c r="S91" s="1017"/>
      <c r="T91" s="1017"/>
      <c r="U91" s="1017"/>
      <c r="V91" s="1017"/>
      <c r="W91" s="1017"/>
      <c r="X91" s="1017"/>
      <c r="Y91" s="1017"/>
      <c r="Z91" s="1017"/>
      <c r="AA91" s="1017"/>
      <c r="AB91" s="1017"/>
      <c r="AC91" s="1017"/>
      <c r="AD91" s="1017"/>
      <c r="AE91" s="1017"/>
    </row>
    <row r="92" spans="1:31" s="903" customFormat="1" ht="30" customHeight="1">
      <c r="A92" s="898">
        <v>85</v>
      </c>
      <c r="B92" s="1044"/>
      <c r="C92" s="959">
        <v>7</v>
      </c>
      <c r="D92" s="1462" t="s">
        <v>359</v>
      </c>
      <c r="E92" s="1463"/>
      <c r="F92" s="1146"/>
      <c r="G92" s="1079"/>
      <c r="H92" s="1079">
        <v>5962</v>
      </c>
      <c r="I92" s="1080">
        <v>0</v>
      </c>
      <c r="J92" s="1008"/>
      <c r="K92" s="1141"/>
      <c r="L92" s="1141"/>
      <c r="M92" s="1141"/>
      <c r="N92" s="1141"/>
      <c r="O92" s="1141"/>
      <c r="P92" s="1141"/>
      <c r="Q92" s="1141"/>
      <c r="R92" s="1142"/>
      <c r="S92" s="1022"/>
      <c r="T92" s="1022"/>
      <c r="U92" s="1022"/>
      <c r="V92" s="1022"/>
      <c r="W92" s="1022"/>
      <c r="X92" s="1022"/>
      <c r="Y92" s="1022"/>
      <c r="Z92" s="1022"/>
      <c r="AA92" s="1022"/>
      <c r="AB92" s="1022"/>
      <c r="AC92" s="1022"/>
      <c r="AD92" s="1022"/>
      <c r="AE92" s="1022"/>
    </row>
    <row r="93" spans="1:31" s="927" customFormat="1" ht="18" customHeight="1">
      <c r="A93" s="898">
        <v>86</v>
      </c>
      <c r="B93" s="1044"/>
      <c r="C93" s="1126"/>
      <c r="D93" s="1045"/>
      <c r="E93" s="1127" t="s">
        <v>283</v>
      </c>
      <c r="F93" s="1143"/>
      <c r="G93" s="1046"/>
      <c r="H93" s="1046"/>
      <c r="I93" s="1013"/>
      <c r="J93" s="1014">
        <f>SUM(K93:R93)</f>
        <v>0</v>
      </c>
      <c r="K93" s="1144"/>
      <c r="L93" s="1144"/>
      <c r="M93" s="1144"/>
      <c r="N93" s="1144"/>
      <c r="O93" s="1144"/>
      <c r="P93" s="1144"/>
      <c r="Q93" s="1144"/>
      <c r="R93" s="1145"/>
      <c r="S93" s="1017"/>
      <c r="T93" s="1017"/>
      <c r="U93" s="1017"/>
      <c r="V93" s="1017"/>
      <c r="W93" s="1017"/>
      <c r="X93" s="1017"/>
      <c r="Y93" s="1017"/>
      <c r="Z93" s="1017"/>
      <c r="AA93" s="1017"/>
      <c r="AB93" s="1017"/>
      <c r="AC93" s="1017"/>
      <c r="AD93" s="1017"/>
      <c r="AE93" s="1017"/>
    </row>
    <row r="94" spans="1:31" s="903" customFormat="1" ht="19.5" customHeight="1">
      <c r="A94" s="898">
        <v>87</v>
      </c>
      <c r="B94" s="1044"/>
      <c r="C94" s="914">
        <v>8</v>
      </c>
      <c r="D94" s="1124" t="s">
        <v>375</v>
      </c>
      <c r="E94" s="1147"/>
      <c r="F94" s="1096"/>
      <c r="G94" s="1079"/>
      <c r="H94" s="1079">
        <v>12000</v>
      </c>
      <c r="I94" s="1080">
        <v>12000</v>
      </c>
      <c r="J94" s="1008"/>
      <c r="K94" s="1141"/>
      <c r="L94" s="1141"/>
      <c r="M94" s="1141"/>
      <c r="N94" s="1141"/>
      <c r="O94" s="1141"/>
      <c r="P94" s="1141"/>
      <c r="Q94" s="1141"/>
      <c r="R94" s="1142"/>
      <c r="S94" s="1022"/>
      <c r="T94" s="1022"/>
      <c r="U94" s="1022"/>
      <c r="V94" s="1022"/>
      <c r="W94" s="1022"/>
      <c r="X94" s="1022"/>
      <c r="Y94" s="1022"/>
      <c r="Z94" s="1022"/>
      <c r="AA94" s="1022"/>
      <c r="AB94" s="1022"/>
      <c r="AC94" s="1022"/>
      <c r="AD94" s="1022"/>
      <c r="AE94" s="1022"/>
    </row>
    <row r="95" spans="1:31" s="927" customFormat="1" ht="18" customHeight="1">
      <c r="A95" s="898">
        <v>88</v>
      </c>
      <c r="B95" s="1044"/>
      <c r="C95" s="1126"/>
      <c r="D95" s="1045"/>
      <c r="E95" s="1127" t="s">
        <v>283</v>
      </c>
      <c r="F95" s="1143"/>
      <c r="G95" s="1046"/>
      <c r="H95" s="1046"/>
      <c r="I95" s="1013"/>
      <c r="J95" s="1014">
        <f>SUM(K95:R95)</f>
        <v>12000</v>
      </c>
      <c r="K95" s="1144">
        <v>10042</v>
      </c>
      <c r="L95" s="1144">
        <v>1958</v>
      </c>
      <c r="M95" s="1144"/>
      <c r="N95" s="1144"/>
      <c r="O95" s="1144"/>
      <c r="P95" s="1144"/>
      <c r="Q95" s="1144"/>
      <c r="R95" s="1145"/>
      <c r="S95" s="1017"/>
      <c r="T95" s="1017"/>
      <c r="U95" s="1017"/>
      <c r="V95" s="1017"/>
      <c r="W95" s="1017"/>
      <c r="X95" s="1017"/>
      <c r="Y95" s="1017"/>
      <c r="Z95" s="1017"/>
      <c r="AA95" s="1017"/>
      <c r="AB95" s="1017"/>
      <c r="AC95" s="1017"/>
      <c r="AD95" s="1017"/>
      <c r="AE95" s="1017"/>
    </row>
    <row r="96" spans="1:31" s="903" customFormat="1" ht="19.5" customHeight="1">
      <c r="A96" s="898">
        <v>89</v>
      </c>
      <c r="B96" s="1044"/>
      <c r="C96" s="914">
        <v>9</v>
      </c>
      <c r="D96" s="1124" t="s">
        <v>395</v>
      </c>
      <c r="E96" s="1148"/>
      <c r="F96" s="1146"/>
      <c r="G96" s="1079">
        <v>2237</v>
      </c>
      <c r="H96" s="1079">
        <v>76</v>
      </c>
      <c r="I96" s="1080">
        <v>76</v>
      </c>
      <c r="J96" s="1008"/>
      <c r="K96" s="1141"/>
      <c r="L96" s="1141"/>
      <c r="M96" s="1141"/>
      <c r="N96" s="1141"/>
      <c r="O96" s="1141"/>
      <c r="P96" s="1141"/>
      <c r="Q96" s="1141"/>
      <c r="R96" s="1142"/>
      <c r="S96" s="1022"/>
      <c r="T96" s="1022"/>
      <c r="U96" s="1022"/>
      <c r="V96" s="1022"/>
      <c r="W96" s="1022"/>
      <c r="X96" s="1022"/>
      <c r="Y96" s="1022"/>
      <c r="Z96" s="1022"/>
      <c r="AA96" s="1022"/>
      <c r="AB96" s="1022"/>
      <c r="AC96" s="1022"/>
      <c r="AD96" s="1022"/>
      <c r="AE96" s="1022"/>
    </row>
    <row r="97" spans="1:31" s="927" customFormat="1" ht="18" customHeight="1">
      <c r="A97" s="898">
        <v>90</v>
      </c>
      <c r="B97" s="1044"/>
      <c r="C97" s="1126"/>
      <c r="D97" s="1045"/>
      <c r="E97" s="1127" t="s">
        <v>283</v>
      </c>
      <c r="F97" s="1143"/>
      <c r="G97" s="1046"/>
      <c r="H97" s="1046"/>
      <c r="I97" s="1013"/>
      <c r="J97" s="1014">
        <f>SUM(K97:R97)</f>
        <v>0</v>
      </c>
      <c r="K97" s="1144"/>
      <c r="L97" s="1144"/>
      <c r="M97" s="1144"/>
      <c r="N97" s="1144"/>
      <c r="O97" s="1144"/>
      <c r="P97" s="1144"/>
      <c r="Q97" s="1144"/>
      <c r="R97" s="1145"/>
      <c r="S97" s="1017"/>
      <c r="T97" s="1017"/>
      <c r="U97" s="1017"/>
      <c r="V97" s="1017"/>
      <c r="W97" s="1017"/>
      <c r="X97" s="1017"/>
      <c r="Y97" s="1017"/>
      <c r="Z97" s="1017"/>
      <c r="AA97" s="1017"/>
      <c r="AB97" s="1017"/>
      <c r="AC97" s="1017"/>
      <c r="AD97" s="1017"/>
      <c r="AE97" s="1017"/>
    </row>
    <row r="98" spans="1:31" s="1134" customFormat="1" ht="19.5" customHeight="1">
      <c r="A98" s="898">
        <v>91</v>
      </c>
      <c r="B98" s="1129"/>
      <c r="C98" s="914">
        <v>10</v>
      </c>
      <c r="D98" s="1124" t="s">
        <v>540</v>
      </c>
      <c r="E98" s="1149"/>
      <c r="F98" s="1131"/>
      <c r="G98" s="919">
        <v>2181</v>
      </c>
      <c r="H98" s="919"/>
      <c r="I98" s="1085"/>
      <c r="J98" s="1043"/>
      <c r="K98" s="919"/>
      <c r="L98" s="919"/>
      <c r="M98" s="919"/>
      <c r="N98" s="919"/>
      <c r="O98" s="919"/>
      <c r="P98" s="919"/>
      <c r="Q98" s="919"/>
      <c r="R98" s="1132"/>
      <c r="S98" s="459"/>
      <c r="T98" s="1133"/>
      <c r="U98" s="1133"/>
      <c r="V98" s="1133"/>
      <c r="W98" s="1133"/>
      <c r="X98" s="1133"/>
      <c r="Y98" s="1133"/>
      <c r="Z98" s="1133"/>
      <c r="AA98" s="1133"/>
      <c r="AB98" s="1133"/>
      <c r="AC98" s="1133"/>
      <c r="AD98" s="1133"/>
      <c r="AE98" s="1133"/>
    </row>
    <row r="99" spans="1:31" s="1139" customFormat="1" ht="18" customHeight="1">
      <c r="A99" s="898">
        <v>92</v>
      </c>
      <c r="B99" s="1026"/>
      <c r="C99" s="1135"/>
      <c r="D99" s="1086"/>
      <c r="E99" s="1127" t="s">
        <v>283</v>
      </c>
      <c r="F99" s="1137"/>
      <c r="G99" s="1088"/>
      <c r="H99" s="1088"/>
      <c r="I99" s="1089"/>
      <c r="J99" s="1014">
        <f>SUM(K99:R99)</f>
        <v>0</v>
      </c>
      <c r="K99" s="1091"/>
      <c r="L99" s="1091"/>
      <c r="M99" s="1091"/>
      <c r="N99" s="1091"/>
      <c r="O99" s="1091"/>
      <c r="P99" s="1091"/>
      <c r="Q99" s="1091"/>
      <c r="R99" s="1092"/>
      <c r="S99" s="1138"/>
      <c r="T99" s="1138"/>
      <c r="U99" s="1138"/>
      <c r="V99" s="1138"/>
      <c r="W99" s="1138"/>
      <c r="X99" s="1138"/>
      <c r="Y99" s="1138"/>
      <c r="Z99" s="1138"/>
      <c r="AA99" s="1138"/>
      <c r="AB99" s="1138"/>
      <c r="AC99" s="1138"/>
      <c r="AD99" s="1138"/>
      <c r="AE99" s="1138"/>
    </row>
    <row r="100" spans="1:31" s="903" customFormat="1" ht="18" customHeight="1">
      <c r="A100" s="898">
        <v>93</v>
      </c>
      <c r="B100" s="1044"/>
      <c r="C100" s="914">
        <v>11</v>
      </c>
      <c r="D100" s="1124" t="s">
        <v>445</v>
      </c>
      <c r="E100" s="1148"/>
      <c r="F100" s="1019"/>
      <c r="G100" s="1079">
        <v>9817</v>
      </c>
      <c r="H100" s="1079">
        <v>3524</v>
      </c>
      <c r="I100" s="1080">
        <v>6083</v>
      </c>
      <c r="J100" s="1008"/>
      <c r="K100" s="1141"/>
      <c r="L100" s="1141"/>
      <c r="M100" s="1141"/>
      <c r="N100" s="1141"/>
      <c r="O100" s="1141"/>
      <c r="P100" s="1141"/>
      <c r="Q100" s="1141"/>
      <c r="R100" s="1142"/>
      <c r="S100" s="1022"/>
      <c r="T100" s="1022"/>
      <c r="U100" s="1022"/>
      <c r="V100" s="1022"/>
      <c r="W100" s="1022"/>
      <c r="X100" s="1022"/>
      <c r="Y100" s="1022"/>
      <c r="Z100" s="1022"/>
      <c r="AA100" s="1022"/>
      <c r="AB100" s="1022"/>
      <c r="AC100" s="1022"/>
      <c r="AD100" s="1022"/>
      <c r="AE100" s="1022"/>
    </row>
    <row r="101" spans="1:31" s="903" customFormat="1" ht="18" customHeight="1">
      <c r="A101" s="898">
        <v>94</v>
      </c>
      <c r="B101" s="1044"/>
      <c r="C101" s="914"/>
      <c r="D101" s="1045"/>
      <c r="E101" s="1127" t="s">
        <v>283</v>
      </c>
      <c r="F101" s="1019"/>
      <c r="G101" s="1079"/>
      <c r="H101" s="1079"/>
      <c r="I101" s="1080"/>
      <c r="J101" s="1014">
        <f>SUM(K101:R101)</f>
        <v>0</v>
      </c>
      <c r="K101" s="1144"/>
      <c r="L101" s="1144"/>
      <c r="M101" s="1141"/>
      <c r="N101" s="1141"/>
      <c r="O101" s="1141"/>
      <c r="P101" s="1141"/>
      <c r="Q101" s="1141"/>
      <c r="R101" s="1142"/>
      <c r="S101" s="1022"/>
      <c r="T101" s="1022"/>
      <c r="U101" s="1022"/>
      <c r="V101" s="1022"/>
      <c r="W101" s="1022"/>
      <c r="X101" s="1022"/>
      <c r="Y101" s="1022"/>
      <c r="Z101" s="1022"/>
      <c r="AA101" s="1022"/>
      <c r="AB101" s="1022"/>
      <c r="AC101" s="1022"/>
      <c r="AD101" s="1022"/>
      <c r="AE101" s="1022"/>
    </row>
    <row r="102" spans="1:31" s="903" customFormat="1" ht="18" customHeight="1">
      <c r="A102" s="898">
        <v>95</v>
      </c>
      <c r="B102" s="1044"/>
      <c r="C102" s="914">
        <v>12</v>
      </c>
      <c r="D102" s="1124" t="s">
        <v>539</v>
      </c>
      <c r="E102" s="1148"/>
      <c r="F102" s="1019"/>
      <c r="G102" s="1079">
        <v>26713</v>
      </c>
      <c r="H102" s="1079">
        <v>2271</v>
      </c>
      <c r="I102" s="1080">
        <v>4262</v>
      </c>
      <c r="J102" s="1008"/>
      <c r="K102" s="1144"/>
      <c r="L102" s="1144"/>
      <c r="M102" s="1141"/>
      <c r="N102" s="1141"/>
      <c r="O102" s="1141"/>
      <c r="P102" s="1141"/>
      <c r="Q102" s="1141"/>
      <c r="R102" s="1142"/>
      <c r="S102" s="1022"/>
      <c r="T102" s="1022"/>
      <c r="U102" s="1022"/>
      <c r="V102" s="1022"/>
      <c r="W102" s="1022"/>
      <c r="X102" s="1022"/>
      <c r="Y102" s="1022"/>
      <c r="Z102" s="1022"/>
      <c r="AA102" s="1022"/>
      <c r="AB102" s="1022"/>
      <c r="AC102" s="1022"/>
      <c r="AD102" s="1022"/>
      <c r="AE102" s="1022"/>
    </row>
    <row r="103" spans="1:31" s="903" customFormat="1" ht="18" customHeight="1">
      <c r="A103" s="898">
        <v>96</v>
      </c>
      <c r="B103" s="1044"/>
      <c r="C103" s="914"/>
      <c r="D103" s="1045"/>
      <c r="E103" s="1127" t="s">
        <v>283</v>
      </c>
      <c r="F103" s="1019"/>
      <c r="G103" s="1079"/>
      <c r="H103" s="1079"/>
      <c r="I103" s="1080"/>
      <c r="J103" s="1014">
        <f>SUM(K103:R103)</f>
        <v>0</v>
      </c>
      <c r="K103" s="1144"/>
      <c r="L103" s="1144"/>
      <c r="M103" s="1141"/>
      <c r="N103" s="1141"/>
      <c r="O103" s="1141"/>
      <c r="P103" s="1141"/>
      <c r="Q103" s="1141"/>
      <c r="R103" s="1142"/>
      <c r="S103" s="1022"/>
      <c r="T103" s="1022"/>
      <c r="U103" s="1022"/>
      <c r="V103" s="1022"/>
      <c r="W103" s="1022"/>
      <c r="X103" s="1022"/>
      <c r="Y103" s="1022"/>
      <c r="Z103" s="1022"/>
      <c r="AA103" s="1022"/>
      <c r="AB103" s="1022"/>
      <c r="AC103" s="1022"/>
      <c r="AD103" s="1022"/>
      <c r="AE103" s="1022"/>
    </row>
    <row r="104" spans="1:31" s="903" customFormat="1" ht="18" customHeight="1">
      <c r="A104" s="898">
        <v>97</v>
      </c>
      <c r="B104" s="1044"/>
      <c r="C104" s="914">
        <v>13</v>
      </c>
      <c r="D104" s="1124" t="s">
        <v>532</v>
      </c>
      <c r="E104" s="1148"/>
      <c r="F104" s="1019"/>
      <c r="G104" s="1079"/>
      <c r="H104" s="1079">
        <v>35000</v>
      </c>
      <c r="I104" s="1080">
        <v>35547</v>
      </c>
      <c r="J104" s="1008"/>
      <c r="K104" s="1144"/>
      <c r="L104" s="1144"/>
      <c r="M104" s="1141"/>
      <c r="N104" s="1141"/>
      <c r="O104" s="1141"/>
      <c r="P104" s="1141"/>
      <c r="Q104" s="1141"/>
      <c r="R104" s="1142"/>
      <c r="S104" s="1022"/>
      <c r="T104" s="1022"/>
      <c r="U104" s="1022"/>
      <c r="V104" s="1022"/>
      <c r="W104" s="1022"/>
      <c r="X104" s="1022"/>
      <c r="Y104" s="1022"/>
      <c r="Z104" s="1022"/>
      <c r="AA104" s="1022"/>
      <c r="AB104" s="1022"/>
      <c r="AC104" s="1022"/>
      <c r="AD104" s="1022"/>
      <c r="AE104" s="1022"/>
    </row>
    <row r="105" spans="1:31" s="903" customFormat="1" ht="18" customHeight="1">
      <c r="A105" s="898">
        <v>98</v>
      </c>
      <c r="B105" s="1044"/>
      <c r="C105" s="914"/>
      <c r="D105" s="1045"/>
      <c r="E105" s="1127" t="s">
        <v>283</v>
      </c>
      <c r="F105" s="1019"/>
      <c r="G105" s="1079"/>
      <c r="H105" s="1079"/>
      <c r="I105" s="1080"/>
      <c r="J105" s="1014">
        <f>SUM(K105:R105)</f>
        <v>64</v>
      </c>
      <c r="K105" s="1144">
        <v>55</v>
      </c>
      <c r="L105" s="1144">
        <v>9</v>
      </c>
      <c r="M105" s="1141"/>
      <c r="N105" s="1141"/>
      <c r="O105" s="1141"/>
      <c r="P105" s="1141"/>
      <c r="Q105" s="1141"/>
      <c r="R105" s="1142"/>
      <c r="S105" s="1022"/>
      <c r="T105" s="1022"/>
      <c r="U105" s="1022"/>
      <c r="V105" s="1022"/>
      <c r="W105" s="1022"/>
      <c r="X105" s="1022"/>
      <c r="Y105" s="1022"/>
      <c r="Z105" s="1022"/>
      <c r="AA105" s="1022"/>
      <c r="AB105" s="1022"/>
      <c r="AC105" s="1022"/>
      <c r="AD105" s="1022"/>
      <c r="AE105" s="1022"/>
    </row>
    <row r="106" spans="1:31" s="903" customFormat="1" ht="18" customHeight="1">
      <c r="A106" s="898">
        <v>99</v>
      </c>
      <c r="B106" s="1044"/>
      <c r="C106" s="914">
        <v>14</v>
      </c>
      <c r="D106" s="1124" t="s">
        <v>558</v>
      </c>
      <c r="E106" s="1127"/>
      <c r="F106" s="1019"/>
      <c r="G106" s="1079"/>
      <c r="H106" s="1079"/>
      <c r="I106" s="1080">
        <v>10046</v>
      </c>
      <c r="J106" s="1014"/>
      <c r="K106" s="1144"/>
      <c r="L106" s="1144"/>
      <c r="M106" s="1141"/>
      <c r="N106" s="1141"/>
      <c r="O106" s="1141"/>
      <c r="P106" s="1141"/>
      <c r="Q106" s="1141"/>
      <c r="R106" s="1142"/>
      <c r="S106" s="1022"/>
      <c r="T106" s="1022"/>
      <c r="U106" s="1022"/>
      <c r="V106" s="1022"/>
      <c r="W106" s="1022"/>
      <c r="X106" s="1022"/>
      <c r="Y106" s="1022"/>
      <c r="Z106" s="1022"/>
      <c r="AA106" s="1022"/>
      <c r="AB106" s="1022"/>
      <c r="AC106" s="1022"/>
      <c r="AD106" s="1022"/>
      <c r="AE106" s="1022"/>
    </row>
    <row r="107" spans="1:31" s="903" customFormat="1" ht="18" customHeight="1">
      <c r="A107" s="898">
        <v>100</v>
      </c>
      <c r="B107" s="1044"/>
      <c r="C107" s="914"/>
      <c r="D107" s="1150"/>
      <c r="E107" s="1127" t="s">
        <v>283</v>
      </c>
      <c r="F107" s="1019"/>
      <c r="G107" s="1079"/>
      <c r="H107" s="1079"/>
      <c r="I107" s="1080"/>
      <c r="J107" s="1014">
        <f>SUM(K107:R107)</f>
        <v>0</v>
      </c>
      <c r="K107" s="1144"/>
      <c r="L107" s="1144"/>
      <c r="M107" s="1141"/>
      <c r="N107" s="1141"/>
      <c r="O107" s="1141"/>
      <c r="P107" s="1141"/>
      <c r="Q107" s="1141"/>
      <c r="R107" s="1142"/>
      <c r="S107" s="1022"/>
      <c r="T107" s="1022"/>
      <c r="U107" s="1022"/>
      <c r="V107" s="1022"/>
      <c r="W107" s="1022"/>
      <c r="X107" s="1022"/>
      <c r="Y107" s="1022"/>
      <c r="Z107" s="1022"/>
      <c r="AA107" s="1022"/>
      <c r="AB107" s="1022"/>
      <c r="AC107" s="1022"/>
      <c r="AD107" s="1022"/>
      <c r="AE107" s="1022"/>
    </row>
    <row r="108" spans="1:31" s="903" customFormat="1" ht="30.75" customHeight="1">
      <c r="A108" s="898">
        <v>101</v>
      </c>
      <c r="B108" s="1044"/>
      <c r="C108" s="959">
        <v>15</v>
      </c>
      <c r="D108" s="1422" t="s">
        <v>510</v>
      </c>
      <c r="E108" s="1453"/>
      <c r="F108" s="1453"/>
      <c r="G108" s="1423"/>
      <c r="H108" s="1079">
        <v>22650</v>
      </c>
      <c r="I108" s="1080">
        <v>22650</v>
      </c>
      <c r="J108" s="1008"/>
      <c r="K108" s="1141"/>
      <c r="L108" s="1141"/>
      <c r="M108" s="1141"/>
      <c r="N108" s="1141"/>
      <c r="O108" s="1141"/>
      <c r="P108" s="1141"/>
      <c r="Q108" s="1141"/>
      <c r="R108" s="1142"/>
      <c r="S108" s="1022"/>
      <c r="T108" s="1022"/>
      <c r="U108" s="1022"/>
      <c r="V108" s="1022"/>
      <c r="W108" s="1022"/>
      <c r="X108" s="1022"/>
      <c r="Y108" s="1022"/>
      <c r="Z108" s="1022"/>
      <c r="AA108" s="1022"/>
      <c r="AB108" s="1022"/>
      <c r="AC108" s="1022"/>
      <c r="AD108" s="1022"/>
      <c r="AE108" s="1022"/>
    </row>
    <row r="109" spans="1:31" s="903" customFormat="1" ht="18" customHeight="1">
      <c r="A109" s="898">
        <v>102</v>
      </c>
      <c r="B109" s="1044"/>
      <c r="C109" s="914"/>
      <c r="D109" s="1124"/>
      <c r="E109" s="1127" t="s">
        <v>283</v>
      </c>
      <c r="F109" s="1019"/>
      <c r="G109" s="1079"/>
      <c r="H109" s="1079"/>
      <c r="I109" s="1080"/>
      <c r="J109" s="1014">
        <f>SUM(K109:R109)</f>
        <v>22650</v>
      </c>
      <c r="K109" s="1144">
        <v>19277</v>
      </c>
      <c r="L109" s="1144">
        <v>3373</v>
      </c>
      <c r="M109" s="1141"/>
      <c r="N109" s="1141"/>
      <c r="O109" s="1141"/>
      <c r="P109" s="1141"/>
      <c r="Q109" s="1141"/>
      <c r="R109" s="1142"/>
      <c r="S109" s="1022"/>
      <c r="T109" s="1022"/>
      <c r="U109" s="1022"/>
      <c r="V109" s="1022"/>
      <c r="W109" s="1022"/>
      <c r="X109" s="1022"/>
      <c r="Y109" s="1022"/>
      <c r="Z109" s="1022"/>
      <c r="AA109" s="1022"/>
      <c r="AB109" s="1022"/>
      <c r="AC109" s="1022"/>
      <c r="AD109" s="1022"/>
      <c r="AE109" s="1022"/>
    </row>
    <row r="110" spans="1:31" s="903" customFormat="1" ht="18" customHeight="1">
      <c r="A110" s="898">
        <v>103</v>
      </c>
      <c r="B110" s="1044"/>
      <c r="C110" s="914">
        <v>16</v>
      </c>
      <c r="D110" s="1464" t="s">
        <v>407</v>
      </c>
      <c r="E110" s="1465"/>
      <c r="F110" s="1019"/>
      <c r="G110" s="1079"/>
      <c r="H110" s="1079">
        <v>39749</v>
      </c>
      <c r="I110" s="1080">
        <v>5156</v>
      </c>
      <c r="J110" s="1008"/>
      <c r="K110" s="1141"/>
      <c r="L110" s="1141"/>
      <c r="M110" s="1141"/>
      <c r="N110" s="1141"/>
      <c r="O110" s="1141"/>
      <c r="P110" s="1141"/>
      <c r="Q110" s="1141"/>
      <c r="R110" s="1142"/>
      <c r="S110" s="1022"/>
      <c r="T110" s="1022"/>
      <c r="U110" s="1022"/>
      <c r="V110" s="1022"/>
      <c r="W110" s="1022"/>
      <c r="X110" s="1022"/>
      <c r="Y110" s="1022"/>
      <c r="Z110" s="1022"/>
      <c r="AA110" s="1022"/>
      <c r="AB110" s="1022"/>
      <c r="AC110" s="1022"/>
      <c r="AD110" s="1022"/>
      <c r="AE110" s="1022"/>
    </row>
    <row r="111" spans="1:31" s="903" customFormat="1" ht="18" customHeight="1">
      <c r="A111" s="898">
        <v>104</v>
      </c>
      <c r="B111" s="1044"/>
      <c r="C111" s="914"/>
      <c r="D111" s="1124"/>
      <c r="E111" s="1127" t="s">
        <v>283</v>
      </c>
      <c r="F111" s="1019"/>
      <c r="G111" s="1079"/>
      <c r="H111" s="1079"/>
      <c r="I111" s="1080"/>
      <c r="J111" s="1014">
        <f>SUM(K111:R111)</f>
        <v>0</v>
      </c>
      <c r="K111" s="1144"/>
      <c r="L111" s="1144"/>
      <c r="M111" s="1141"/>
      <c r="N111" s="1141"/>
      <c r="O111" s="1141"/>
      <c r="P111" s="1141"/>
      <c r="Q111" s="1141"/>
      <c r="R111" s="1142"/>
      <c r="S111" s="1022"/>
      <c r="T111" s="1022"/>
      <c r="U111" s="1022"/>
      <c r="V111" s="1022"/>
      <c r="W111" s="1022"/>
      <c r="X111" s="1022"/>
      <c r="Y111" s="1022"/>
      <c r="Z111" s="1022"/>
      <c r="AA111" s="1022"/>
      <c r="AB111" s="1022"/>
      <c r="AC111" s="1022"/>
      <c r="AD111" s="1022"/>
      <c r="AE111" s="1022"/>
    </row>
    <row r="112" spans="1:31" s="903" customFormat="1" ht="19.5" customHeight="1">
      <c r="A112" s="898">
        <v>105</v>
      </c>
      <c r="B112" s="1044"/>
      <c r="C112" s="914">
        <v>17</v>
      </c>
      <c r="D112" s="1124" t="s">
        <v>498</v>
      </c>
      <c r="E112" s="1148"/>
      <c r="F112" s="1146"/>
      <c r="G112" s="1079">
        <v>2297</v>
      </c>
      <c r="H112" s="1079">
        <v>282</v>
      </c>
      <c r="I112" s="1080">
        <v>560</v>
      </c>
      <c r="J112" s="1008"/>
      <c r="K112" s="1141"/>
      <c r="L112" s="1141"/>
      <c r="M112" s="1141"/>
      <c r="N112" s="1141"/>
      <c r="O112" s="1141"/>
      <c r="P112" s="1141"/>
      <c r="Q112" s="1141"/>
      <c r="R112" s="1142"/>
      <c r="S112" s="1022"/>
      <c r="T112" s="1022"/>
      <c r="U112" s="1022"/>
      <c r="V112" s="1022"/>
      <c r="W112" s="1022"/>
      <c r="X112" s="1022"/>
      <c r="Y112" s="1022"/>
      <c r="Z112" s="1022"/>
      <c r="AA112" s="1022"/>
      <c r="AB112" s="1022"/>
      <c r="AC112" s="1022"/>
      <c r="AD112" s="1022"/>
      <c r="AE112" s="1022"/>
    </row>
    <row r="113" spans="1:31" s="927" customFormat="1" ht="18" customHeight="1">
      <c r="A113" s="898">
        <v>106</v>
      </c>
      <c r="B113" s="1044"/>
      <c r="C113" s="1126"/>
      <c r="D113" s="1045"/>
      <c r="E113" s="1127" t="s">
        <v>283</v>
      </c>
      <c r="F113" s="1143"/>
      <c r="G113" s="1046"/>
      <c r="H113" s="1046"/>
      <c r="I113" s="1013"/>
      <c r="J113" s="1014">
        <f>SUM(K113:R113)</f>
        <v>0</v>
      </c>
      <c r="K113" s="1144"/>
      <c r="L113" s="1144"/>
      <c r="M113" s="1144"/>
      <c r="N113" s="1144"/>
      <c r="O113" s="1144"/>
      <c r="P113" s="1144"/>
      <c r="Q113" s="1144"/>
      <c r="R113" s="1145"/>
      <c r="S113" s="1017"/>
      <c r="T113" s="1017"/>
      <c r="U113" s="1017"/>
      <c r="V113" s="1017"/>
      <c r="W113" s="1017"/>
      <c r="X113" s="1017"/>
      <c r="Y113" s="1017"/>
      <c r="Z113" s="1017"/>
      <c r="AA113" s="1017"/>
      <c r="AB113" s="1017"/>
      <c r="AC113" s="1017"/>
      <c r="AD113" s="1017"/>
      <c r="AE113" s="1017"/>
    </row>
    <row r="114" spans="1:31" s="903" customFormat="1" ht="19.5" customHeight="1">
      <c r="A114" s="898">
        <v>107</v>
      </c>
      <c r="B114" s="1044"/>
      <c r="C114" s="914">
        <v>18</v>
      </c>
      <c r="D114" s="1124" t="s">
        <v>44</v>
      </c>
      <c r="E114" s="1148"/>
      <c r="F114" s="1146"/>
      <c r="G114" s="1079">
        <v>36</v>
      </c>
      <c r="H114" s="1079"/>
      <c r="I114" s="1080"/>
      <c r="J114" s="1008"/>
      <c r="K114" s="1141"/>
      <c r="L114" s="1141"/>
      <c r="M114" s="1141"/>
      <c r="N114" s="1141"/>
      <c r="O114" s="1141"/>
      <c r="P114" s="1141"/>
      <c r="Q114" s="1141"/>
      <c r="R114" s="1142"/>
      <c r="S114" s="1022"/>
      <c r="T114" s="1022"/>
      <c r="U114" s="1022"/>
      <c r="V114" s="1022"/>
      <c r="W114" s="1022"/>
      <c r="X114" s="1022"/>
      <c r="Y114" s="1022"/>
      <c r="Z114" s="1022"/>
      <c r="AA114" s="1022"/>
      <c r="AB114" s="1022"/>
      <c r="AC114" s="1022"/>
      <c r="AD114" s="1022"/>
      <c r="AE114" s="1022"/>
    </row>
    <row r="115" spans="1:31" s="927" customFormat="1" ht="18" customHeight="1">
      <c r="A115" s="898">
        <v>108</v>
      </c>
      <c r="B115" s="1044"/>
      <c r="C115" s="1126"/>
      <c r="D115" s="1045"/>
      <c r="E115" s="1127" t="s">
        <v>283</v>
      </c>
      <c r="F115" s="1143"/>
      <c r="G115" s="1046"/>
      <c r="H115" s="1046"/>
      <c r="I115" s="1013"/>
      <c r="J115" s="1014">
        <f>SUM(K115:R115)</f>
        <v>0</v>
      </c>
      <c r="K115" s="1144"/>
      <c r="L115" s="1144"/>
      <c r="M115" s="1144"/>
      <c r="N115" s="1144"/>
      <c r="O115" s="1144"/>
      <c r="P115" s="1144"/>
      <c r="Q115" s="1144"/>
      <c r="R115" s="1145"/>
      <c r="S115" s="1017"/>
      <c r="T115" s="1017"/>
      <c r="U115" s="1017"/>
      <c r="V115" s="1017"/>
      <c r="W115" s="1017"/>
      <c r="X115" s="1017"/>
      <c r="Y115" s="1017"/>
      <c r="Z115" s="1017"/>
      <c r="AA115" s="1017"/>
      <c r="AB115" s="1017"/>
      <c r="AC115" s="1017"/>
      <c r="AD115" s="1017"/>
      <c r="AE115" s="1017"/>
    </row>
    <row r="116" spans="1:31" s="903" customFormat="1" ht="19.5" customHeight="1">
      <c r="A116" s="898">
        <v>109</v>
      </c>
      <c r="B116" s="1044"/>
      <c r="C116" s="914">
        <v>19</v>
      </c>
      <c r="D116" s="1124" t="s">
        <v>432</v>
      </c>
      <c r="E116" s="1148"/>
      <c r="F116" s="1146"/>
      <c r="G116" s="1079">
        <v>2474</v>
      </c>
      <c r="H116" s="1079">
        <v>625</v>
      </c>
      <c r="I116" s="1080">
        <v>6289</v>
      </c>
      <c r="J116" s="1008"/>
      <c r="K116" s="1141"/>
      <c r="L116" s="1141"/>
      <c r="M116" s="1141"/>
      <c r="N116" s="1141"/>
      <c r="O116" s="1141"/>
      <c r="P116" s="1141"/>
      <c r="Q116" s="1141"/>
      <c r="R116" s="1142"/>
      <c r="S116" s="1022"/>
      <c r="T116" s="1022"/>
      <c r="U116" s="1022"/>
      <c r="V116" s="1022"/>
      <c r="W116" s="1022"/>
      <c r="X116" s="1022"/>
      <c r="Y116" s="1022"/>
      <c r="Z116" s="1022"/>
      <c r="AA116" s="1022"/>
      <c r="AB116" s="1022"/>
      <c r="AC116" s="1022"/>
      <c r="AD116" s="1022"/>
      <c r="AE116" s="1022"/>
    </row>
    <row r="117" spans="1:31" s="927" customFormat="1" ht="18" customHeight="1">
      <c r="A117" s="898">
        <v>110</v>
      </c>
      <c r="B117" s="1044"/>
      <c r="C117" s="1126"/>
      <c r="D117" s="1045"/>
      <c r="E117" s="1127" t="s">
        <v>283</v>
      </c>
      <c r="F117" s="1143"/>
      <c r="G117" s="1046"/>
      <c r="H117" s="1046"/>
      <c r="I117" s="1013"/>
      <c r="J117" s="1014">
        <f>SUM(K117:R117)</f>
        <v>4850</v>
      </c>
      <c r="K117" s="1144">
        <f>311+3896</f>
        <v>4207</v>
      </c>
      <c r="L117" s="1144">
        <f>39+604</f>
        <v>643</v>
      </c>
      <c r="M117" s="1144"/>
      <c r="N117" s="1144"/>
      <c r="O117" s="1144"/>
      <c r="P117" s="1144"/>
      <c r="Q117" s="1144"/>
      <c r="R117" s="1145"/>
      <c r="S117" s="1017"/>
      <c r="T117" s="1017"/>
      <c r="U117" s="1017"/>
      <c r="V117" s="1017"/>
      <c r="W117" s="1017"/>
      <c r="X117" s="1017"/>
      <c r="Y117" s="1017"/>
      <c r="Z117" s="1017"/>
      <c r="AA117" s="1017"/>
      <c r="AB117" s="1017"/>
      <c r="AC117" s="1017"/>
      <c r="AD117" s="1017"/>
      <c r="AE117" s="1017"/>
    </row>
    <row r="118" spans="1:31" s="903" customFormat="1" ht="19.5" customHeight="1">
      <c r="A118" s="898">
        <v>111</v>
      </c>
      <c r="B118" s="1044"/>
      <c r="C118" s="914">
        <v>20</v>
      </c>
      <c r="D118" s="1301" t="s">
        <v>559</v>
      </c>
      <c r="E118" s="1302"/>
      <c r="F118" s="1146"/>
      <c r="G118" s="1079"/>
      <c r="H118" s="1079">
        <v>63255</v>
      </c>
      <c r="I118" s="1080">
        <v>92434</v>
      </c>
      <c r="J118" s="1008"/>
      <c r="K118" s="1141"/>
      <c r="L118" s="1141"/>
      <c r="M118" s="1141"/>
      <c r="N118" s="1141"/>
      <c r="O118" s="1141"/>
      <c r="P118" s="1141"/>
      <c r="Q118" s="1141"/>
      <c r="R118" s="1142"/>
      <c r="S118" s="1022"/>
      <c r="T118" s="1022"/>
      <c r="U118" s="1022"/>
      <c r="V118" s="1022"/>
      <c r="W118" s="1022"/>
      <c r="X118" s="1022"/>
      <c r="Y118" s="1022"/>
      <c r="Z118" s="1022"/>
      <c r="AA118" s="1022"/>
      <c r="AB118" s="1022"/>
      <c r="AC118" s="1022"/>
      <c r="AD118" s="1022"/>
      <c r="AE118" s="1022"/>
    </row>
    <row r="119" spans="1:31" s="927" customFormat="1" ht="18" customHeight="1">
      <c r="A119" s="898">
        <v>112</v>
      </c>
      <c r="B119" s="1044"/>
      <c r="C119" s="1126"/>
      <c r="D119" s="1045"/>
      <c r="E119" s="1127" t="s">
        <v>283</v>
      </c>
      <c r="F119" s="1143"/>
      <c r="G119" s="1046"/>
      <c r="H119" s="1046"/>
      <c r="I119" s="1013"/>
      <c r="J119" s="1014">
        <f>SUM(K119:R119)</f>
        <v>60256</v>
      </c>
      <c r="K119" s="1144">
        <v>51001</v>
      </c>
      <c r="L119" s="1144">
        <v>7905</v>
      </c>
      <c r="M119" s="1144">
        <v>1350</v>
      </c>
      <c r="N119" s="1144"/>
      <c r="O119" s="1144"/>
      <c r="P119" s="1144"/>
      <c r="Q119" s="1144"/>
      <c r="R119" s="1145"/>
      <c r="S119" s="1017"/>
      <c r="T119" s="1017"/>
      <c r="U119" s="1017"/>
      <c r="V119" s="1017"/>
      <c r="W119" s="1017"/>
      <c r="X119" s="1017"/>
      <c r="Y119" s="1017"/>
      <c r="Z119" s="1017"/>
      <c r="AA119" s="1017"/>
      <c r="AB119" s="1017"/>
      <c r="AC119" s="1017"/>
      <c r="AD119" s="1017"/>
      <c r="AE119" s="1017"/>
    </row>
    <row r="120" spans="1:31" s="960" customFormat="1" ht="30" customHeight="1">
      <c r="A120" s="898">
        <v>113</v>
      </c>
      <c r="B120" s="1044"/>
      <c r="C120" s="959">
        <v>21</v>
      </c>
      <c r="D120" s="1422" t="s">
        <v>560</v>
      </c>
      <c r="E120" s="1423"/>
      <c r="F120" s="1019"/>
      <c r="G120" s="1079"/>
      <c r="H120" s="1079"/>
      <c r="I120" s="1080">
        <v>4436</v>
      </c>
      <c r="J120" s="1008"/>
      <c r="K120" s="1140"/>
      <c r="L120" s="1140"/>
      <c r="M120" s="1141"/>
      <c r="N120" s="1141"/>
      <c r="O120" s="1141"/>
      <c r="P120" s="1141"/>
      <c r="Q120" s="1141"/>
      <c r="R120" s="1142"/>
      <c r="S120" s="1020"/>
      <c r="T120" s="1020"/>
      <c r="U120" s="1020"/>
      <c r="V120" s="1020"/>
      <c r="W120" s="1020"/>
      <c r="X120" s="1020"/>
      <c r="Y120" s="1020"/>
      <c r="Z120" s="1020"/>
      <c r="AA120" s="1020"/>
      <c r="AB120" s="1020"/>
      <c r="AC120" s="1020"/>
      <c r="AD120" s="1020"/>
      <c r="AE120" s="1020"/>
    </row>
    <row r="121" spans="1:31" s="903" customFormat="1" ht="19.5" customHeight="1">
      <c r="A121" s="898">
        <v>114</v>
      </c>
      <c r="B121" s="1044"/>
      <c r="C121" s="914"/>
      <c r="D121" s="1124"/>
      <c r="E121" s="1127" t="s">
        <v>283</v>
      </c>
      <c r="F121" s="1019"/>
      <c r="G121" s="1079"/>
      <c r="H121" s="1079"/>
      <c r="I121" s="1080"/>
      <c r="J121" s="1014">
        <f>SUM(K121:R121)</f>
        <v>6651</v>
      </c>
      <c r="K121" s="1144">
        <f>555+5318</f>
        <v>5873</v>
      </c>
      <c r="L121" s="1144">
        <f>87+691</f>
        <v>778</v>
      </c>
      <c r="M121" s="1141"/>
      <c r="N121" s="1141"/>
      <c r="O121" s="1141"/>
      <c r="P121" s="1141"/>
      <c r="Q121" s="1141"/>
      <c r="R121" s="1142"/>
      <c r="S121" s="1022"/>
      <c r="T121" s="1022"/>
      <c r="U121" s="1022"/>
      <c r="V121" s="1022"/>
      <c r="W121" s="1022"/>
      <c r="X121" s="1022"/>
      <c r="Y121" s="1022"/>
      <c r="Z121" s="1022"/>
      <c r="AA121" s="1022"/>
      <c r="AB121" s="1022"/>
      <c r="AC121" s="1022"/>
      <c r="AD121" s="1022"/>
      <c r="AE121" s="1022"/>
    </row>
    <row r="122" spans="1:31" s="903" customFormat="1" ht="19.5" customHeight="1">
      <c r="A122" s="898">
        <v>115</v>
      </c>
      <c r="B122" s="1044"/>
      <c r="C122" s="914">
        <v>22</v>
      </c>
      <c r="D122" s="1422" t="s">
        <v>561</v>
      </c>
      <c r="E122" s="1423"/>
      <c r="F122" s="1146"/>
      <c r="G122" s="1079"/>
      <c r="H122" s="1079"/>
      <c r="I122" s="1080">
        <v>19603</v>
      </c>
      <c r="J122" s="1008"/>
      <c r="K122" s="1144"/>
      <c r="L122" s="1144"/>
      <c r="M122" s="1141"/>
      <c r="N122" s="1141"/>
      <c r="O122" s="1141"/>
      <c r="P122" s="1141"/>
      <c r="Q122" s="1141"/>
      <c r="R122" s="1142"/>
      <c r="S122" s="1022"/>
      <c r="T122" s="1022"/>
      <c r="U122" s="1022"/>
      <c r="V122" s="1022"/>
      <c r="W122" s="1022"/>
      <c r="X122" s="1022"/>
      <c r="Y122" s="1022"/>
      <c r="Z122" s="1022"/>
      <c r="AA122" s="1022"/>
      <c r="AB122" s="1022"/>
      <c r="AC122" s="1022"/>
      <c r="AD122" s="1022"/>
      <c r="AE122" s="1022"/>
    </row>
    <row r="123" spans="1:31" s="903" customFormat="1" ht="19.5" customHeight="1">
      <c r="A123" s="898">
        <v>116</v>
      </c>
      <c r="B123" s="1044"/>
      <c r="C123" s="959"/>
      <c r="D123" s="1124"/>
      <c r="E123" s="1127" t="s">
        <v>283</v>
      </c>
      <c r="F123" s="1096"/>
      <c r="G123" s="1079"/>
      <c r="H123" s="1079"/>
      <c r="I123" s="1080"/>
      <c r="J123" s="1014">
        <f>SUM(K123:R123)</f>
        <v>7325</v>
      </c>
      <c r="K123" s="1144">
        <v>6342</v>
      </c>
      <c r="L123" s="1144">
        <v>983</v>
      </c>
      <c r="M123" s="1141"/>
      <c r="N123" s="1141"/>
      <c r="O123" s="1141"/>
      <c r="P123" s="1141"/>
      <c r="Q123" s="1141"/>
      <c r="R123" s="1142"/>
      <c r="S123" s="1022"/>
      <c r="T123" s="1022"/>
      <c r="U123" s="1022"/>
      <c r="V123" s="1022"/>
      <c r="W123" s="1022"/>
      <c r="X123" s="1022"/>
      <c r="Y123" s="1022"/>
      <c r="Z123" s="1022"/>
      <c r="AA123" s="1022"/>
      <c r="AB123" s="1022"/>
      <c r="AC123" s="1022"/>
      <c r="AD123" s="1022"/>
      <c r="AE123" s="1022"/>
    </row>
    <row r="124" spans="1:31" s="903" customFormat="1" ht="30" customHeight="1">
      <c r="A124" s="898">
        <v>117</v>
      </c>
      <c r="B124" s="1044"/>
      <c r="C124" s="959">
        <v>23</v>
      </c>
      <c r="D124" s="1422" t="s">
        <v>434</v>
      </c>
      <c r="E124" s="1423"/>
      <c r="F124" s="1096"/>
      <c r="G124" s="1079"/>
      <c r="H124" s="1079"/>
      <c r="I124" s="1080">
        <v>2030</v>
      </c>
      <c r="J124" s="1008"/>
      <c r="K124" s="1141"/>
      <c r="L124" s="1141"/>
      <c r="M124" s="1141"/>
      <c r="N124" s="1141"/>
      <c r="O124" s="1141"/>
      <c r="P124" s="1141"/>
      <c r="Q124" s="1141"/>
      <c r="R124" s="1142"/>
      <c r="S124" s="1022"/>
      <c r="T124" s="1022"/>
      <c r="U124" s="1022"/>
      <c r="V124" s="1022"/>
      <c r="W124" s="1022"/>
      <c r="X124" s="1022"/>
      <c r="Y124" s="1022"/>
      <c r="Z124" s="1022"/>
      <c r="AA124" s="1022"/>
      <c r="AB124" s="1022"/>
      <c r="AC124" s="1022"/>
      <c r="AD124" s="1022"/>
      <c r="AE124" s="1022"/>
    </row>
    <row r="125" spans="1:31" s="903" customFormat="1" ht="19.5" customHeight="1">
      <c r="A125" s="898">
        <v>118</v>
      </c>
      <c r="B125" s="1044"/>
      <c r="C125" s="959"/>
      <c r="D125" s="1124"/>
      <c r="E125" s="1127" t="s">
        <v>283</v>
      </c>
      <c r="F125" s="1096"/>
      <c r="G125" s="1079"/>
      <c r="H125" s="1079"/>
      <c r="I125" s="1080"/>
      <c r="J125" s="1014">
        <f>SUM(K125:R125)</f>
        <v>0</v>
      </c>
      <c r="K125" s="1141"/>
      <c r="L125" s="1141"/>
      <c r="M125" s="1141"/>
      <c r="N125" s="1141"/>
      <c r="O125" s="1141"/>
      <c r="P125" s="1141"/>
      <c r="Q125" s="1141"/>
      <c r="R125" s="1142"/>
      <c r="S125" s="1022"/>
      <c r="T125" s="1022"/>
      <c r="U125" s="1022"/>
      <c r="V125" s="1022"/>
      <c r="W125" s="1022"/>
      <c r="X125" s="1022"/>
      <c r="Y125" s="1022"/>
      <c r="Z125" s="1022"/>
      <c r="AA125" s="1022"/>
      <c r="AB125" s="1022"/>
      <c r="AC125" s="1022"/>
      <c r="AD125" s="1022"/>
      <c r="AE125" s="1022"/>
    </row>
    <row r="126" spans="1:31" s="903" customFormat="1" ht="19.5" customHeight="1">
      <c r="A126" s="898">
        <v>119</v>
      </c>
      <c r="B126" s="1044"/>
      <c r="C126" s="914">
        <v>24</v>
      </c>
      <c r="D126" s="1464" t="s">
        <v>562</v>
      </c>
      <c r="E126" s="1465"/>
      <c r="F126" s="1019"/>
      <c r="G126" s="1079"/>
      <c r="H126" s="1079"/>
      <c r="I126" s="1080">
        <v>3000</v>
      </c>
      <c r="J126" s="1008"/>
      <c r="K126" s="1141"/>
      <c r="L126" s="1141"/>
      <c r="M126" s="1141"/>
      <c r="N126" s="1141"/>
      <c r="O126" s="1141"/>
      <c r="P126" s="1141"/>
      <c r="Q126" s="1141"/>
      <c r="R126" s="1142"/>
      <c r="S126" s="1022"/>
      <c r="T126" s="1022"/>
      <c r="U126" s="1022"/>
      <c r="V126" s="1022"/>
      <c r="W126" s="1022"/>
      <c r="X126" s="1022"/>
      <c r="Y126" s="1022"/>
      <c r="Z126" s="1022"/>
      <c r="AA126" s="1022"/>
      <c r="AB126" s="1022"/>
      <c r="AC126" s="1022"/>
      <c r="AD126" s="1022"/>
      <c r="AE126" s="1022"/>
    </row>
    <row r="127" spans="1:31" s="903" customFormat="1" ht="19.5" customHeight="1">
      <c r="A127" s="898">
        <v>120</v>
      </c>
      <c r="B127" s="1044"/>
      <c r="C127" s="914"/>
      <c r="D127" s="1303"/>
      <c r="E127" s="1127" t="s">
        <v>283</v>
      </c>
      <c r="F127" s="1019"/>
      <c r="G127" s="1079"/>
      <c r="H127" s="1079"/>
      <c r="I127" s="1080"/>
      <c r="J127" s="1014">
        <f>SUM(K127:R127)</f>
        <v>0</v>
      </c>
      <c r="K127" s="1141"/>
      <c r="L127" s="1141"/>
      <c r="M127" s="1141"/>
      <c r="N127" s="1141"/>
      <c r="O127" s="1141"/>
      <c r="P127" s="1141"/>
      <c r="Q127" s="1141"/>
      <c r="R127" s="1142"/>
      <c r="S127" s="1022"/>
      <c r="T127" s="1022"/>
      <c r="U127" s="1022"/>
      <c r="V127" s="1022"/>
      <c r="W127" s="1022"/>
      <c r="X127" s="1022"/>
      <c r="Y127" s="1022"/>
      <c r="Z127" s="1022"/>
      <c r="AA127" s="1022"/>
      <c r="AB127" s="1022"/>
      <c r="AC127" s="1022"/>
      <c r="AD127" s="1022"/>
      <c r="AE127" s="1022"/>
    </row>
    <row r="128" spans="1:31" s="903" customFormat="1" ht="19.5" customHeight="1">
      <c r="A128" s="898">
        <v>121</v>
      </c>
      <c r="B128" s="1044"/>
      <c r="C128" s="914">
        <v>25</v>
      </c>
      <c r="D128" s="1464" t="s">
        <v>563</v>
      </c>
      <c r="E128" s="1465"/>
      <c r="F128" s="1019"/>
      <c r="G128" s="1079"/>
      <c r="H128" s="1079"/>
      <c r="I128" s="1080">
        <v>6504</v>
      </c>
      <c r="J128" s="1008"/>
      <c r="K128" s="1141"/>
      <c r="L128" s="1141"/>
      <c r="M128" s="1141"/>
      <c r="N128" s="1141"/>
      <c r="O128" s="1141"/>
      <c r="P128" s="1141"/>
      <c r="Q128" s="1141"/>
      <c r="R128" s="1142"/>
      <c r="S128" s="1022"/>
      <c r="T128" s="1022"/>
      <c r="U128" s="1022"/>
      <c r="V128" s="1022"/>
      <c r="W128" s="1022"/>
      <c r="X128" s="1022"/>
      <c r="Y128" s="1022"/>
      <c r="Z128" s="1022"/>
      <c r="AA128" s="1022"/>
      <c r="AB128" s="1022"/>
      <c r="AC128" s="1022"/>
      <c r="AD128" s="1022"/>
      <c r="AE128" s="1022"/>
    </row>
    <row r="129" spans="1:31" s="903" customFormat="1" ht="19.5" customHeight="1">
      <c r="A129" s="898">
        <v>122</v>
      </c>
      <c r="B129" s="1044"/>
      <c r="C129" s="914"/>
      <c r="D129" s="1303"/>
      <c r="E129" s="1127" t="s">
        <v>283</v>
      </c>
      <c r="F129" s="1019"/>
      <c r="G129" s="1079"/>
      <c r="H129" s="1079"/>
      <c r="I129" s="1080"/>
      <c r="J129" s="1014">
        <f>SUM(K129:R129)</f>
        <v>5132</v>
      </c>
      <c r="K129" s="1144">
        <v>4371</v>
      </c>
      <c r="L129" s="1144">
        <v>761</v>
      </c>
      <c r="M129" s="1141"/>
      <c r="N129" s="1141"/>
      <c r="O129" s="1141"/>
      <c r="P129" s="1141"/>
      <c r="Q129" s="1141"/>
      <c r="R129" s="1142"/>
      <c r="S129" s="1022"/>
      <c r="T129" s="1022"/>
      <c r="U129" s="1022"/>
      <c r="V129" s="1022"/>
      <c r="W129" s="1022"/>
      <c r="X129" s="1022"/>
      <c r="Y129" s="1022"/>
      <c r="Z129" s="1022"/>
      <c r="AA129" s="1022"/>
      <c r="AB129" s="1022"/>
      <c r="AC129" s="1022"/>
      <c r="AD129" s="1022"/>
      <c r="AE129" s="1022"/>
    </row>
    <row r="130" spans="1:31" s="903" customFormat="1" ht="19.5" customHeight="1">
      <c r="A130" s="898">
        <v>123</v>
      </c>
      <c r="B130" s="1044"/>
      <c r="C130" s="914">
        <v>26</v>
      </c>
      <c r="D130" s="1464" t="s">
        <v>564</v>
      </c>
      <c r="E130" s="1465"/>
      <c r="F130" s="1019"/>
      <c r="G130" s="1079"/>
      <c r="H130" s="1079"/>
      <c r="I130" s="1080">
        <v>3</v>
      </c>
      <c r="J130" s="1008"/>
      <c r="K130" s="1141"/>
      <c r="L130" s="1141"/>
      <c r="M130" s="1141"/>
      <c r="N130" s="1141"/>
      <c r="O130" s="1141"/>
      <c r="P130" s="1141"/>
      <c r="Q130" s="1141"/>
      <c r="R130" s="1142"/>
      <c r="S130" s="1022"/>
      <c r="T130" s="1022"/>
      <c r="U130" s="1022"/>
      <c r="V130" s="1022"/>
      <c r="W130" s="1022"/>
      <c r="X130" s="1022"/>
      <c r="Y130" s="1022"/>
      <c r="Z130" s="1022"/>
      <c r="AA130" s="1022"/>
      <c r="AB130" s="1022"/>
      <c r="AC130" s="1022"/>
      <c r="AD130" s="1022"/>
      <c r="AE130" s="1022"/>
    </row>
    <row r="131" spans="1:31" s="903" customFormat="1" ht="19.5" customHeight="1">
      <c r="A131" s="898">
        <v>124</v>
      </c>
      <c r="B131" s="1044"/>
      <c r="C131" s="914"/>
      <c r="D131" s="1303"/>
      <c r="E131" s="1127" t="s">
        <v>283</v>
      </c>
      <c r="F131" s="1019"/>
      <c r="G131" s="1079"/>
      <c r="H131" s="1079"/>
      <c r="I131" s="1080"/>
      <c r="J131" s="1014">
        <f>SUM(K131:R131)</f>
        <v>0</v>
      </c>
      <c r="K131" s="1141"/>
      <c r="L131" s="1141"/>
      <c r="M131" s="1141"/>
      <c r="N131" s="1141"/>
      <c r="O131" s="1141"/>
      <c r="P131" s="1141"/>
      <c r="Q131" s="1141"/>
      <c r="R131" s="1142"/>
      <c r="S131" s="1022"/>
      <c r="T131" s="1022"/>
      <c r="U131" s="1022"/>
      <c r="V131" s="1022"/>
      <c r="W131" s="1022"/>
      <c r="X131" s="1022"/>
      <c r="Y131" s="1022"/>
      <c r="Z131" s="1022"/>
      <c r="AA131" s="1022"/>
      <c r="AB131" s="1022"/>
      <c r="AC131" s="1022"/>
      <c r="AD131" s="1022"/>
      <c r="AE131" s="1022"/>
    </row>
    <row r="132" spans="1:31" s="903" customFormat="1" ht="19.5" customHeight="1">
      <c r="A132" s="898">
        <v>125</v>
      </c>
      <c r="B132" s="1044"/>
      <c r="C132" s="914">
        <v>27</v>
      </c>
      <c r="D132" s="1464" t="s">
        <v>565</v>
      </c>
      <c r="E132" s="1465"/>
      <c r="F132" s="1019"/>
      <c r="G132" s="1079"/>
      <c r="H132" s="1079"/>
      <c r="I132" s="1080">
        <v>13800</v>
      </c>
      <c r="J132" s="1008"/>
      <c r="K132" s="1141"/>
      <c r="L132" s="1141"/>
      <c r="M132" s="1141"/>
      <c r="N132" s="1141"/>
      <c r="O132" s="1141"/>
      <c r="P132" s="1141"/>
      <c r="Q132" s="1141"/>
      <c r="R132" s="1142"/>
      <c r="S132" s="1022"/>
      <c r="T132" s="1022"/>
      <c r="U132" s="1022"/>
      <c r="V132" s="1022"/>
      <c r="W132" s="1022"/>
      <c r="X132" s="1022"/>
      <c r="Y132" s="1022"/>
      <c r="Z132" s="1022"/>
      <c r="AA132" s="1022"/>
      <c r="AB132" s="1022"/>
      <c r="AC132" s="1022"/>
      <c r="AD132" s="1022"/>
      <c r="AE132" s="1022"/>
    </row>
    <row r="133" spans="1:31" s="903" customFormat="1" ht="19.5" customHeight="1">
      <c r="A133" s="898">
        <v>126</v>
      </c>
      <c r="B133" s="1044"/>
      <c r="C133" s="914"/>
      <c r="D133" s="1303"/>
      <c r="E133" s="1127" t="s">
        <v>283</v>
      </c>
      <c r="F133" s="1019"/>
      <c r="G133" s="1079"/>
      <c r="H133" s="1079"/>
      <c r="I133" s="1080"/>
      <c r="J133" s="1014">
        <f>SUM(K133:R133)</f>
        <v>13800</v>
      </c>
      <c r="K133" s="1144">
        <v>11948</v>
      </c>
      <c r="L133" s="1144">
        <v>1852</v>
      </c>
      <c r="M133" s="1141"/>
      <c r="N133" s="1141"/>
      <c r="O133" s="1141"/>
      <c r="P133" s="1141"/>
      <c r="Q133" s="1141"/>
      <c r="R133" s="1142"/>
      <c r="S133" s="1022"/>
      <c r="T133" s="1022"/>
      <c r="U133" s="1022"/>
      <c r="V133" s="1022"/>
      <c r="W133" s="1022"/>
      <c r="X133" s="1022"/>
      <c r="Y133" s="1022"/>
      <c r="Z133" s="1022"/>
      <c r="AA133" s="1022"/>
      <c r="AB133" s="1022"/>
      <c r="AC133" s="1022"/>
      <c r="AD133" s="1022"/>
      <c r="AE133" s="1022"/>
    </row>
    <row r="134" spans="1:31" s="903" customFormat="1" ht="19.5" customHeight="1">
      <c r="A134" s="898">
        <v>127</v>
      </c>
      <c r="B134" s="1044"/>
      <c r="C134" s="914">
        <v>28</v>
      </c>
      <c r="D134" s="1464" t="s">
        <v>566</v>
      </c>
      <c r="E134" s="1465"/>
      <c r="F134" s="1019"/>
      <c r="G134" s="1079"/>
      <c r="H134" s="1079"/>
      <c r="I134" s="1080">
        <v>23000</v>
      </c>
      <c r="J134" s="1008"/>
      <c r="K134" s="1144"/>
      <c r="L134" s="1144"/>
      <c r="M134" s="1141"/>
      <c r="N134" s="1141"/>
      <c r="O134" s="1141"/>
      <c r="P134" s="1141"/>
      <c r="Q134" s="1141"/>
      <c r="R134" s="1142"/>
      <c r="S134" s="1022"/>
      <c r="T134" s="1022"/>
      <c r="U134" s="1022"/>
      <c r="V134" s="1022"/>
      <c r="W134" s="1022"/>
      <c r="X134" s="1022"/>
      <c r="Y134" s="1022"/>
      <c r="Z134" s="1022"/>
      <c r="AA134" s="1022"/>
      <c r="AB134" s="1022"/>
      <c r="AC134" s="1022"/>
      <c r="AD134" s="1022"/>
      <c r="AE134" s="1022"/>
    </row>
    <row r="135" spans="1:31" s="903" customFormat="1" ht="19.5" customHeight="1">
      <c r="A135" s="898">
        <v>128</v>
      </c>
      <c r="B135" s="1044"/>
      <c r="C135" s="914"/>
      <c r="D135" s="1303"/>
      <c r="E135" s="1127" t="s">
        <v>283</v>
      </c>
      <c r="F135" s="1019"/>
      <c r="G135" s="1079"/>
      <c r="H135" s="1079"/>
      <c r="I135" s="1080"/>
      <c r="J135" s="1014">
        <f>SUM(K135:R135)</f>
        <v>21933</v>
      </c>
      <c r="K135" s="1144">
        <v>18989</v>
      </c>
      <c r="L135" s="1144">
        <v>2944</v>
      </c>
      <c r="M135" s="1141"/>
      <c r="N135" s="1141"/>
      <c r="O135" s="1141"/>
      <c r="P135" s="1141"/>
      <c r="Q135" s="1141"/>
      <c r="R135" s="1142"/>
      <c r="S135" s="1022"/>
      <c r="T135" s="1022"/>
      <c r="U135" s="1022"/>
      <c r="V135" s="1022"/>
      <c r="W135" s="1022"/>
      <c r="X135" s="1022"/>
      <c r="Y135" s="1022"/>
      <c r="Z135" s="1022"/>
      <c r="AA135" s="1022"/>
      <c r="AB135" s="1022"/>
      <c r="AC135" s="1022"/>
      <c r="AD135" s="1022"/>
      <c r="AE135" s="1022"/>
    </row>
    <row r="136" spans="1:31" s="903" customFormat="1" ht="18" customHeight="1">
      <c r="A136" s="898">
        <v>129</v>
      </c>
      <c r="B136" s="1044"/>
      <c r="C136" s="914">
        <v>38</v>
      </c>
      <c r="D136" s="1124" t="s">
        <v>413</v>
      </c>
      <c r="E136" s="1124"/>
      <c r="F136" s="1019"/>
      <c r="G136" s="1079">
        <v>16</v>
      </c>
      <c r="H136" s="1079"/>
      <c r="I136" s="1080"/>
      <c r="J136" s="1008"/>
      <c r="K136" s="1141"/>
      <c r="L136" s="1141"/>
      <c r="M136" s="1141"/>
      <c r="N136" s="1141"/>
      <c r="O136" s="1141"/>
      <c r="P136" s="1141"/>
      <c r="Q136" s="1141"/>
      <c r="R136" s="1142"/>
      <c r="S136" s="1022"/>
      <c r="T136" s="1022"/>
      <c r="U136" s="1022"/>
      <c r="V136" s="1022"/>
      <c r="W136" s="1022"/>
      <c r="X136" s="1022"/>
      <c r="Y136" s="1022"/>
      <c r="Z136" s="1022"/>
      <c r="AA136" s="1022"/>
      <c r="AB136" s="1022"/>
      <c r="AC136" s="1022"/>
      <c r="AD136" s="1022"/>
      <c r="AE136" s="1022"/>
    </row>
    <row r="137" spans="1:31" s="903" customFormat="1" ht="19.5" customHeight="1">
      <c r="A137" s="898">
        <v>130</v>
      </c>
      <c r="B137" s="1044"/>
      <c r="C137" s="914">
        <v>39</v>
      </c>
      <c r="D137" s="1124" t="s">
        <v>429</v>
      </c>
      <c r="E137" s="1148"/>
      <c r="F137" s="1146"/>
      <c r="G137" s="1079">
        <v>250</v>
      </c>
      <c r="H137" s="1079"/>
      <c r="I137" s="1080"/>
      <c r="J137" s="1008"/>
      <c r="K137" s="1141"/>
      <c r="L137" s="1141"/>
      <c r="M137" s="1141"/>
      <c r="N137" s="1141"/>
      <c r="O137" s="1141"/>
      <c r="P137" s="1141"/>
      <c r="Q137" s="1141"/>
      <c r="R137" s="1142"/>
      <c r="S137" s="1022"/>
      <c r="T137" s="1022"/>
      <c r="U137" s="1022"/>
      <c r="V137" s="1022"/>
      <c r="W137" s="1022"/>
      <c r="X137" s="1022"/>
      <c r="Y137" s="1022"/>
      <c r="Z137" s="1022"/>
      <c r="AA137" s="1022"/>
      <c r="AB137" s="1022"/>
      <c r="AC137" s="1022"/>
      <c r="AD137" s="1022"/>
      <c r="AE137" s="1022"/>
    </row>
    <row r="138" spans="1:31" s="903" customFormat="1" ht="19.5" customHeight="1">
      <c r="A138" s="898">
        <v>131</v>
      </c>
      <c r="B138" s="1044"/>
      <c r="C138" s="914">
        <v>40</v>
      </c>
      <c r="D138" s="1464" t="s">
        <v>713</v>
      </c>
      <c r="E138" s="1465"/>
      <c r="F138" s="1019"/>
      <c r="G138" s="1079"/>
      <c r="H138" s="1079"/>
      <c r="I138" s="1080"/>
      <c r="J138" s="1008"/>
      <c r="K138" s="1141"/>
      <c r="L138" s="1141"/>
      <c r="M138" s="1141"/>
      <c r="N138" s="1141"/>
      <c r="O138" s="1141"/>
      <c r="P138" s="1141"/>
      <c r="Q138" s="1141"/>
      <c r="R138" s="1142"/>
      <c r="S138" s="1022"/>
      <c r="T138" s="1022"/>
      <c r="U138" s="1022"/>
      <c r="V138" s="1022"/>
      <c r="W138" s="1022"/>
      <c r="X138" s="1022"/>
      <c r="Y138" s="1022"/>
      <c r="Z138" s="1022"/>
      <c r="AA138" s="1022"/>
      <c r="AB138" s="1022"/>
      <c r="AC138" s="1022"/>
      <c r="AD138" s="1022"/>
      <c r="AE138" s="1022"/>
    </row>
    <row r="139" spans="1:31" s="1157" customFormat="1" ht="19.5" customHeight="1">
      <c r="A139" s="898">
        <v>132</v>
      </c>
      <c r="B139" s="920"/>
      <c r="C139" s="1151"/>
      <c r="D139" s="1152"/>
      <c r="E139" s="1127" t="s">
        <v>283</v>
      </c>
      <c r="F139" s="1153"/>
      <c r="G139" s="1154"/>
      <c r="H139" s="1154"/>
      <c r="I139" s="1155"/>
      <c r="J139" s="1014">
        <f>SUM(K139:R139)</f>
        <v>31783</v>
      </c>
      <c r="K139" s="1144">
        <v>16822</v>
      </c>
      <c r="L139" s="1144">
        <v>2452</v>
      </c>
      <c r="M139" s="1144">
        <v>5669</v>
      </c>
      <c r="N139" s="1144"/>
      <c r="O139" s="1144"/>
      <c r="P139" s="1144">
        <v>6840</v>
      </c>
      <c r="Q139" s="1144"/>
      <c r="R139" s="1145"/>
      <c r="S139" s="1156"/>
      <c r="T139" s="1156"/>
      <c r="U139" s="1156"/>
      <c r="V139" s="1156"/>
      <c r="W139" s="1156"/>
      <c r="X139" s="1156"/>
      <c r="Y139" s="1156"/>
      <c r="Z139" s="1156"/>
      <c r="AA139" s="1156"/>
      <c r="AB139" s="1156"/>
      <c r="AC139" s="1156"/>
      <c r="AD139" s="1156"/>
      <c r="AE139" s="1156"/>
    </row>
    <row r="140" spans="1:31" s="903" customFormat="1" ht="19.5" customHeight="1">
      <c r="A140" s="898">
        <v>133</v>
      </c>
      <c r="B140" s="1044"/>
      <c r="C140" s="914">
        <v>41</v>
      </c>
      <c r="D140" s="1464" t="s">
        <v>659</v>
      </c>
      <c r="E140" s="1465"/>
      <c r="F140" s="1019"/>
      <c r="G140" s="1079"/>
      <c r="H140" s="1079"/>
      <c r="I140" s="1080"/>
      <c r="J140" s="1008"/>
      <c r="K140" s="1141"/>
      <c r="L140" s="1141"/>
      <c r="M140" s="1141"/>
      <c r="N140" s="1141"/>
      <c r="O140" s="1141"/>
      <c r="P140" s="1141"/>
      <c r="Q140" s="1141"/>
      <c r="R140" s="1142"/>
      <c r="S140" s="1022"/>
      <c r="T140" s="1022"/>
      <c r="U140" s="1022"/>
      <c r="V140" s="1022"/>
      <c r="W140" s="1022"/>
      <c r="X140" s="1022"/>
      <c r="Y140" s="1022"/>
      <c r="Z140" s="1022"/>
      <c r="AA140" s="1022"/>
      <c r="AB140" s="1022"/>
      <c r="AC140" s="1022"/>
      <c r="AD140" s="1022"/>
      <c r="AE140" s="1022"/>
    </row>
    <row r="141" spans="1:31" s="1157" customFormat="1" ht="19.5" customHeight="1">
      <c r="A141" s="898">
        <v>134</v>
      </c>
      <c r="B141" s="920"/>
      <c r="C141" s="1151"/>
      <c r="D141" s="1152"/>
      <c r="E141" s="1127" t="s">
        <v>283</v>
      </c>
      <c r="F141" s="1153"/>
      <c r="G141" s="1154"/>
      <c r="H141" s="1154"/>
      <c r="I141" s="1155"/>
      <c r="J141" s="1014">
        <f>SUM(K141:R141)</f>
        <v>2887</v>
      </c>
      <c r="K141" s="1144">
        <v>2500</v>
      </c>
      <c r="L141" s="1144">
        <v>387</v>
      </c>
      <c r="M141" s="1144"/>
      <c r="N141" s="1144"/>
      <c r="O141" s="1144"/>
      <c r="P141" s="1144"/>
      <c r="Q141" s="1144"/>
      <c r="R141" s="1145"/>
      <c r="S141" s="1156"/>
      <c r="T141" s="1156"/>
      <c r="U141" s="1156"/>
      <c r="V141" s="1156"/>
      <c r="W141" s="1156"/>
      <c r="X141" s="1156"/>
      <c r="Y141" s="1156"/>
      <c r="Z141" s="1156"/>
      <c r="AA141" s="1156"/>
      <c r="AB141" s="1156"/>
      <c r="AC141" s="1156"/>
      <c r="AD141" s="1156"/>
      <c r="AE141" s="1156"/>
    </row>
    <row r="142" spans="1:31" s="903" customFormat="1" ht="19.5" customHeight="1">
      <c r="A142" s="898">
        <v>135</v>
      </c>
      <c r="B142" s="1044"/>
      <c r="C142" s="914">
        <v>42</v>
      </c>
      <c r="D142" s="1464" t="s">
        <v>661</v>
      </c>
      <c r="E142" s="1465"/>
      <c r="F142" s="1019"/>
      <c r="G142" s="1079"/>
      <c r="H142" s="1079"/>
      <c r="I142" s="1080"/>
      <c r="J142" s="1008"/>
      <c r="K142" s="1141"/>
      <c r="L142" s="1141"/>
      <c r="M142" s="1141"/>
      <c r="N142" s="1141"/>
      <c r="O142" s="1141"/>
      <c r="P142" s="1141"/>
      <c r="Q142" s="1141"/>
      <c r="R142" s="1142"/>
      <c r="S142" s="1022"/>
      <c r="T142" s="1022"/>
      <c r="U142" s="1022"/>
      <c r="V142" s="1022"/>
      <c r="W142" s="1022"/>
      <c r="X142" s="1022"/>
      <c r="Y142" s="1022"/>
      <c r="Z142" s="1022"/>
      <c r="AA142" s="1022"/>
      <c r="AB142" s="1022"/>
      <c r="AC142" s="1022"/>
      <c r="AD142" s="1022"/>
      <c r="AE142" s="1022"/>
    </row>
    <row r="143" spans="1:31" s="1157" customFormat="1" ht="19.5" customHeight="1">
      <c r="A143" s="898">
        <v>136</v>
      </c>
      <c r="B143" s="920"/>
      <c r="C143" s="1151"/>
      <c r="D143" s="1152"/>
      <c r="E143" s="1127" t="s">
        <v>283</v>
      </c>
      <c r="F143" s="1153"/>
      <c r="G143" s="1154"/>
      <c r="H143" s="1154"/>
      <c r="I143" s="1155"/>
      <c r="J143" s="1014">
        <f>SUM(K143:R143)</f>
        <v>336</v>
      </c>
      <c r="K143" s="1144">
        <v>291</v>
      </c>
      <c r="L143" s="1144">
        <v>45</v>
      </c>
      <c r="M143" s="1144"/>
      <c r="N143" s="1144"/>
      <c r="O143" s="1144"/>
      <c r="P143" s="1144"/>
      <c r="Q143" s="1144"/>
      <c r="R143" s="1145"/>
      <c r="S143" s="1156"/>
      <c r="T143" s="1156"/>
      <c r="U143" s="1156"/>
      <c r="V143" s="1156"/>
      <c r="W143" s="1156"/>
      <c r="X143" s="1156"/>
      <c r="Y143" s="1156"/>
      <c r="Z143" s="1156"/>
      <c r="AA143" s="1156"/>
      <c r="AB143" s="1156"/>
      <c r="AC143" s="1156"/>
      <c r="AD143" s="1156"/>
      <c r="AE143" s="1156"/>
    </row>
    <row r="144" spans="1:31" s="903" customFormat="1" ht="19.5" customHeight="1">
      <c r="A144" s="898">
        <v>137</v>
      </c>
      <c r="B144" s="1044"/>
      <c r="C144" s="914">
        <v>43</v>
      </c>
      <c r="D144" s="1464" t="s">
        <v>664</v>
      </c>
      <c r="E144" s="1465"/>
      <c r="F144" s="1019"/>
      <c r="G144" s="1079"/>
      <c r="H144" s="1079"/>
      <c r="I144" s="1080"/>
      <c r="J144" s="1008"/>
      <c r="K144" s="1141"/>
      <c r="L144" s="1141"/>
      <c r="M144" s="1141"/>
      <c r="N144" s="1141"/>
      <c r="O144" s="1141"/>
      <c r="P144" s="1141"/>
      <c r="Q144" s="1141"/>
      <c r="R144" s="1142"/>
      <c r="S144" s="1022"/>
      <c r="T144" s="1022"/>
      <c r="U144" s="1022"/>
      <c r="V144" s="1022"/>
      <c r="W144" s="1022"/>
      <c r="X144" s="1022"/>
      <c r="Y144" s="1022"/>
      <c r="Z144" s="1022"/>
      <c r="AA144" s="1022"/>
      <c r="AB144" s="1022"/>
      <c r="AC144" s="1022"/>
      <c r="AD144" s="1022"/>
      <c r="AE144" s="1022"/>
    </row>
    <row r="145" spans="1:31" s="1157" customFormat="1" ht="19.5" customHeight="1">
      <c r="A145" s="898">
        <v>138</v>
      </c>
      <c r="B145" s="920"/>
      <c r="C145" s="1151"/>
      <c r="D145" s="1152"/>
      <c r="E145" s="1127" t="s">
        <v>283</v>
      </c>
      <c r="F145" s="1153"/>
      <c r="G145" s="1154"/>
      <c r="H145" s="1154"/>
      <c r="I145" s="1155"/>
      <c r="J145" s="1014">
        <f>SUM(K145:R145)</f>
        <v>20000</v>
      </c>
      <c r="K145" s="1144">
        <v>17699</v>
      </c>
      <c r="L145" s="1144">
        <v>2301</v>
      </c>
      <c r="M145" s="1144"/>
      <c r="N145" s="1144"/>
      <c r="O145" s="1144"/>
      <c r="P145" s="1144"/>
      <c r="Q145" s="1144"/>
      <c r="R145" s="1145"/>
      <c r="S145" s="1156"/>
      <c r="T145" s="1156"/>
      <c r="U145" s="1156"/>
      <c r="V145" s="1156"/>
      <c r="W145" s="1156"/>
      <c r="X145" s="1156"/>
      <c r="Y145" s="1156"/>
      <c r="Z145" s="1156"/>
      <c r="AA145" s="1156"/>
      <c r="AB145" s="1156"/>
      <c r="AC145" s="1156"/>
      <c r="AD145" s="1156"/>
      <c r="AE145" s="1156"/>
    </row>
    <row r="146" spans="1:31" s="903" customFormat="1" ht="19.5" customHeight="1">
      <c r="A146" s="898">
        <v>139</v>
      </c>
      <c r="B146" s="1044"/>
      <c r="C146" s="914">
        <v>44</v>
      </c>
      <c r="D146" s="1464" t="s">
        <v>667</v>
      </c>
      <c r="E146" s="1465"/>
      <c r="F146" s="1019"/>
      <c r="G146" s="1079"/>
      <c r="H146" s="1079"/>
      <c r="I146" s="1080"/>
      <c r="J146" s="1008"/>
      <c r="K146" s="1141"/>
      <c r="L146" s="1141"/>
      <c r="M146" s="1141"/>
      <c r="N146" s="1141"/>
      <c r="O146" s="1141"/>
      <c r="P146" s="1141"/>
      <c r="Q146" s="1141"/>
      <c r="R146" s="1142"/>
      <c r="S146" s="1022"/>
      <c r="T146" s="1022"/>
      <c r="U146" s="1022"/>
      <c r="V146" s="1022"/>
      <c r="W146" s="1022"/>
      <c r="X146" s="1022"/>
      <c r="Y146" s="1022"/>
      <c r="Z146" s="1022"/>
      <c r="AA146" s="1022"/>
      <c r="AB146" s="1022"/>
      <c r="AC146" s="1022"/>
      <c r="AD146" s="1022"/>
      <c r="AE146" s="1022"/>
    </row>
    <row r="147" spans="1:31" s="1157" customFormat="1" ht="19.5" customHeight="1">
      <c r="A147" s="898">
        <v>140</v>
      </c>
      <c r="B147" s="920"/>
      <c r="C147" s="1151"/>
      <c r="D147" s="1152"/>
      <c r="E147" s="1127" t="s">
        <v>283</v>
      </c>
      <c r="F147" s="1153"/>
      <c r="G147" s="1154"/>
      <c r="H147" s="1154"/>
      <c r="I147" s="1155"/>
      <c r="J147" s="1014">
        <f>SUM(K147:R147)</f>
        <v>254</v>
      </c>
      <c r="K147" s="1144">
        <v>220</v>
      </c>
      <c r="L147" s="1144">
        <v>34</v>
      </c>
      <c r="M147" s="1144"/>
      <c r="N147" s="1144"/>
      <c r="O147" s="1144"/>
      <c r="P147" s="1144"/>
      <c r="Q147" s="1144"/>
      <c r="R147" s="1145"/>
      <c r="S147" s="1156"/>
      <c r="T147" s="1156"/>
      <c r="U147" s="1156"/>
      <c r="V147" s="1156"/>
      <c r="W147" s="1156"/>
      <c r="X147" s="1156"/>
      <c r="Y147" s="1156"/>
      <c r="Z147" s="1156"/>
      <c r="AA147" s="1156"/>
      <c r="AB147" s="1156"/>
      <c r="AC147" s="1156"/>
      <c r="AD147" s="1156"/>
      <c r="AE147" s="1156"/>
    </row>
    <row r="148" spans="1:31" s="903" customFormat="1" ht="19.5" customHeight="1">
      <c r="A148" s="898">
        <v>141</v>
      </c>
      <c r="B148" s="1044"/>
      <c r="C148" s="914">
        <v>45</v>
      </c>
      <c r="D148" s="1464" t="s">
        <v>671</v>
      </c>
      <c r="E148" s="1465"/>
      <c r="F148" s="1019"/>
      <c r="G148" s="1079"/>
      <c r="H148" s="1079"/>
      <c r="I148" s="1080"/>
      <c r="J148" s="1008"/>
      <c r="K148" s="1141"/>
      <c r="L148" s="1141"/>
      <c r="M148" s="1141"/>
      <c r="N148" s="1141"/>
      <c r="O148" s="1141"/>
      <c r="P148" s="1141"/>
      <c r="Q148" s="1141"/>
      <c r="R148" s="1142"/>
      <c r="S148" s="1022"/>
      <c r="T148" s="1022"/>
      <c r="U148" s="1022"/>
      <c r="V148" s="1022"/>
      <c r="W148" s="1022"/>
      <c r="X148" s="1022"/>
      <c r="Y148" s="1022"/>
      <c r="Z148" s="1022"/>
      <c r="AA148" s="1022"/>
      <c r="AB148" s="1022"/>
      <c r="AC148" s="1022"/>
      <c r="AD148" s="1022"/>
      <c r="AE148" s="1022"/>
    </row>
    <row r="149" spans="1:31" s="1157" customFormat="1" ht="19.5" customHeight="1" thickBot="1">
      <c r="A149" s="898">
        <v>142</v>
      </c>
      <c r="B149" s="920"/>
      <c r="C149" s="1151"/>
      <c r="D149" s="1152"/>
      <c r="E149" s="1127" t="s">
        <v>283</v>
      </c>
      <c r="F149" s="1153"/>
      <c r="G149" s="1154"/>
      <c r="H149" s="1154"/>
      <c r="I149" s="1155"/>
      <c r="J149" s="1014">
        <f>SUM(K149:R149)</f>
        <v>5066</v>
      </c>
      <c r="K149" s="1144">
        <v>4386</v>
      </c>
      <c r="L149" s="1144">
        <v>680</v>
      </c>
      <c r="M149" s="1144"/>
      <c r="N149" s="1144"/>
      <c r="O149" s="1144"/>
      <c r="P149" s="1144"/>
      <c r="Q149" s="1144"/>
      <c r="R149" s="1145"/>
      <c r="S149" s="1156"/>
      <c r="T149" s="1156"/>
      <c r="U149" s="1156"/>
      <c r="V149" s="1156"/>
      <c r="W149" s="1156"/>
      <c r="X149" s="1156"/>
      <c r="Y149" s="1156"/>
      <c r="Z149" s="1156"/>
      <c r="AA149" s="1156"/>
      <c r="AB149" s="1156"/>
      <c r="AC149" s="1156"/>
      <c r="AD149" s="1156"/>
      <c r="AE149" s="1156"/>
    </row>
    <row r="150" spans="1:31" s="960" customFormat="1" ht="22.5" customHeight="1" thickTop="1">
      <c r="A150" s="898">
        <v>143</v>
      </c>
      <c r="B150" s="1158"/>
      <c r="C150" s="1454" t="s">
        <v>405</v>
      </c>
      <c r="D150" s="1455"/>
      <c r="E150" s="1456"/>
      <c r="F150" s="1159"/>
      <c r="G150" s="1027">
        <f>SUM(G77:G137)</f>
        <v>1490907</v>
      </c>
      <c r="H150" s="1027">
        <f>SUM(H77:H137)</f>
        <v>1889184</v>
      </c>
      <c r="I150" s="1027">
        <f>SUM(I77:I137)</f>
        <v>2339168</v>
      </c>
      <c r="J150" s="1029"/>
      <c r="K150" s="1065"/>
      <c r="L150" s="1065"/>
      <c r="M150" s="1065"/>
      <c r="N150" s="1065"/>
      <c r="O150" s="1065"/>
      <c r="P150" s="1065"/>
      <c r="Q150" s="1065"/>
      <c r="R150" s="1066"/>
      <c r="S150" s="1020"/>
      <c r="T150" s="1020"/>
      <c r="U150" s="1020"/>
      <c r="V150" s="1020"/>
      <c r="W150" s="1020"/>
      <c r="X150" s="1020"/>
      <c r="Y150" s="1020"/>
      <c r="Z150" s="1020"/>
      <c r="AA150" s="1020"/>
      <c r="AB150" s="1020"/>
      <c r="AC150" s="1020"/>
      <c r="AD150" s="1020"/>
      <c r="AE150" s="1020"/>
    </row>
    <row r="151" spans="1:31" s="927" customFormat="1" ht="18" customHeight="1" thickBot="1">
      <c r="A151" s="898">
        <v>144</v>
      </c>
      <c r="B151" s="920"/>
      <c r="C151" s="971"/>
      <c r="D151" s="1160"/>
      <c r="E151" s="1161" t="s">
        <v>283</v>
      </c>
      <c r="F151" s="1162"/>
      <c r="G151" s="1163"/>
      <c r="H151" s="1163"/>
      <c r="I151" s="1105"/>
      <c r="J151" s="1106">
        <f>SUM(K151:R151)</f>
        <v>2107457</v>
      </c>
      <c r="K151" s="1164">
        <f>#VALUE!</f>
        <v>1440528</v>
      </c>
      <c r="L151" s="1164">
        <f aca="true" t="shared" si="4" ref="L151:R151">#VALUE!</f>
        <v>222093</v>
      </c>
      <c r="M151" s="1164">
        <f>#VALUE!</f>
        <v>369896</v>
      </c>
      <c r="N151" s="1164">
        <f>#VALUE!</f>
        <v>0</v>
      </c>
      <c r="O151" s="1164">
        <f>#VALUE!</f>
        <v>0</v>
      </c>
      <c r="P151" s="1164">
        <f>#VALUE!</f>
        <v>74940</v>
      </c>
      <c r="Q151" s="1164">
        <f>#VALUE!</f>
        <v>0</v>
      </c>
      <c r="R151" s="1169">
        <f>#VALUE!</f>
        <v>0</v>
      </c>
      <c r="S151" s="1017"/>
      <c r="T151" s="1017"/>
      <c r="U151" s="1017"/>
      <c r="V151" s="1017"/>
      <c r="W151" s="1017"/>
      <c r="X151" s="1017"/>
      <c r="Y151" s="1017"/>
      <c r="Z151" s="1017"/>
      <c r="AA151" s="1017"/>
      <c r="AB151" s="1017"/>
      <c r="AC151" s="1017"/>
      <c r="AD151" s="1017"/>
      <c r="AE151" s="1017"/>
    </row>
    <row r="152" spans="1:31" s="960" customFormat="1" ht="36" customHeight="1">
      <c r="A152" s="898">
        <v>145</v>
      </c>
      <c r="B152" s="1435" t="s">
        <v>13</v>
      </c>
      <c r="C152" s="1436"/>
      <c r="D152" s="1436"/>
      <c r="E152" s="1437"/>
      <c r="F152" s="1165"/>
      <c r="G152" s="1166">
        <f>SUM(G150,G75)</f>
        <v>7660387</v>
      </c>
      <c r="H152" s="1166">
        <f>SUM(H150,H75)</f>
        <v>8835002</v>
      </c>
      <c r="I152" s="1166">
        <f>SUM(I150,I75)</f>
        <v>10191824</v>
      </c>
      <c r="J152" s="1167"/>
      <c r="K152" s="1166"/>
      <c r="L152" s="1166"/>
      <c r="M152" s="1166"/>
      <c r="N152" s="1166"/>
      <c r="O152" s="1166"/>
      <c r="P152" s="1166"/>
      <c r="Q152" s="1166"/>
      <c r="R152" s="1168"/>
      <c r="S152" s="1020"/>
      <c r="T152" s="1020"/>
      <c r="U152" s="1020"/>
      <c r="V152" s="1020"/>
      <c r="W152" s="1020"/>
      <c r="X152" s="1020"/>
      <c r="Y152" s="1020"/>
      <c r="Z152" s="1020"/>
      <c r="AA152" s="1020"/>
      <c r="AB152" s="1020"/>
      <c r="AC152" s="1020"/>
      <c r="AD152" s="1020"/>
      <c r="AE152" s="1020"/>
    </row>
    <row r="153" spans="1:31" s="927" customFormat="1" ht="18" customHeight="1" thickBot="1">
      <c r="A153" s="898">
        <v>146</v>
      </c>
      <c r="B153" s="970"/>
      <c r="C153" s="971"/>
      <c r="D153" s="1160"/>
      <c r="E153" s="1161" t="s">
        <v>283</v>
      </c>
      <c r="F153" s="1162"/>
      <c r="G153" s="1163"/>
      <c r="H153" s="1163"/>
      <c r="I153" s="1105"/>
      <c r="J153" s="1106">
        <f>SUM(K153:R153)</f>
        <v>9930973</v>
      </c>
      <c r="K153" s="1164">
        <f aca="true" t="shared" si="5" ref="K153:R153">SUM(K151,K76)</f>
        <v>5743371</v>
      </c>
      <c r="L153" s="1164">
        <f t="shared" si="5"/>
        <v>858254</v>
      </c>
      <c r="M153" s="1164">
        <f t="shared" si="5"/>
        <v>3126751</v>
      </c>
      <c r="N153" s="1164">
        <f t="shared" si="5"/>
        <v>0</v>
      </c>
      <c r="O153" s="1164">
        <f t="shared" si="5"/>
        <v>1200</v>
      </c>
      <c r="P153" s="1164">
        <f t="shared" si="5"/>
        <v>201397</v>
      </c>
      <c r="Q153" s="1164">
        <f t="shared" si="5"/>
        <v>0</v>
      </c>
      <c r="R153" s="1169">
        <f t="shared" si="5"/>
        <v>0</v>
      </c>
      <c r="S153" s="1017"/>
      <c r="T153" s="1017"/>
      <c r="U153" s="1017"/>
      <c r="V153" s="1017"/>
      <c r="W153" s="1017"/>
      <c r="X153" s="1017"/>
      <c r="Y153" s="1017"/>
      <c r="Z153" s="1017"/>
      <c r="AA153" s="1017"/>
      <c r="AB153" s="1017"/>
      <c r="AC153" s="1017"/>
      <c r="AD153" s="1017"/>
      <c r="AE153" s="1017"/>
    </row>
    <row r="154" spans="1:31" s="904" customFormat="1" ht="15" customHeight="1">
      <c r="A154" s="898">
        <v>147</v>
      </c>
      <c r="B154" s="1472" t="s">
        <v>152</v>
      </c>
      <c r="C154" s="1473"/>
      <c r="D154" s="1473"/>
      <c r="E154" s="1474"/>
      <c r="F154" s="1170"/>
      <c r="G154" s="1113"/>
      <c r="H154" s="1113"/>
      <c r="I154" s="1171"/>
      <c r="J154" s="1172"/>
      <c r="K154" s="1113"/>
      <c r="L154" s="1113"/>
      <c r="M154" s="1113"/>
      <c r="N154" s="1113"/>
      <c r="O154" s="1113"/>
      <c r="P154" s="1113"/>
      <c r="Q154" s="1113"/>
      <c r="R154" s="1114"/>
      <c r="S154" s="459"/>
      <c r="T154" s="1025"/>
      <c r="U154" s="1025"/>
      <c r="V154" s="1025"/>
      <c r="W154" s="1025"/>
      <c r="X154" s="1025"/>
      <c r="Y154" s="1025"/>
      <c r="Z154" s="1025"/>
      <c r="AA154" s="1025"/>
      <c r="AB154" s="1025"/>
      <c r="AC154" s="1025"/>
      <c r="AD154" s="1025"/>
      <c r="AE154" s="1025"/>
    </row>
    <row r="155" spans="1:31" s="904" customFormat="1" ht="15" customHeight="1">
      <c r="A155" s="898">
        <v>148</v>
      </c>
      <c r="B155" s="1466" t="s">
        <v>153</v>
      </c>
      <c r="C155" s="1467"/>
      <c r="D155" s="1467"/>
      <c r="E155" s="1468"/>
      <c r="F155" s="1468"/>
      <c r="G155" s="1140">
        <f>SUM(G38:G57,G36,G26,G73)</f>
        <v>5189835</v>
      </c>
      <c r="H155" s="1140">
        <f>SUM(H38:H57,H36,H26,H73)+H58</f>
        <v>6039998</v>
      </c>
      <c r="I155" s="1173">
        <f>SUM(I38:I57,I36,I26,I73)+I58</f>
        <v>6615434</v>
      </c>
      <c r="J155" s="1174"/>
      <c r="K155" s="1079"/>
      <c r="L155" s="1079"/>
      <c r="M155" s="1079"/>
      <c r="N155" s="1079"/>
      <c r="O155" s="1079"/>
      <c r="P155" s="1079"/>
      <c r="Q155" s="1079"/>
      <c r="R155" s="1175"/>
      <c r="S155" s="459"/>
      <c r="T155" s="1025"/>
      <c r="U155" s="1025"/>
      <c r="V155" s="1025"/>
      <c r="W155" s="1025"/>
      <c r="X155" s="1025"/>
      <c r="Y155" s="1025"/>
      <c r="Z155" s="1025"/>
      <c r="AA155" s="1025"/>
      <c r="AB155" s="1025"/>
      <c r="AC155" s="1025"/>
      <c r="AD155" s="1025"/>
      <c r="AE155" s="1025"/>
    </row>
    <row r="156" spans="1:31" s="927" customFormat="1" ht="15" customHeight="1">
      <c r="A156" s="898">
        <v>149</v>
      </c>
      <c r="B156" s="1176"/>
      <c r="C156" s="1177"/>
      <c r="D156" s="1177"/>
      <c r="E156" s="1011" t="s">
        <v>283</v>
      </c>
      <c r="F156" s="1178"/>
      <c r="G156" s="1179"/>
      <c r="H156" s="1179"/>
      <c r="I156" s="1180"/>
      <c r="J156" s="1144">
        <f>SUM(K156:R156)</f>
        <v>6785973</v>
      </c>
      <c r="K156" s="1144">
        <f>SUM(K27,K37,K39,K41,K45,K51,K53,K55,K74,)+K59+K47+K57+K49+K43</f>
        <v>3657158</v>
      </c>
      <c r="L156" s="1144">
        <f aca="true" t="shared" si="6" ref="L156:R156">SUM(L27,L37,L39,L41,L45,L51,L53,L55,L74,)+L59+L47+L57+L49+L43</f>
        <v>554608</v>
      </c>
      <c r="M156" s="1144">
        <f t="shared" si="6"/>
        <v>2446964</v>
      </c>
      <c r="N156" s="1144">
        <f t="shared" si="6"/>
        <v>0</v>
      </c>
      <c r="O156" s="1144">
        <f t="shared" si="6"/>
        <v>1200</v>
      </c>
      <c r="P156" s="1144">
        <f t="shared" si="6"/>
        <v>126043</v>
      </c>
      <c r="Q156" s="1144">
        <f t="shared" si="6"/>
        <v>0</v>
      </c>
      <c r="R156" s="1145">
        <f t="shared" si="6"/>
        <v>0</v>
      </c>
      <c r="S156" s="1021"/>
      <c r="T156" s="1017"/>
      <c r="U156" s="1017"/>
      <c r="V156" s="1017"/>
      <c r="W156" s="1017"/>
      <c r="X156" s="1017"/>
      <c r="Y156" s="1017"/>
      <c r="Z156" s="1017"/>
      <c r="AA156" s="1017"/>
      <c r="AB156" s="1017"/>
      <c r="AC156" s="1017"/>
      <c r="AD156" s="1017"/>
      <c r="AE156" s="1017"/>
    </row>
    <row r="157" spans="1:31" s="904" customFormat="1" ht="15" customHeight="1">
      <c r="A157" s="898">
        <v>150</v>
      </c>
      <c r="B157" s="1466" t="s">
        <v>152</v>
      </c>
      <c r="C157" s="1467"/>
      <c r="D157" s="1467"/>
      <c r="E157" s="1468"/>
      <c r="F157" s="1181"/>
      <c r="G157" s="1140"/>
      <c r="H157" s="1140"/>
      <c r="I157" s="1173"/>
      <c r="J157" s="1182"/>
      <c r="K157" s="1140"/>
      <c r="L157" s="1140"/>
      <c r="M157" s="1140"/>
      <c r="N157" s="1140"/>
      <c r="O157" s="1140"/>
      <c r="P157" s="1140"/>
      <c r="Q157" s="1140"/>
      <c r="R157" s="1183"/>
      <c r="S157" s="459"/>
      <c r="T157" s="1025"/>
      <c r="U157" s="1025"/>
      <c r="V157" s="1025"/>
      <c r="W157" s="1025"/>
      <c r="X157" s="1025"/>
      <c r="Y157" s="1025"/>
      <c r="Z157" s="1025"/>
      <c r="AA157" s="1025"/>
      <c r="AB157" s="1025"/>
      <c r="AC157" s="1025"/>
      <c r="AD157" s="1025"/>
      <c r="AE157" s="1025"/>
    </row>
    <row r="158" spans="1:31" s="904" customFormat="1" ht="15" customHeight="1">
      <c r="A158" s="898">
        <v>151</v>
      </c>
      <c r="B158" s="1466" t="s">
        <v>154</v>
      </c>
      <c r="C158" s="1467"/>
      <c r="D158" s="1467"/>
      <c r="E158" s="1468"/>
      <c r="F158" s="1468"/>
      <c r="G158" s="1140">
        <f>SUM(G60:G70)</f>
        <v>979645</v>
      </c>
      <c r="H158" s="1140">
        <f>SUM(H60:H70)</f>
        <v>905820</v>
      </c>
      <c r="I158" s="1173">
        <f>SUM(I60:I70)</f>
        <v>1237222</v>
      </c>
      <c r="J158" s="1182"/>
      <c r="K158" s="1140"/>
      <c r="L158" s="1140"/>
      <c r="M158" s="1140"/>
      <c r="N158" s="1140"/>
      <c r="O158" s="1140"/>
      <c r="P158" s="1140"/>
      <c r="Q158" s="1140"/>
      <c r="R158" s="1183"/>
      <c r="S158" s="459"/>
      <c r="T158" s="1025"/>
      <c r="U158" s="1025"/>
      <c r="V158" s="1025"/>
      <c r="W158" s="1025"/>
      <c r="X158" s="1025"/>
      <c r="Y158" s="1025"/>
      <c r="Z158" s="1025"/>
      <c r="AA158" s="1025"/>
      <c r="AB158" s="1025"/>
      <c r="AC158" s="1025"/>
      <c r="AD158" s="1025"/>
      <c r="AE158" s="1025"/>
    </row>
    <row r="159" spans="1:31" s="927" customFormat="1" ht="15" customHeight="1">
      <c r="A159" s="898">
        <v>152</v>
      </c>
      <c r="B159" s="1176"/>
      <c r="C159" s="1177"/>
      <c r="D159" s="1177"/>
      <c r="E159" s="1011" t="s">
        <v>283</v>
      </c>
      <c r="F159" s="1178"/>
      <c r="G159" s="1179"/>
      <c r="H159" s="1179"/>
      <c r="I159" s="1184"/>
      <c r="J159" s="1185">
        <f>SUM(K159:R159)</f>
        <v>1037543</v>
      </c>
      <c r="K159" s="1144">
        <f>SUM(K61,K63,K70)+K66+K68</f>
        <v>645685</v>
      </c>
      <c r="L159" s="1144">
        <f aca="true" t="shared" si="7" ref="L159:R159">SUM(L61,L63,L70)+L66+L68</f>
        <v>81553</v>
      </c>
      <c r="M159" s="1144">
        <f t="shared" si="7"/>
        <v>309891</v>
      </c>
      <c r="N159" s="1144">
        <f t="shared" si="7"/>
        <v>0</v>
      </c>
      <c r="O159" s="1144">
        <f t="shared" si="7"/>
        <v>0</v>
      </c>
      <c r="P159" s="1144">
        <f t="shared" si="7"/>
        <v>414</v>
      </c>
      <c r="Q159" s="1144">
        <f t="shared" si="7"/>
        <v>0</v>
      </c>
      <c r="R159" s="1145">
        <f t="shared" si="7"/>
        <v>0</v>
      </c>
      <c r="S159" s="1021"/>
      <c r="T159" s="1017"/>
      <c r="U159" s="1017"/>
      <c r="V159" s="1017"/>
      <c r="W159" s="1017"/>
      <c r="X159" s="1017"/>
      <c r="Y159" s="1017"/>
      <c r="Z159" s="1017"/>
      <c r="AA159" s="1017"/>
      <c r="AB159" s="1017"/>
      <c r="AC159" s="1017"/>
      <c r="AD159" s="1017"/>
      <c r="AE159" s="1017"/>
    </row>
    <row r="160" spans="1:31" s="904" customFormat="1" ht="15" customHeight="1">
      <c r="A160" s="898">
        <v>153</v>
      </c>
      <c r="B160" s="1466" t="s">
        <v>152</v>
      </c>
      <c r="C160" s="1467"/>
      <c r="D160" s="1467"/>
      <c r="E160" s="1468"/>
      <c r="F160" s="1181"/>
      <c r="G160" s="1140"/>
      <c r="H160" s="1140"/>
      <c r="I160" s="1173"/>
      <c r="J160" s="1182"/>
      <c r="K160" s="1141"/>
      <c r="L160" s="1141"/>
      <c r="M160" s="1141"/>
      <c r="N160" s="1141"/>
      <c r="O160" s="1141"/>
      <c r="P160" s="1141"/>
      <c r="Q160" s="1141"/>
      <c r="R160" s="1142"/>
      <c r="S160" s="459"/>
      <c r="T160" s="1025"/>
      <c r="U160" s="1025"/>
      <c r="V160" s="1025"/>
      <c r="W160" s="1025"/>
      <c r="X160" s="1025"/>
      <c r="Y160" s="1025"/>
      <c r="Z160" s="1025"/>
      <c r="AA160" s="1025"/>
      <c r="AB160" s="1025"/>
      <c r="AC160" s="1025"/>
      <c r="AD160" s="1025"/>
      <c r="AE160" s="1025"/>
    </row>
    <row r="161" spans="1:31" s="904" customFormat="1" ht="15" customHeight="1">
      <c r="A161" s="898">
        <v>154</v>
      </c>
      <c r="B161" s="1469" t="s">
        <v>155</v>
      </c>
      <c r="C161" s="1470"/>
      <c r="D161" s="1470"/>
      <c r="E161" s="1471"/>
      <c r="F161" s="1471"/>
      <c r="G161" s="1186">
        <f>SUM(G150)</f>
        <v>1490907</v>
      </c>
      <c r="H161" s="1186">
        <f>SUM(H150)</f>
        <v>1889184</v>
      </c>
      <c r="I161" s="1187">
        <f>SUM(I150)</f>
        <v>2339168</v>
      </c>
      <c r="J161" s="1182"/>
      <c r="K161" s="1140"/>
      <c r="L161" s="1140"/>
      <c r="M161" s="1140"/>
      <c r="N161" s="1140"/>
      <c r="O161" s="1140"/>
      <c r="P161" s="1140"/>
      <c r="Q161" s="1140"/>
      <c r="R161" s="1183"/>
      <c r="S161" s="459"/>
      <c r="T161" s="1025"/>
      <c r="U161" s="1025"/>
      <c r="V161" s="1025"/>
      <c r="W161" s="1025"/>
      <c r="X161" s="1025"/>
      <c r="Y161" s="1025"/>
      <c r="Z161" s="1025"/>
      <c r="AA161" s="1025"/>
      <c r="AB161" s="1025"/>
      <c r="AC161" s="1025"/>
      <c r="AD161" s="1025"/>
      <c r="AE161" s="1025"/>
    </row>
    <row r="162" spans="1:31" s="939" customFormat="1" ht="15" customHeight="1" thickBot="1">
      <c r="A162" s="898">
        <v>155</v>
      </c>
      <c r="B162" s="1188"/>
      <c r="C162" s="1189"/>
      <c r="D162" s="1189"/>
      <c r="E162" s="1103" t="s">
        <v>283</v>
      </c>
      <c r="F162" s="1190"/>
      <c r="G162" s="1191"/>
      <c r="H162" s="1191"/>
      <c r="I162" s="1192"/>
      <c r="J162" s="1193">
        <f>SUM(K162:R162)</f>
        <v>2107457</v>
      </c>
      <c r="K162" s="1164">
        <f>K151</f>
        <v>1440528</v>
      </c>
      <c r="L162" s="1164">
        <f aca="true" t="shared" si="8" ref="L162:R162">L151</f>
        <v>222093</v>
      </c>
      <c r="M162" s="1164">
        <f t="shared" si="8"/>
        <v>369896</v>
      </c>
      <c r="N162" s="1164">
        <f t="shared" si="8"/>
        <v>0</v>
      </c>
      <c r="O162" s="1164">
        <f t="shared" si="8"/>
        <v>0</v>
      </c>
      <c r="P162" s="1164">
        <f t="shared" si="8"/>
        <v>74940</v>
      </c>
      <c r="Q162" s="1164">
        <f t="shared" si="8"/>
        <v>0</v>
      </c>
      <c r="R162" s="1169">
        <f t="shared" si="8"/>
        <v>0</v>
      </c>
      <c r="S162" s="1021"/>
      <c r="T162" s="1021"/>
      <c r="U162" s="1021"/>
      <c r="V162" s="1021"/>
      <c r="W162" s="1021"/>
      <c r="X162" s="1021"/>
      <c r="Y162" s="1021"/>
      <c r="Z162" s="1021"/>
      <c r="AA162" s="1021"/>
      <c r="AB162" s="1021"/>
      <c r="AC162" s="1021"/>
      <c r="AD162" s="1021"/>
      <c r="AE162" s="1021"/>
    </row>
    <row r="163" spans="1:31" s="1199" customFormat="1" ht="18" customHeight="1">
      <c r="A163" s="42"/>
      <c r="B163" s="1194" t="s">
        <v>27</v>
      </c>
      <c r="C163" s="1194"/>
      <c r="D163" s="1194"/>
      <c r="E163" s="1195"/>
      <c r="F163" s="1196"/>
      <c r="G163" s="1197"/>
      <c r="H163" s="1197"/>
      <c r="I163" s="1197"/>
      <c r="J163" s="1198"/>
      <c r="K163" s="1197"/>
      <c r="L163" s="1197"/>
      <c r="M163" s="1197"/>
      <c r="N163" s="1197"/>
      <c r="O163" s="1197"/>
      <c r="P163" s="1197"/>
      <c r="Q163" s="1197"/>
      <c r="R163" s="1197"/>
      <c r="S163" s="459"/>
      <c r="T163" s="459"/>
      <c r="U163" s="459"/>
      <c r="V163" s="459"/>
      <c r="W163" s="459"/>
      <c r="X163" s="459"/>
      <c r="Y163" s="459"/>
      <c r="Z163" s="459"/>
      <c r="AA163" s="459"/>
      <c r="AB163" s="459"/>
      <c r="AC163" s="459"/>
      <c r="AD163" s="459"/>
      <c r="AE163" s="459"/>
    </row>
    <row r="164" spans="1:31" s="1125" customFormat="1" ht="18" customHeight="1">
      <c r="A164" s="42"/>
      <c r="B164" s="1200" t="s">
        <v>28</v>
      </c>
      <c r="C164" s="1200"/>
      <c r="D164" s="1200"/>
      <c r="E164" s="458"/>
      <c r="F164" s="458"/>
      <c r="G164" s="458"/>
      <c r="H164" s="458"/>
      <c r="I164" s="458"/>
      <c r="J164" s="458"/>
      <c r="K164" s="460"/>
      <c r="L164" s="460"/>
      <c r="M164" s="460"/>
      <c r="N164" s="460"/>
      <c r="O164" s="460"/>
      <c r="P164" s="460"/>
      <c r="Q164" s="460"/>
      <c r="R164" s="460"/>
      <c r="S164" s="997"/>
      <c r="T164" s="997"/>
      <c r="U164" s="997"/>
      <c r="V164" s="997"/>
      <c r="W164" s="997"/>
      <c r="X164" s="997"/>
      <c r="Y164" s="997"/>
      <c r="Z164" s="997"/>
      <c r="AA164" s="997"/>
      <c r="AB164" s="997"/>
      <c r="AC164" s="997"/>
      <c r="AD164" s="997"/>
      <c r="AE164" s="997"/>
    </row>
    <row r="165" spans="1:4" ht="18" customHeight="1">
      <c r="A165" s="42"/>
      <c r="B165" s="1200" t="s">
        <v>29</v>
      </c>
      <c r="C165" s="1200"/>
      <c r="D165" s="1200"/>
    </row>
    <row r="166" spans="11:18" ht="15">
      <c r="K166" s="997"/>
      <c r="L166" s="997"/>
      <c r="M166" s="997"/>
      <c r="N166" s="997"/>
      <c r="O166" s="997"/>
      <c r="P166" s="997"/>
      <c r="Q166" s="997"/>
      <c r="R166" s="997"/>
    </row>
  </sheetData>
  <sheetProtection/>
  <mergeCells count="49">
    <mergeCell ref="B158:F158"/>
    <mergeCell ref="B160:E160"/>
    <mergeCell ref="B161:F161"/>
    <mergeCell ref="D148:E148"/>
    <mergeCell ref="C150:E150"/>
    <mergeCell ref="B152:E152"/>
    <mergeCell ref="B154:E154"/>
    <mergeCell ref="B155:F155"/>
    <mergeCell ref="B157:E157"/>
    <mergeCell ref="D146:E146"/>
    <mergeCell ref="D122:E122"/>
    <mergeCell ref="D124:E124"/>
    <mergeCell ref="D126:E126"/>
    <mergeCell ref="D128:E128"/>
    <mergeCell ref="D130:E130"/>
    <mergeCell ref="D132:E132"/>
    <mergeCell ref="D134:E134"/>
    <mergeCell ref="D138:E138"/>
    <mergeCell ref="D140:E140"/>
    <mergeCell ref="D142:E142"/>
    <mergeCell ref="D144:E144"/>
    <mergeCell ref="D120:E120"/>
    <mergeCell ref="C36:E36"/>
    <mergeCell ref="D64:E64"/>
    <mergeCell ref="D67:E67"/>
    <mergeCell ref="C71:E71"/>
    <mergeCell ref="B75:E75"/>
    <mergeCell ref="D80:E80"/>
    <mergeCell ref="D88:E88"/>
    <mergeCell ref="D90:F90"/>
    <mergeCell ref="D92:E92"/>
    <mergeCell ref="D108:G108"/>
    <mergeCell ref="D110:E110"/>
    <mergeCell ref="C26:E26"/>
    <mergeCell ref="B1:G1"/>
    <mergeCell ref="B2:R2"/>
    <mergeCell ref="B3:R3"/>
    <mergeCell ref="Q4:R4"/>
    <mergeCell ref="D5:E5"/>
    <mergeCell ref="B6:B7"/>
    <mergeCell ref="C6:C7"/>
    <mergeCell ref="D6:E7"/>
    <mergeCell ref="F6:F7"/>
    <mergeCell ref="G6:G7"/>
    <mergeCell ref="H6:H7"/>
    <mergeCell ref="I6:I7"/>
    <mergeCell ref="J6:J7"/>
    <mergeCell ref="K6:O6"/>
    <mergeCell ref="P6:R6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landscape" paperSize="9" scale="58" r:id="rId1"/>
  <headerFooter alignWithMargins="0">
    <oddFooter>&amp;C - &amp;P -</oddFooter>
  </headerFooter>
  <rowBreaks count="3" manualBreakCount="3">
    <brk id="41" max="17" man="1"/>
    <brk id="76" max="17" man="1"/>
    <brk id="113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06"/>
  <sheetViews>
    <sheetView view="pageBreakPreview" zoomScaleSheetLayoutView="100" zoomScalePageLayoutView="0" workbookViewId="0" topLeftCell="A1">
      <pane ySplit="7" topLeftCell="A8" activePane="bottomLeft" state="frozen"/>
      <selection pane="topLeft" activeCell="N67" sqref="N67"/>
      <selection pane="bottomLeft" activeCell="B1" sqref="B1:D1"/>
    </sheetView>
  </sheetViews>
  <sheetFormatPr defaultColWidth="9.125" defaultRowHeight="12.75"/>
  <cols>
    <col min="1" max="1" width="3.75390625" style="1269" customWidth="1"/>
    <col min="2" max="2" width="5.75390625" style="689" customWidth="1"/>
    <col min="3" max="3" width="5.75390625" style="1259" customWidth="1"/>
    <col min="4" max="4" width="59.75390625" style="1260" customWidth="1"/>
    <col min="5" max="5" width="6.75390625" style="1261" customWidth="1"/>
    <col min="6" max="7" width="13.75390625" style="1262" customWidth="1"/>
    <col min="8" max="8" width="13.75390625" style="1263" customWidth="1"/>
    <col min="9" max="9" width="15.75390625" style="1263" customWidth="1"/>
    <col min="10" max="16384" width="9.125" style="696" customWidth="1"/>
  </cols>
  <sheetData>
    <row r="1" spans="1:247" s="1257" customFormat="1" ht="18" customHeight="1">
      <c r="A1" s="1251"/>
      <c r="B1" s="1483" t="s">
        <v>820</v>
      </c>
      <c r="C1" s="1483"/>
      <c r="D1" s="1483"/>
      <c r="E1" s="1252"/>
      <c r="F1" s="1253"/>
      <c r="G1" s="1253"/>
      <c r="H1" s="1254"/>
      <c r="I1" s="1255"/>
      <c r="J1" s="1256"/>
      <c r="K1" s="1256"/>
      <c r="L1" s="1256"/>
      <c r="M1" s="1256"/>
      <c r="N1" s="1256"/>
      <c r="O1" s="1256"/>
      <c r="P1" s="1256"/>
      <c r="Q1" s="1256"/>
      <c r="R1" s="1256"/>
      <c r="S1" s="1256"/>
      <c r="T1" s="1256"/>
      <c r="U1" s="1256"/>
      <c r="V1" s="1256"/>
      <c r="W1" s="1256"/>
      <c r="X1" s="1256"/>
      <c r="Y1" s="1256"/>
      <c r="Z1" s="1256"/>
      <c r="AA1" s="1256"/>
      <c r="AB1" s="1256"/>
      <c r="AC1" s="1256"/>
      <c r="AD1" s="1256"/>
      <c r="AE1" s="1256"/>
      <c r="AF1" s="1256"/>
      <c r="AG1" s="1256"/>
      <c r="AH1" s="1256"/>
      <c r="AI1" s="1256"/>
      <c r="AJ1" s="1256"/>
      <c r="AK1" s="1256"/>
      <c r="AL1" s="1256"/>
      <c r="AM1" s="1256"/>
      <c r="AN1" s="1256"/>
      <c r="AO1" s="1256"/>
      <c r="AP1" s="1256"/>
      <c r="AQ1" s="1256"/>
      <c r="AR1" s="1256"/>
      <c r="AS1" s="1256"/>
      <c r="AT1" s="1256"/>
      <c r="AU1" s="1256"/>
      <c r="AV1" s="1256"/>
      <c r="AW1" s="1256"/>
      <c r="AX1" s="1256"/>
      <c r="AY1" s="1256"/>
      <c r="AZ1" s="1256"/>
      <c r="BA1" s="1256"/>
      <c r="BB1" s="1256"/>
      <c r="BC1" s="1256"/>
      <c r="BD1" s="1256"/>
      <c r="BE1" s="1256"/>
      <c r="BF1" s="1256"/>
      <c r="BG1" s="1256"/>
      <c r="BH1" s="1256"/>
      <c r="BI1" s="1256"/>
      <c r="BJ1" s="1256"/>
      <c r="BK1" s="1256"/>
      <c r="BL1" s="1256"/>
      <c r="BM1" s="1256"/>
      <c r="BN1" s="1256"/>
      <c r="BO1" s="1256"/>
      <c r="BP1" s="1256"/>
      <c r="BQ1" s="1256"/>
      <c r="BR1" s="1256"/>
      <c r="BS1" s="1256"/>
      <c r="BT1" s="1256"/>
      <c r="BU1" s="1256"/>
      <c r="BV1" s="1256"/>
      <c r="BW1" s="1256"/>
      <c r="BX1" s="1256"/>
      <c r="BY1" s="1256"/>
      <c r="BZ1" s="1256"/>
      <c r="CA1" s="1256"/>
      <c r="CB1" s="1256"/>
      <c r="CC1" s="1256"/>
      <c r="CD1" s="1256"/>
      <c r="CE1" s="1256"/>
      <c r="CF1" s="1256"/>
      <c r="CG1" s="1256"/>
      <c r="CH1" s="1256"/>
      <c r="CI1" s="1256"/>
      <c r="CJ1" s="1256"/>
      <c r="CK1" s="1256"/>
      <c r="CL1" s="1256"/>
      <c r="CM1" s="1256"/>
      <c r="CN1" s="1256"/>
      <c r="CO1" s="1256"/>
      <c r="CP1" s="1256"/>
      <c r="CQ1" s="1256"/>
      <c r="CR1" s="1256"/>
      <c r="CS1" s="1256"/>
      <c r="CT1" s="1256"/>
      <c r="CU1" s="1256"/>
      <c r="CV1" s="1256"/>
      <c r="CW1" s="1256"/>
      <c r="CX1" s="1256"/>
      <c r="CY1" s="1256"/>
      <c r="CZ1" s="1256"/>
      <c r="DA1" s="1256"/>
      <c r="DB1" s="1256"/>
      <c r="DC1" s="1256"/>
      <c r="DD1" s="1256"/>
      <c r="DE1" s="1256"/>
      <c r="DF1" s="1256"/>
      <c r="DG1" s="1256"/>
      <c r="DH1" s="1256"/>
      <c r="DI1" s="1256"/>
      <c r="DJ1" s="1256"/>
      <c r="DK1" s="1256"/>
      <c r="DL1" s="1256"/>
      <c r="DM1" s="1256"/>
      <c r="DN1" s="1256"/>
      <c r="DO1" s="1256"/>
      <c r="DP1" s="1256"/>
      <c r="DQ1" s="1256"/>
      <c r="DR1" s="1256"/>
      <c r="DS1" s="1256"/>
      <c r="DT1" s="1256"/>
      <c r="DU1" s="1256"/>
      <c r="DV1" s="1256"/>
      <c r="DW1" s="1256"/>
      <c r="DX1" s="1256"/>
      <c r="DY1" s="1256"/>
      <c r="DZ1" s="1256"/>
      <c r="EA1" s="1256"/>
      <c r="EB1" s="1256"/>
      <c r="EC1" s="1256"/>
      <c r="ED1" s="1256"/>
      <c r="EE1" s="1256"/>
      <c r="EF1" s="1256"/>
      <c r="EG1" s="1256"/>
      <c r="EH1" s="1256"/>
      <c r="EI1" s="1256"/>
      <c r="EJ1" s="1256"/>
      <c r="EK1" s="1256"/>
      <c r="EL1" s="1256"/>
      <c r="EM1" s="1256"/>
      <c r="EN1" s="1256"/>
      <c r="EO1" s="1256"/>
      <c r="EP1" s="1256"/>
      <c r="EQ1" s="1256"/>
      <c r="ER1" s="1256"/>
      <c r="ES1" s="1256"/>
      <c r="ET1" s="1256"/>
      <c r="EU1" s="1256"/>
      <c r="EV1" s="1256"/>
      <c r="EW1" s="1256"/>
      <c r="EX1" s="1256"/>
      <c r="EY1" s="1256"/>
      <c r="EZ1" s="1256"/>
      <c r="FA1" s="1256"/>
      <c r="FB1" s="1256"/>
      <c r="FC1" s="1256"/>
      <c r="FD1" s="1256"/>
      <c r="FE1" s="1256"/>
      <c r="FF1" s="1256"/>
      <c r="FG1" s="1256"/>
      <c r="FH1" s="1256"/>
      <c r="FI1" s="1256"/>
      <c r="FJ1" s="1256"/>
      <c r="FK1" s="1256"/>
      <c r="FL1" s="1256"/>
      <c r="FM1" s="1256"/>
      <c r="FN1" s="1256"/>
      <c r="FO1" s="1256"/>
      <c r="FP1" s="1256"/>
      <c r="FQ1" s="1256"/>
      <c r="FR1" s="1256"/>
      <c r="FS1" s="1256"/>
      <c r="FT1" s="1256"/>
      <c r="FU1" s="1256"/>
      <c r="FV1" s="1256"/>
      <c r="FW1" s="1256"/>
      <c r="FX1" s="1256"/>
      <c r="FY1" s="1256"/>
      <c r="FZ1" s="1256"/>
      <c r="GA1" s="1256"/>
      <c r="GB1" s="1256"/>
      <c r="GC1" s="1256"/>
      <c r="GD1" s="1256"/>
      <c r="GE1" s="1256"/>
      <c r="GF1" s="1256"/>
      <c r="GG1" s="1256"/>
      <c r="GH1" s="1256"/>
      <c r="GI1" s="1256"/>
      <c r="GJ1" s="1256"/>
      <c r="GK1" s="1256"/>
      <c r="GL1" s="1256"/>
      <c r="GM1" s="1256"/>
      <c r="GN1" s="1256"/>
      <c r="GO1" s="1256"/>
      <c r="GP1" s="1256"/>
      <c r="GQ1" s="1256"/>
      <c r="GR1" s="1256"/>
      <c r="GS1" s="1256"/>
      <c r="GT1" s="1256"/>
      <c r="GU1" s="1256"/>
      <c r="GV1" s="1256"/>
      <c r="GW1" s="1256"/>
      <c r="GX1" s="1256"/>
      <c r="GY1" s="1256"/>
      <c r="GZ1" s="1256"/>
      <c r="HA1" s="1256"/>
      <c r="HB1" s="1256"/>
      <c r="HC1" s="1256"/>
      <c r="HD1" s="1256"/>
      <c r="HE1" s="1256"/>
      <c r="HF1" s="1256"/>
      <c r="HG1" s="1256"/>
      <c r="HH1" s="1256"/>
      <c r="HI1" s="1256"/>
      <c r="HJ1" s="1256"/>
      <c r="HK1" s="1256"/>
      <c r="HL1" s="1256"/>
      <c r="HM1" s="1256"/>
      <c r="HN1" s="1256"/>
      <c r="HO1" s="1256"/>
      <c r="HP1" s="1256"/>
      <c r="HQ1" s="1256"/>
      <c r="HR1" s="1256"/>
      <c r="HS1" s="1256"/>
      <c r="HT1" s="1256"/>
      <c r="HU1" s="1256"/>
      <c r="HV1" s="1256"/>
      <c r="HW1" s="1256"/>
      <c r="HX1" s="1256"/>
      <c r="HY1" s="1256"/>
      <c r="HZ1" s="1256"/>
      <c r="IA1" s="1256"/>
      <c r="IB1" s="1256"/>
      <c r="IC1" s="1256"/>
      <c r="ID1" s="1256"/>
      <c r="IE1" s="1256"/>
      <c r="IF1" s="1256"/>
      <c r="IG1" s="1256"/>
      <c r="IH1" s="1256"/>
      <c r="II1" s="1256"/>
      <c r="IJ1" s="1256"/>
      <c r="IK1" s="1256"/>
      <c r="IL1" s="1256"/>
      <c r="IM1" s="1256"/>
    </row>
    <row r="2" spans="1:9" s="1257" customFormat="1" ht="24.75" customHeight="1">
      <c r="A2" s="1258"/>
      <c r="B2" s="1484" t="s">
        <v>127</v>
      </c>
      <c r="C2" s="1484"/>
      <c r="D2" s="1484"/>
      <c r="E2" s="1484"/>
      <c r="F2" s="1484"/>
      <c r="G2" s="1484"/>
      <c r="H2" s="1484"/>
      <c r="I2" s="1484"/>
    </row>
    <row r="3" spans="1:9" s="1257" customFormat="1" ht="24.75" customHeight="1">
      <c r="A3" s="1258"/>
      <c r="B3" s="1485" t="s">
        <v>573</v>
      </c>
      <c r="C3" s="1485"/>
      <c r="D3" s="1485"/>
      <c r="E3" s="1485"/>
      <c r="F3" s="1485"/>
      <c r="G3" s="1485"/>
      <c r="H3" s="1485"/>
      <c r="I3" s="1485"/>
    </row>
    <row r="4" spans="1:9" ht="18" customHeight="1">
      <c r="A4" s="689"/>
      <c r="I4" s="1264" t="s">
        <v>0</v>
      </c>
    </row>
    <row r="5" spans="1:247" s="1268" customFormat="1" ht="18" customHeight="1" thickBot="1">
      <c r="A5" s="1265"/>
      <c r="B5" s="1266" t="s">
        <v>1</v>
      </c>
      <c r="C5" s="1267" t="s">
        <v>3</v>
      </c>
      <c r="D5" s="1267" t="s">
        <v>2</v>
      </c>
      <c r="E5" s="1267" t="s">
        <v>4</v>
      </c>
      <c r="F5" s="1267" t="s">
        <v>5</v>
      </c>
      <c r="G5" s="1267" t="s">
        <v>15</v>
      </c>
      <c r="H5" s="1267" t="s">
        <v>16</v>
      </c>
      <c r="I5" s="1267" t="s">
        <v>17</v>
      </c>
      <c r="J5" s="1265"/>
      <c r="K5" s="1265"/>
      <c r="L5" s="1265"/>
      <c r="M5" s="1265"/>
      <c r="N5" s="1265"/>
      <c r="O5" s="1265"/>
      <c r="P5" s="1265"/>
      <c r="Q5" s="1265"/>
      <c r="R5" s="1265"/>
      <c r="S5" s="1265"/>
      <c r="T5" s="1265"/>
      <c r="U5" s="1265"/>
      <c r="V5" s="1265"/>
      <c r="W5" s="1265"/>
      <c r="X5" s="1265"/>
      <c r="Y5" s="1265"/>
      <c r="Z5" s="1265"/>
      <c r="AA5" s="1265"/>
      <c r="AB5" s="1265"/>
      <c r="AC5" s="1265"/>
      <c r="AD5" s="1265"/>
      <c r="AE5" s="1265"/>
      <c r="AF5" s="1265"/>
      <c r="AG5" s="1265"/>
      <c r="AH5" s="1265"/>
      <c r="AI5" s="1265"/>
      <c r="AJ5" s="1265"/>
      <c r="AK5" s="1265"/>
      <c r="AL5" s="1265"/>
      <c r="AM5" s="1265"/>
      <c r="AN5" s="1265"/>
      <c r="AO5" s="1265"/>
      <c r="AP5" s="1265"/>
      <c r="AQ5" s="1265"/>
      <c r="AR5" s="1265"/>
      <c r="AS5" s="1265"/>
      <c r="AT5" s="1265"/>
      <c r="AU5" s="1265"/>
      <c r="AV5" s="1265"/>
      <c r="AW5" s="1265"/>
      <c r="AX5" s="1265"/>
      <c r="AY5" s="1265"/>
      <c r="AZ5" s="1265"/>
      <c r="BA5" s="1265"/>
      <c r="BB5" s="1265"/>
      <c r="BC5" s="1265"/>
      <c r="BD5" s="1265"/>
      <c r="BE5" s="1265"/>
      <c r="BF5" s="1265"/>
      <c r="BG5" s="1265"/>
      <c r="BH5" s="1265"/>
      <c r="BI5" s="1265"/>
      <c r="BJ5" s="1265"/>
      <c r="BK5" s="1265"/>
      <c r="BL5" s="1265"/>
      <c r="BM5" s="1265"/>
      <c r="BN5" s="1265"/>
      <c r="BO5" s="1265"/>
      <c r="BP5" s="1265"/>
      <c r="BQ5" s="1265"/>
      <c r="BR5" s="1265"/>
      <c r="BS5" s="1265"/>
      <c r="BT5" s="1265"/>
      <c r="BU5" s="1265"/>
      <c r="BV5" s="1265"/>
      <c r="BW5" s="1265"/>
      <c r="BX5" s="1265"/>
      <c r="BY5" s="1265"/>
      <c r="BZ5" s="1265"/>
      <c r="CA5" s="1265"/>
      <c r="CB5" s="1265"/>
      <c r="CC5" s="1265"/>
      <c r="CD5" s="1265"/>
      <c r="CE5" s="1265"/>
      <c r="CF5" s="1265"/>
      <c r="CG5" s="1265"/>
      <c r="CH5" s="1265"/>
      <c r="CI5" s="1265"/>
      <c r="CJ5" s="1265"/>
      <c r="CK5" s="1265"/>
      <c r="CL5" s="1265"/>
      <c r="CM5" s="1265"/>
      <c r="CN5" s="1265"/>
      <c r="CO5" s="1265"/>
      <c r="CP5" s="1265"/>
      <c r="CQ5" s="1265"/>
      <c r="CR5" s="1265"/>
      <c r="CS5" s="1265"/>
      <c r="CT5" s="1265"/>
      <c r="CU5" s="1265"/>
      <c r="CV5" s="1265"/>
      <c r="CW5" s="1265"/>
      <c r="CX5" s="1265"/>
      <c r="CY5" s="1265"/>
      <c r="CZ5" s="1265"/>
      <c r="DA5" s="1265"/>
      <c r="DB5" s="1265"/>
      <c r="DC5" s="1265"/>
      <c r="DD5" s="1265"/>
      <c r="DE5" s="1265"/>
      <c r="DF5" s="1265"/>
      <c r="DG5" s="1265"/>
      <c r="DH5" s="1265"/>
      <c r="DI5" s="1265"/>
      <c r="DJ5" s="1265"/>
      <c r="DK5" s="1265"/>
      <c r="DL5" s="1265"/>
      <c r="DM5" s="1265"/>
      <c r="DN5" s="1265"/>
      <c r="DO5" s="1265"/>
      <c r="DP5" s="1265"/>
      <c r="DQ5" s="1265"/>
      <c r="DR5" s="1265"/>
      <c r="DS5" s="1265"/>
      <c r="DT5" s="1265"/>
      <c r="DU5" s="1265"/>
      <c r="DV5" s="1265"/>
      <c r="DW5" s="1265"/>
      <c r="DX5" s="1265"/>
      <c r="DY5" s="1265"/>
      <c r="DZ5" s="1265"/>
      <c r="EA5" s="1265"/>
      <c r="EB5" s="1265"/>
      <c r="EC5" s="1265"/>
      <c r="ED5" s="1265"/>
      <c r="EE5" s="1265"/>
      <c r="EF5" s="1265"/>
      <c r="EG5" s="1265"/>
      <c r="EH5" s="1265"/>
      <c r="EI5" s="1265"/>
      <c r="EJ5" s="1265"/>
      <c r="EK5" s="1265"/>
      <c r="EL5" s="1265"/>
      <c r="EM5" s="1265"/>
      <c r="EN5" s="1265"/>
      <c r="EO5" s="1265"/>
      <c r="EP5" s="1265"/>
      <c r="EQ5" s="1265"/>
      <c r="ER5" s="1265"/>
      <c r="ES5" s="1265"/>
      <c r="ET5" s="1265"/>
      <c r="EU5" s="1265"/>
      <c r="EV5" s="1265"/>
      <c r="EW5" s="1265"/>
      <c r="EX5" s="1265"/>
      <c r="EY5" s="1265"/>
      <c r="EZ5" s="1265"/>
      <c r="FA5" s="1265"/>
      <c r="FB5" s="1265"/>
      <c r="FC5" s="1265"/>
      <c r="FD5" s="1265"/>
      <c r="FE5" s="1265"/>
      <c r="FF5" s="1265"/>
      <c r="FG5" s="1265"/>
      <c r="FH5" s="1265"/>
      <c r="FI5" s="1265"/>
      <c r="FJ5" s="1265"/>
      <c r="FK5" s="1265"/>
      <c r="FL5" s="1265"/>
      <c r="FM5" s="1265"/>
      <c r="FN5" s="1265"/>
      <c r="FO5" s="1265"/>
      <c r="FP5" s="1265"/>
      <c r="FQ5" s="1265"/>
      <c r="FR5" s="1265"/>
      <c r="FS5" s="1265"/>
      <c r="FT5" s="1265"/>
      <c r="FU5" s="1265"/>
      <c r="FV5" s="1265"/>
      <c r="FW5" s="1265"/>
      <c r="FX5" s="1265"/>
      <c r="FY5" s="1265"/>
      <c r="FZ5" s="1265"/>
      <c r="GA5" s="1265"/>
      <c r="GB5" s="1265"/>
      <c r="GC5" s="1265"/>
      <c r="GD5" s="1265"/>
      <c r="GE5" s="1265"/>
      <c r="GF5" s="1265"/>
      <c r="GG5" s="1265"/>
      <c r="GH5" s="1265"/>
      <c r="GI5" s="1265"/>
      <c r="GJ5" s="1265"/>
      <c r="GK5" s="1265"/>
      <c r="GL5" s="1265"/>
      <c r="GM5" s="1265"/>
      <c r="GN5" s="1265"/>
      <c r="GO5" s="1265"/>
      <c r="GP5" s="1265"/>
      <c r="GQ5" s="1265"/>
      <c r="GR5" s="1265"/>
      <c r="GS5" s="1265"/>
      <c r="GT5" s="1265"/>
      <c r="GU5" s="1265"/>
      <c r="GV5" s="1265"/>
      <c r="GW5" s="1265"/>
      <c r="GX5" s="1265"/>
      <c r="GY5" s="1265"/>
      <c r="GZ5" s="1265"/>
      <c r="HA5" s="1265"/>
      <c r="HB5" s="1265"/>
      <c r="HC5" s="1265"/>
      <c r="HD5" s="1265"/>
      <c r="HE5" s="1265"/>
      <c r="HF5" s="1265"/>
      <c r="HG5" s="1265"/>
      <c r="HH5" s="1265"/>
      <c r="HI5" s="1265"/>
      <c r="HJ5" s="1265"/>
      <c r="HK5" s="1265"/>
      <c r="HL5" s="1265"/>
      <c r="HM5" s="1265"/>
      <c r="HN5" s="1265"/>
      <c r="HO5" s="1265"/>
      <c r="HP5" s="1265"/>
      <c r="HQ5" s="1265"/>
      <c r="HR5" s="1265"/>
      <c r="HS5" s="1265"/>
      <c r="HT5" s="1265"/>
      <c r="HU5" s="1265"/>
      <c r="HV5" s="1265"/>
      <c r="HW5" s="1265"/>
      <c r="HX5" s="1265"/>
      <c r="HY5" s="1265"/>
      <c r="HZ5" s="1265"/>
      <c r="IA5" s="1265"/>
      <c r="IB5" s="1265"/>
      <c r="IC5" s="1265"/>
      <c r="ID5" s="1265"/>
      <c r="IE5" s="1265"/>
      <c r="IF5" s="1265"/>
      <c r="IG5" s="1265"/>
      <c r="IH5" s="1265"/>
      <c r="II5" s="1265"/>
      <c r="IJ5" s="1265"/>
      <c r="IK5" s="1265"/>
      <c r="IL5" s="1265"/>
      <c r="IM5" s="1265"/>
    </row>
    <row r="6" spans="2:9" ht="30" customHeight="1">
      <c r="B6" s="1486" t="s">
        <v>18</v>
      </c>
      <c r="C6" s="1488" t="s">
        <v>19</v>
      </c>
      <c r="D6" s="1490" t="s">
        <v>6</v>
      </c>
      <c r="E6" s="1492" t="s">
        <v>276</v>
      </c>
      <c r="F6" s="1494" t="s">
        <v>572</v>
      </c>
      <c r="G6" s="1494" t="s">
        <v>554</v>
      </c>
      <c r="H6" s="1494" t="s">
        <v>555</v>
      </c>
      <c r="I6" s="1475" t="s">
        <v>571</v>
      </c>
    </row>
    <row r="7" spans="2:9" ht="60.75" customHeight="1" thickBot="1">
      <c r="B7" s="1487"/>
      <c r="C7" s="1489"/>
      <c r="D7" s="1491"/>
      <c r="E7" s="1493"/>
      <c r="F7" s="1495"/>
      <c r="G7" s="1495"/>
      <c r="H7" s="1495"/>
      <c r="I7" s="1476"/>
    </row>
    <row r="8" spans="1:9" s="688" customFormat="1" ht="22.5" customHeight="1">
      <c r="A8" s="679">
        <v>1</v>
      </c>
      <c r="B8" s="680">
        <v>1</v>
      </c>
      <c r="C8" s="681" t="s">
        <v>286</v>
      </c>
      <c r="D8" s="682"/>
      <c r="E8" s="683" t="s">
        <v>23</v>
      </c>
      <c r="F8" s="684">
        <v>531</v>
      </c>
      <c r="G8" s="685">
        <v>3615</v>
      </c>
      <c r="H8" s="686">
        <v>4465</v>
      </c>
      <c r="I8" s="687"/>
    </row>
    <row r="9" spans="1:9" ht="30">
      <c r="A9" s="689">
        <v>2</v>
      </c>
      <c r="B9" s="680"/>
      <c r="C9" s="690">
        <v>1</v>
      </c>
      <c r="D9" s="691" t="s">
        <v>729</v>
      </c>
      <c r="E9" s="683"/>
      <c r="F9" s="692"/>
      <c r="G9" s="693"/>
      <c r="H9" s="694"/>
      <c r="I9" s="695">
        <v>520</v>
      </c>
    </row>
    <row r="10" spans="1:9" ht="18" customHeight="1">
      <c r="A10" s="679">
        <v>3</v>
      </c>
      <c r="B10" s="680"/>
      <c r="C10" s="697">
        <v>2</v>
      </c>
      <c r="D10" s="698" t="s">
        <v>730</v>
      </c>
      <c r="E10" s="683"/>
      <c r="F10" s="692"/>
      <c r="G10" s="693"/>
      <c r="H10" s="694"/>
      <c r="I10" s="695">
        <v>250</v>
      </c>
    </row>
    <row r="11" spans="1:9" ht="18" customHeight="1">
      <c r="A11" s="679">
        <v>4</v>
      </c>
      <c r="B11" s="680"/>
      <c r="C11" s="699" t="s">
        <v>344</v>
      </c>
      <c r="D11" s="700"/>
      <c r="E11" s="683"/>
      <c r="F11" s="692">
        <v>15</v>
      </c>
      <c r="G11" s="693">
        <v>1497</v>
      </c>
      <c r="H11" s="694">
        <v>2535</v>
      </c>
      <c r="I11" s="695"/>
    </row>
    <row r="12" spans="1:9" ht="18" customHeight="1">
      <c r="A12" s="689">
        <v>5</v>
      </c>
      <c r="B12" s="680"/>
      <c r="C12" s="697">
        <v>3</v>
      </c>
      <c r="D12" s="691" t="s">
        <v>731</v>
      </c>
      <c r="E12" s="683"/>
      <c r="F12" s="692"/>
      <c r="G12" s="693"/>
      <c r="H12" s="694"/>
      <c r="I12" s="695">
        <v>400</v>
      </c>
    </row>
    <row r="13" spans="1:9" s="688" customFormat="1" ht="22.5" customHeight="1">
      <c r="A13" s="679">
        <v>6</v>
      </c>
      <c r="B13" s="680">
        <v>2</v>
      </c>
      <c r="C13" s="701" t="s">
        <v>285</v>
      </c>
      <c r="D13" s="682"/>
      <c r="E13" s="683" t="s">
        <v>23</v>
      </c>
      <c r="F13" s="684">
        <v>8341</v>
      </c>
      <c r="G13" s="685">
        <v>3510</v>
      </c>
      <c r="H13" s="686">
        <v>6386</v>
      </c>
      <c r="I13" s="687"/>
    </row>
    <row r="14" spans="1:9" ht="18" customHeight="1">
      <c r="A14" s="679">
        <v>7</v>
      </c>
      <c r="B14" s="680"/>
      <c r="C14" s="697">
        <v>1</v>
      </c>
      <c r="D14" s="691"/>
      <c r="E14" s="683"/>
      <c r="F14" s="692"/>
      <c r="G14" s="693"/>
      <c r="H14" s="694"/>
      <c r="I14" s="695"/>
    </row>
    <row r="15" spans="1:9" ht="18" customHeight="1">
      <c r="A15" s="689">
        <v>8</v>
      </c>
      <c r="B15" s="680"/>
      <c r="C15" s="699" t="s">
        <v>345</v>
      </c>
      <c r="D15" s="700"/>
      <c r="E15" s="683"/>
      <c r="F15" s="692">
        <v>3840</v>
      </c>
      <c r="G15" s="693">
        <v>1300</v>
      </c>
      <c r="H15" s="694">
        <v>2644</v>
      </c>
      <c r="I15" s="695"/>
    </row>
    <row r="16" spans="1:9" ht="18" customHeight="1">
      <c r="A16" s="679">
        <v>9</v>
      </c>
      <c r="B16" s="680"/>
      <c r="C16" s="697">
        <v>2</v>
      </c>
      <c r="D16" s="691"/>
      <c r="E16" s="683"/>
      <c r="F16" s="692"/>
      <c r="G16" s="693"/>
      <c r="H16" s="694"/>
      <c r="I16" s="695"/>
    </row>
    <row r="17" spans="1:9" s="688" customFormat="1" ht="22.5" customHeight="1">
      <c r="A17" s="679">
        <v>10</v>
      </c>
      <c r="B17" s="680">
        <v>3</v>
      </c>
      <c r="C17" s="701" t="s">
        <v>247</v>
      </c>
      <c r="D17" s="682"/>
      <c r="E17" s="683" t="s">
        <v>23</v>
      </c>
      <c r="F17" s="684">
        <v>951</v>
      </c>
      <c r="G17" s="685">
        <v>3493</v>
      </c>
      <c r="H17" s="686">
        <v>2783</v>
      </c>
      <c r="I17" s="687"/>
    </row>
    <row r="18" spans="1:9" ht="18" customHeight="1">
      <c r="A18" s="689">
        <v>11</v>
      </c>
      <c r="B18" s="680"/>
      <c r="C18" s="697">
        <v>1</v>
      </c>
      <c r="D18" s="691" t="s">
        <v>732</v>
      </c>
      <c r="E18" s="683"/>
      <c r="F18" s="692"/>
      <c r="G18" s="693"/>
      <c r="H18" s="694"/>
      <c r="I18" s="695">
        <v>1760</v>
      </c>
    </row>
    <row r="19" spans="1:9" ht="30">
      <c r="A19" s="679">
        <v>12</v>
      </c>
      <c r="B19" s="680"/>
      <c r="C19" s="690">
        <v>2</v>
      </c>
      <c r="D19" s="691" t="s">
        <v>733</v>
      </c>
      <c r="E19" s="683"/>
      <c r="F19" s="692"/>
      <c r="G19" s="693"/>
      <c r="H19" s="694"/>
      <c r="I19" s="695">
        <v>291</v>
      </c>
    </row>
    <row r="20" spans="1:9" ht="18" customHeight="1">
      <c r="A20" s="679">
        <v>13</v>
      </c>
      <c r="B20" s="680"/>
      <c r="C20" s="697">
        <v>3</v>
      </c>
      <c r="D20" s="698" t="s">
        <v>734</v>
      </c>
      <c r="E20" s="683"/>
      <c r="F20" s="692"/>
      <c r="G20" s="693"/>
      <c r="H20" s="694"/>
      <c r="I20" s="695">
        <v>150</v>
      </c>
    </row>
    <row r="21" spans="1:9" ht="18" customHeight="1">
      <c r="A21" s="689">
        <v>14</v>
      </c>
      <c r="B21" s="680"/>
      <c r="C21" s="699" t="s">
        <v>421</v>
      </c>
      <c r="D21" s="700"/>
      <c r="E21" s="683"/>
      <c r="F21" s="692">
        <v>317</v>
      </c>
      <c r="G21" s="693"/>
      <c r="H21" s="694">
        <v>710</v>
      </c>
      <c r="I21" s="695"/>
    </row>
    <row r="22" spans="1:9" ht="18" customHeight="1">
      <c r="A22" s="679">
        <v>15</v>
      </c>
      <c r="B22" s="680"/>
      <c r="C22" s="697">
        <v>4</v>
      </c>
      <c r="D22" s="698" t="s">
        <v>735</v>
      </c>
      <c r="E22" s="683"/>
      <c r="F22" s="692"/>
      <c r="G22" s="693"/>
      <c r="H22" s="694"/>
      <c r="I22" s="695">
        <v>208</v>
      </c>
    </row>
    <row r="23" spans="1:9" s="688" customFormat="1" ht="22.5" customHeight="1">
      <c r="A23" s="679">
        <v>16</v>
      </c>
      <c r="B23" s="680">
        <v>4</v>
      </c>
      <c r="C23" s="701" t="s">
        <v>248</v>
      </c>
      <c r="D23" s="682"/>
      <c r="E23" s="683" t="s">
        <v>23</v>
      </c>
      <c r="F23" s="684">
        <v>1115</v>
      </c>
      <c r="G23" s="685">
        <v>2841</v>
      </c>
      <c r="H23" s="686">
        <v>3132</v>
      </c>
      <c r="I23" s="687"/>
    </row>
    <row r="24" spans="1:9" ht="18" customHeight="1">
      <c r="A24" s="689">
        <v>17</v>
      </c>
      <c r="B24" s="680"/>
      <c r="C24" s="697">
        <v>1</v>
      </c>
      <c r="D24" s="691" t="s">
        <v>736</v>
      </c>
      <c r="E24" s="683"/>
      <c r="F24" s="692"/>
      <c r="G24" s="693"/>
      <c r="H24" s="694"/>
      <c r="I24" s="695">
        <v>211</v>
      </c>
    </row>
    <row r="25" spans="1:9" ht="18" customHeight="1">
      <c r="A25" s="679">
        <v>18</v>
      </c>
      <c r="B25" s="680"/>
      <c r="C25" s="702" t="s">
        <v>346</v>
      </c>
      <c r="D25" s="691"/>
      <c r="E25" s="683"/>
      <c r="F25" s="692">
        <v>0</v>
      </c>
      <c r="G25" s="693">
        <v>420</v>
      </c>
      <c r="H25" s="694">
        <v>459</v>
      </c>
      <c r="I25" s="695"/>
    </row>
    <row r="26" spans="1:9" ht="18" customHeight="1">
      <c r="A26" s="679">
        <v>19</v>
      </c>
      <c r="B26" s="680"/>
      <c r="C26" s="697">
        <v>2</v>
      </c>
      <c r="D26" s="691"/>
      <c r="E26" s="683"/>
      <c r="F26" s="692"/>
      <c r="G26" s="693"/>
      <c r="H26" s="694"/>
      <c r="I26" s="695"/>
    </row>
    <row r="27" spans="1:9" s="688" customFormat="1" ht="22.5" customHeight="1">
      <c r="A27" s="689">
        <v>20</v>
      </c>
      <c r="B27" s="680">
        <v>5</v>
      </c>
      <c r="C27" s="701" t="s">
        <v>249</v>
      </c>
      <c r="D27" s="682"/>
      <c r="E27" s="683" t="s">
        <v>23</v>
      </c>
      <c r="F27" s="684">
        <v>707</v>
      </c>
      <c r="G27" s="685">
        <v>3994</v>
      </c>
      <c r="H27" s="686">
        <v>4800</v>
      </c>
      <c r="I27" s="687"/>
    </row>
    <row r="28" spans="1:9" ht="18" customHeight="1">
      <c r="A28" s="679">
        <v>21</v>
      </c>
      <c r="B28" s="680"/>
      <c r="C28" s="697">
        <v>1</v>
      </c>
      <c r="D28" s="691" t="s">
        <v>737</v>
      </c>
      <c r="E28" s="683"/>
      <c r="F28" s="692"/>
      <c r="G28" s="693"/>
      <c r="H28" s="694"/>
      <c r="I28" s="695">
        <v>49</v>
      </c>
    </row>
    <row r="29" spans="1:9" ht="18" customHeight="1">
      <c r="A29" s="679">
        <v>22</v>
      </c>
      <c r="B29" s="680"/>
      <c r="C29" s="702" t="s">
        <v>347</v>
      </c>
      <c r="D29" s="691"/>
      <c r="E29" s="683"/>
      <c r="F29" s="692">
        <v>399</v>
      </c>
      <c r="G29" s="693">
        <v>3500</v>
      </c>
      <c r="H29" s="694">
        <v>4694</v>
      </c>
      <c r="I29" s="695"/>
    </row>
    <row r="30" spans="1:9" ht="18" customHeight="1">
      <c r="A30" s="689">
        <v>23</v>
      </c>
      <c r="B30" s="680"/>
      <c r="C30" s="697">
        <v>2</v>
      </c>
      <c r="D30" s="691"/>
      <c r="E30" s="683"/>
      <c r="F30" s="692"/>
      <c r="G30" s="693"/>
      <c r="H30" s="694"/>
      <c r="I30" s="695"/>
    </row>
    <row r="31" spans="1:9" s="688" customFormat="1" ht="22.5" customHeight="1">
      <c r="A31" s="679">
        <v>24</v>
      </c>
      <c r="B31" s="680">
        <v>6</v>
      </c>
      <c r="C31" s="701" t="s">
        <v>250</v>
      </c>
      <c r="D31" s="682"/>
      <c r="E31" s="683" t="s">
        <v>23</v>
      </c>
      <c r="F31" s="684">
        <v>2078</v>
      </c>
      <c r="G31" s="685">
        <v>7519</v>
      </c>
      <c r="H31" s="686">
        <v>8724</v>
      </c>
      <c r="I31" s="687"/>
    </row>
    <row r="32" spans="1:9" ht="18" customHeight="1">
      <c r="A32" s="679">
        <v>25</v>
      </c>
      <c r="B32" s="680"/>
      <c r="C32" s="697">
        <v>1</v>
      </c>
      <c r="D32" s="691" t="s">
        <v>738</v>
      </c>
      <c r="E32" s="683"/>
      <c r="F32" s="692"/>
      <c r="G32" s="693"/>
      <c r="H32" s="694"/>
      <c r="I32" s="695">
        <v>1000</v>
      </c>
    </row>
    <row r="33" spans="1:9" ht="18" customHeight="1">
      <c r="A33" s="689">
        <v>26</v>
      </c>
      <c r="B33" s="680"/>
      <c r="C33" s="697">
        <v>2</v>
      </c>
      <c r="D33" s="698" t="s">
        <v>730</v>
      </c>
      <c r="E33" s="683"/>
      <c r="F33" s="692"/>
      <c r="G33" s="693"/>
      <c r="H33" s="694"/>
      <c r="I33" s="695">
        <v>1000</v>
      </c>
    </row>
    <row r="34" spans="1:9" ht="18" customHeight="1">
      <c r="A34" s="679">
        <v>27</v>
      </c>
      <c r="B34" s="680"/>
      <c r="C34" s="702" t="s">
        <v>348</v>
      </c>
      <c r="D34" s="691"/>
      <c r="E34" s="683"/>
      <c r="F34" s="692">
        <v>347</v>
      </c>
      <c r="G34" s="693">
        <v>5614</v>
      </c>
      <c r="H34" s="694">
        <v>6099</v>
      </c>
      <c r="I34" s="695"/>
    </row>
    <row r="35" spans="1:9" ht="18" customHeight="1">
      <c r="A35" s="679">
        <v>28</v>
      </c>
      <c r="B35" s="680"/>
      <c r="C35" s="697">
        <v>3</v>
      </c>
      <c r="D35" s="691" t="s">
        <v>738</v>
      </c>
      <c r="E35" s="683"/>
      <c r="F35" s="692"/>
      <c r="G35" s="693"/>
      <c r="H35" s="694"/>
      <c r="I35" s="695">
        <v>3774</v>
      </c>
    </row>
    <row r="36" spans="1:9" s="688" customFormat="1" ht="22.5" customHeight="1">
      <c r="A36" s="689">
        <v>29</v>
      </c>
      <c r="B36" s="680">
        <v>7</v>
      </c>
      <c r="C36" s="681" t="s">
        <v>303</v>
      </c>
      <c r="D36" s="682"/>
      <c r="E36" s="683" t="s">
        <v>23</v>
      </c>
      <c r="F36" s="703"/>
      <c r="G36" s="685"/>
      <c r="H36" s="704"/>
      <c r="I36" s="687"/>
    </row>
    <row r="37" spans="1:9" ht="18" customHeight="1">
      <c r="A37" s="679">
        <v>30</v>
      </c>
      <c r="B37" s="680"/>
      <c r="C37" s="702" t="s">
        <v>374</v>
      </c>
      <c r="D37" s="705"/>
      <c r="E37" s="683"/>
      <c r="F37" s="692">
        <v>438</v>
      </c>
      <c r="G37" s="693">
        <v>300</v>
      </c>
      <c r="H37" s="694">
        <v>900</v>
      </c>
      <c r="I37" s="695"/>
    </row>
    <row r="38" spans="1:9" ht="18" customHeight="1">
      <c r="A38" s="679">
        <v>31</v>
      </c>
      <c r="B38" s="680"/>
      <c r="C38" s="697">
        <v>1</v>
      </c>
      <c r="D38" s="691" t="s">
        <v>739</v>
      </c>
      <c r="E38" s="683"/>
      <c r="F38" s="692"/>
      <c r="G38" s="693"/>
      <c r="H38" s="694"/>
      <c r="I38" s="695">
        <v>150</v>
      </c>
    </row>
    <row r="39" spans="1:9" ht="18" customHeight="1">
      <c r="A39" s="689">
        <v>32</v>
      </c>
      <c r="B39" s="680"/>
      <c r="C39" s="702" t="s">
        <v>349</v>
      </c>
      <c r="D39" s="705"/>
      <c r="E39" s="683"/>
      <c r="F39" s="692">
        <v>257</v>
      </c>
      <c r="G39" s="693">
        <v>300</v>
      </c>
      <c r="H39" s="694">
        <v>1500</v>
      </c>
      <c r="I39" s="695"/>
    </row>
    <row r="40" spans="1:9" ht="18" customHeight="1">
      <c r="A40" s="679">
        <v>33</v>
      </c>
      <c r="B40" s="680"/>
      <c r="C40" s="697">
        <v>2</v>
      </c>
      <c r="D40" s="691" t="s">
        <v>739</v>
      </c>
      <c r="E40" s="683"/>
      <c r="F40" s="692"/>
      <c r="G40" s="693"/>
      <c r="H40" s="694"/>
      <c r="I40" s="695">
        <v>300</v>
      </c>
    </row>
    <row r="41" spans="1:9" ht="18" customHeight="1">
      <c r="A41" s="679">
        <v>34</v>
      </c>
      <c r="B41" s="680"/>
      <c r="C41" s="702" t="s">
        <v>350</v>
      </c>
      <c r="D41" s="705"/>
      <c r="E41" s="683"/>
      <c r="F41" s="692">
        <v>172</v>
      </c>
      <c r="G41" s="693">
        <v>330</v>
      </c>
      <c r="H41" s="694">
        <v>2100</v>
      </c>
      <c r="I41" s="695"/>
    </row>
    <row r="42" spans="1:9" ht="18" customHeight="1">
      <c r="A42" s="689">
        <v>35</v>
      </c>
      <c r="B42" s="680"/>
      <c r="C42" s="697">
        <v>3</v>
      </c>
      <c r="D42" s="691" t="s">
        <v>739</v>
      </c>
      <c r="E42" s="683"/>
      <c r="F42" s="692"/>
      <c r="G42" s="693"/>
      <c r="H42" s="694"/>
      <c r="I42" s="695">
        <v>450</v>
      </c>
    </row>
    <row r="43" spans="1:9" ht="18" customHeight="1">
      <c r="A43" s="679">
        <v>36</v>
      </c>
      <c r="B43" s="680"/>
      <c r="C43" s="702" t="s">
        <v>352</v>
      </c>
      <c r="D43" s="691"/>
      <c r="E43" s="683"/>
      <c r="F43" s="692">
        <v>384</v>
      </c>
      <c r="G43" s="693">
        <v>1528</v>
      </c>
      <c r="H43" s="694">
        <v>3248</v>
      </c>
      <c r="I43" s="695"/>
    </row>
    <row r="44" spans="1:9" ht="18" customHeight="1">
      <c r="A44" s="679">
        <v>37</v>
      </c>
      <c r="B44" s="680"/>
      <c r="C44" s="697">
        <v>4</v>
      </c>
      <c r="D44" s="691" t="s">
        <v>739</v>
      </c>
      <c r="E44" s="683"/>
      <c r="F44" s="692"/>
      <c r="G44" s="693"/>
      <c r="H44" s="694"/>
      <c r="I44" s="695">
        <v>370</v>
      </c>
    </row>
    <row r="45" spans="1:9" ht="18" customHeight="1">
      <c r="A45" s="689">
        <v>38</v>
      </c>
      <c r="B45" s="680"/>
      <c r="C45" s="702" t="s">
        <v>351</v>
      </c>
      <c r="D45" s="705"/>
      <c r="E45" s="683"/>
      <c r="F45" s="692">
        <v>290</v>
      </c>
      <c r="G45" s="693">
        <v>300</v>
      </c>
      <c r="H45" s="694">
        <v>1500</v>
      </c>
      <c r="I45" s="695"/>
    </row>
    <row r="46" spans="1:9" ht="18" customHeight="1">
      <c r="A46" s="679">
        <v>39</v>
      </c>
      <c r="B46" s="680"/>
      <c r="C46" s="697">
        <v>5</v>
      </c>
      <c r="D46" s="691" t="s">
        <v>739</v>
      </c>
      <c r="E46" s="683"/>
      <c r="F46" s="692"/>
      <c r="G46" s="693"/>
      <c r="H46" s="694"/>
      <c r="I46" s="695">
        <v>300</v>
      </c>
    </row>
    <row r="47" spans="1:9" ht="18" customHeight="1">
      <c r="A47" s="679">
        <v>40</v>
      </c>
      <c r="B47" s="680"/>
      <c r="C47" s="702" t="s">
        <v>460</v>
      </c>
      <c r="D47" s="705"/>
      <c r="E47" s="683"/>
      <c r="F47" s="692"/>
      <c r="G47" s="693">
        <v>0</v>
      </c>
      <c r="H47" s="694">
        <v>200</v>
      </c>
      <c r="I47" s="695"/>
    </row>
    <row r="48" spans="1:9" ht="18" customHeight="1">
      <c r="A48" s="689">
        <v>41</v>
      </c>
      <c r="B48" s="680"/>
      <c r="C48" s="697">
        <v>6</v>
      </c>
      <c r="D48" s="691"/>
      <c r="E48" s="683"/>
      <c r="F48" s="692"/>
      <c r="G48" s="693"/>
      <c r="H48" s="694"/>
      <c r="I48" s="695"/>
    </row>
    <row r="49" spans="1:9" ht="18" customHeight="1">
      <c r="A49" s="679">
        <v>42</v>
      </c>
      <c r="B49" s="680"/>
      <c r="C49" s="702" t="s">
        <v>323</v>
      </c>
      <c r="D49" s="691"/>
      <c r="E49" s="683"/>
      <c r="F49" s="692">
        <v>941</v>
      </c>
      <c r="G49" s="685"/>
      <c r="H49" s="686">
        <v>2649</v>
      </c>
      <c r="I49" s="687"/>
    </row>
    <row r="50" spans="1:9" ht="18" customHeight="1">
      <c r="A50" s="679">
        <v>43</v>
      </c>
      <c r="B50" s="680"/>
      <c r="C50" s="697">
        <v>7</v>
      </c>
      <c r="D50" s="691" t="s">
        <v>740</v>
      </c>
      <c r="E50" s="683"/>
      <c r="F50" s="692"/>
      <c r="G50" s="693"/>
      <c r="H50" s="694"/>
      <c r="I50" s="695">
        <v>400</v>
      </c>
    </row>
    <row r="51" spans="1:9" ht="18" customHeight="1">
      <c r="A51" s="689">
        <v>44</v>
      </c>
      <c r="B51" s="680"/>
      <c r="C51" s="706" t="s">
        <v>461</v>
      </c>
      <c r="D51" s="691"/>
      <c r="E51" s="683"/>
      <c r="F51" s="692"/>
      <c r="G51" s="685">
        <v>690</v>
      </c>
      <c r="H51" s="686">
        <v>2200</v>
      </c>
      <c r="I51" s="687"/>
    </row>
    <row r="52" spans="1:9" ht="18" customHeight="1">
      <c r="A52" s="679">
        <v>45</v>
      </c>
      <c r="B52" s="680"/>
      <c r="C52" s="697">
        <v>8</v>
      </c>
      <c r="D52" s="691"/>
      <c r="E52" s="683"/>
      <c r="F52" s="692"/>
      <c r="G52" s="693"/>
      <c r="H52" s="694"/>
      <c r="I52" s="695"/>
    </row>
    <row r="53" spans="1:9" s="688" customFormat="1" ht="22.5" customHeight="1">
      <c r="A53" s="679">
        <v>46</v>
      </c>
      <c r="B53" s="680">
        <v>8</v>
      </c>
      <c r="C53" s="701" t="s">
        <v>111</v>
      </c>
      <c r="D53" s="682"/>
      <c r="E53" s="683" t="s">
        <v>23</v>
      </c>
      <c r="F53" s="684">
        <v>291</v>
      </c>
      <c r="G53" s="685">
        <v>341</v>
      </c>
      <c r="H53" s="686">
        <v>841</v>
      </c>
      <c r="I53" s="687"/>
    </row>
    <row r="54" spans="1:9" ht="18" customHeight="1">
      <c r="A54" s="689">
        <v>47</v>
      </c>
      <c r="B54" s="680"/>
      <c r="C54" s="697">
        <v>1</v>
      </c>
      <c r="D54" s="691" t="s">
        <v>741</v>
      </c>
      <c r="E54" s="683"/>
      <c r="F54" s="692"/>
      <c r="G54" s="693"/>
      <c r="H54" s="694"/>
      <c r="I54" s="695">
        <v>307</v>
      </c>
    </row>
    <row r="55" spans="1:9" s="688" customFormat="1" ht="22.5" customHeight="1">
      <c r="A55" s="679">
        <v>48</v>
      </c>
      <c r="B55" s="680">
        <v>9</v>
      </c>
      <c r="C55" s="701" t="s">
        <v>369</v>
      </c>
      <c r="D55" s="682"/>
      <c r="E55" s="683" t="s">
        <v>23</v>
      </c>
      <c r="F55" s="684">
        <v>3230</v>
      </c>
      <c r="G55" s="685">
        <v>9130</v>
      </c>
      <c r="H55" s="686">
        <v>9830</v>
      </c>
      <c r="I55" s="687"/>
    </row>
    <row r="56" spans="1:9" ht="18" customHeight="1">
      <c r="A56" s="679">
        <v>49</v>
      </c>
      <c r="B56" s="680"/>
      <c r="C56" s="697">
        <v>1</v>
      </c>
      <c r="D56" s="691" t="s">
        <v>742</v>
      </c>
      <c r="E56" s="683"/>
      <c r="F56" s="692"/>
      <c r="G56" s="693"/>
      <c r="H56" s="694"/>
      <c r="I56" s="695">
        <v>1653</v>
      </c>
    </row>
    <row r="57" spans="1:9" ht="18" customHeight="1">
      <c r="A57" s="689">
        <v>50</v>
      </c>
      <c r="B57" s="680"/>
      <c r="C57" s="697">
        <v>2</v>
      </c>
      <c r="D57" s="691" t="s">
        <v>743</v>
      </c>
      <c r="E57" s="683"/>
      <c r="F57" s="692"/>
      <c r="G57" s="693"/>
      <c r="H57" s="694"/>
      <c r="I57" s="695">
        <v>52</v>
      </c>
    </row>
    <row r="58" spans="1:9" ht="30">
      <c r="A58" s="679">
        <v>51</v>
      </c>
      <c r="B58" s="680"/>
      <c r="C58" s="690">
        <v>3</v>
      </c>
      <c r="D58" s="691" t="s">
        <v>704</v>
      </c>
      <c r="E58" s="683"/>
      <c r="F58" s="692"/>
      <c r="G58" s="693"/>
      <c r="H58" s="694">
        <v>671</v>
      </c>
      <c r="I58" s="695"/>
    </row>
    <row r="59" spans="1:9" s="688" customFormat="1" ht="22.5" customHeight="1">
      <c r="A59" s="679">
        <v>52</v>
      </c>
      <c r="B59" s="680">
        <v>10</v>
      </c>
      <c r="C59" s="681" t="s">
        <v>371</v>
      </c>
      <c r="D59" s="682"/>
      <c r="E59" s="683" t="s">
        <v>23</v>
      </c>
      <c r="F59" s="684">
        <v>5225</v>
      </c>
      <c r="G59" s="685">
        <v>3000</v>
      </c>
      <c r="H59" s="686">
        <v>15343</v>
      </c>
      <c r="I59" s="687"/>
    </row>
    <row r="60" spans="1:9" ht="18" customHeight="1">
      <c r="A60" s="689">
        <v>53</v>
      </c>
      <c r="B60" s="680"/>
      <c r="C60" s="697">
        <v>1</v>
      </c>
      <c r="D60" s="691" t="s">
        <v>739</v>
      </c>
      <c r="E60" s="683"/>
      <c r="F60" s="692"/>
      <c r="G60" s="693"/>
      <c r="H60" s="694"/>
      <c r="I60" s="695">
        <v>311</v>
      </c>
    </row>
    <row r="61" spans="1:9" s="710" customFormat="1" ht="30">
      <c r="A61" s="679">
        <v>54</v>
      </c>
      <c r="B61" s="707"/>
      <c r="C61" s="690">
        <v>2</v>
      </c>
      <c r="D61" s="691" t="s">
        <v>744</v>
      </c>
      <c r="E61" s="708"/>
      <c r="F61" s="684"/>
      <c r="G61" s="709">
        <v>4050</v>
      </c>
      <c r="H61" s="709">
        <v>2741</v>
      </c>
      <c r="I61" s="695">
        <v>2741</v>
      </c>
    </row>
    <row r="62" spans="1:9" s="710" customFormat="1" ht="30">
      <c r="A62" s="679">
        <v>55</v>
      </c>
      <c r="B62" s="707"/>
      <c r="C62" s="690">
        <v>3</v>
      </c>
      <c r="D62" s="691" t="s">
        <v>745</v>
      </c>
      <c r="E62" s="708"/>
      <c r="F62" s="684"/>
      <c r="G62" s="709"/>
      <c r="H62" s="709">
        <v>568</v>
      </c>
      <c r="I62" s="695"/>
    </row>
    <row r="63" spans="1:9" s="688" customFormat="1" ht="22.5" customHeight="1">
      <c r="A63" s="689">
        <v>56</v>
      </c>
      <c r="B63" s="680">
        <v>11</v>
      </c>
      <c r="C63" s="701" t="s">
        <v>364</v>
      </c>
      <c r="D63" s="682"/>
      <c r="E63" s="683" t="s">
        <v>23</v>
      </c>
      <c r="F63" s="684">
        <v>1580</v>
      </c>
      <c r="G63" s="685">
        <v>8200</v>
      </c>
      <c r="H63" s="686">
        <v>13023</v>
      </c>
      <c r="I63" s="687"/>
    </row>
    <row r="64" spans="1:9" ht="18" customHeight="1">
      <c r="A64" s="679">
        <v>57</v>
      </c>
      <c r="B64" s="680"/>
      <c r="C64" s="697">
        <v>1</v>
      </c>
      <c r="D64" s="691" t="s">
        <v>746</v>
      </c>
      <c r="E64" s="683"/>
      <c r="F64" s="692"/>
      <c r="G64" s="693"/>
      <c r="H64" s="694"/>
      <c r="I64" s="695">
        <v>6350</v>
      </c>
    </row>
    <row r="65" spans="1:9" ht="18" customHeight="1">
      <c r="A65" s="679">
        <v>58</v>
      </c>
      <c r="B65" s="680"/>
      <c r="C65" s="697">
        <v>2</v>
      </c>
      <c r="D65" s="691" t="s">
        <v>747</v>
      </c>
      <c r="E65" s="683"/>
      <c r="F65" s="692"/>
      <c r="G65" s="693"/>
      <c r="H65" s="694">
        <v>2740</v>
      </c>
      <c r="I65" s="695">
        <v>1518</v>
      </c>
    </row>
    <row r="66" spans="1:9" s="688" customFormat="1" ht="22.5" customHeight="1">
      <c r="A66" s="689">
        <v>59</v>
      </c>
      <c r="B66" s="680">
        <v>12</v>
      </c>
      <c r="C66" s="701" t="s">
        <v>25</v>
      </c>
      <c r="D66" s="682"/>
      <c r="E66" s="683" t="s">
        <v>23</v>
      </c>
      <c r="F66" s="684">
        <v>16587</v>
      </c>
      <c r="G66" s="685">
        <v>13454</v>
      </c>
      <c r="H66" s="686">
        <v>18186</v>
      </c>
      <c r="I66" s="687"/>
    </row>
    <row r="67" spans="1:9" ht="30">
      <c r="A67" s="679">
        <v>60</v>
      </c>
      <c r="B67" s="680"/>
      <c r="C67" s="690">
        <v>1</v>
      </c>
      <c r="D67" s="691" t="s">
        <v>748</v>
      </c>
      <c r="E67" s="683"/>
      <c r="F67" s="684"/>
      <c r="G67" s="709"/>
      <c r="H67" s="694"/>
      <c r="I67" s="695">
        <v>11550</v>
      </c>
    </row>
    <row r="68" spans="1:9" ht="28.5" customHeight="1">
      <c r="A68" s="679">
        <v>61</v>
      </c>
      <c r="B68" s="680"/>
      <c r="C68" s="690">
        <v>2</v>
      </c>
      <c r="D68" s="691" t="s">
        <v>324</v>
      </c>
      <c r="E68" s="683"/>
      <c r="F68" s="684">
        <v>66716</v>
      </c>
      <c r="G68" s="709">
        <v>16000</v>
      </c>
      <c r="H68" s="686">
        <v>60519</v>
      </c>
      <c r="I68" s="695">
        <v>55000</v>
      </c>
    </row>
    <row r="69" spans="1:9" ht="30" customHeight="1">
      <c r="A69" s="689">
        <v>62</v>
      </c>
      <c r="B69" s="680"/>
      <c r="C69" s="690">
        <v>3</v>
      </c>
      <c r="D69" s="691" t="s">
        <v>462</v>
      </c>
      <c r="E69" s="683"/>
      <c r="F69" s="711">
        <v>0</v>
      </c>
      <c r="G69" s="685">
        <v>2400</v>
      </c>
      <c r="H69" s="686">
        <v>1741</v>
      </c>
      <c r="I69" s="695">
        <v>113</v>
      </c>
    </row>
    <row r="70" spans="1:9" s="688" customFormat="1" ht="22.5" customHeight="1">
      <c r="A70" s="679">
        <v>63</v>
      </c>
      <c r="B70" s="680">
        <v>13</v>
      </c>
      <c r="C70" s="701" t="s">
        <v>32</v>
      </c>
      <c r="D70" s="682"/>
      <c r="E70" s="683" t="s">
        <v>23</v>
      </c>
      <c r="F70" s="684">
        <v>5908</v>
      </c>
      <c r="G70" s="685">
        <v>8057</v>
      </c>
      <c r="H70" s="686">
        <v>38773</v>
      </c>
      <c r="I70" s="687"/>
    </row>
    <row r="71" spans="1:9" ht="18" customHeight="1">
      <c r="A71" s="679">
        <v>64</v>
      </c>
      <c r="B71" s="680"/>
      <c r="C71" s="697">
        <v>1</v>
      </c>
      <c r="D71" s="691" t="s">
        <v>749</v>
      </c>
      <c r="E71" s="683"/>
      <c r="F71" s="692"/>
      <c r="G71" s="693"/>
      <c r="H71" s="694"/>
      <c r="I71" s="695">
        <v>9392</v>
      </c>
    </row>
    <row r="72" spans="1:9" ht="30">
      <c r="A72" s="689">
        <v>65</v>
      </c>
      <c r="B72" s="680"/>
      <c r="C72" s="690">
        <v>2</v>
      </c>
      <c r="D72" s="691" t="s">
        <v>750</v>
      </c>
      <c r="E72" s="683"/>
      <c r="F72" s="692"/>
      <c r="G72" s="693"/>
      <c r="H72" s="686">
        <v>25400</v>
      </c>
      <c r="I72" s="695">
        <v>25400</v>
      </c>
    </row>
    <row r="73" spans="1:9" s="688" customFormat="1" ht="22.5" customHeight="1">
      <c r="A73" s="679">
        <v>66</v>
      </c>
      <c r="B73" s="680">
        <v>14</v>
      </c>
      <c r="C73" s="701" t="s">
        <v>365</v>
      </c>
      <c r="D73" s="682"/>
      <c r="E73" s="683" t="s">
        <v>24</v>
      </c>
      <c r="F73" s="684">
        <v>3173</v>
      </c>
      <c r="G73" s="685">
        <v>1000</v>
      </c>
      <c r="H73" s="686"/>
      <c r="I73" s="687"/>
    </row>
    <row r="74" spans="1:9" ht="18" customHeight="1">
      <c r="A74" s="679">
        <v>67</v>
      </c>
      <c r="B74" s="680"/>
      <c r="C74" s="697">
        <v>1</v>
      </c>
      <c r="D74" s="691" t="s">
        <v>739</v>
      </c>
      <c r="E74" s="683"/>
      <c r="F74" s="692"/>
      <c r="G74" s="693"/>
      <c r="H74" s="694">
        <v>16600</v>
      </c>
      <c r="I74" s="695">
        <v>414</v>
      </c>
    </row>
    <row r="75" spans="1:9" ht="45">
      <c r="A75" s="689">
        <v>68</v>
      </c>
      <c r="B75" s="680"/>
      <c r="C75" s="690">
        <v>2</v>
      </c>
      <c r="D75" s="698" t="s">
        <v>751</v>
      </c>
      <c r="E75" s="683"/>
      <c r="F75" s="711"/>
      <c r="G75" s="709"/>
      <c r="H75" s="686">
        <v>6172</v>
      </c>
      <c r="I75" s="695"/>
    </row>
    <row r="76" spans="1:9" ht="30">
      <c r="A76" s="679">
        <v>69</v>
      </c>
      <c r="B76" s="680"/>
      <c r="C76" s="690"/>
      <c r="D76" s="698" t="s">
        <v>463</v>
      </c>
      <c r="E76" s="683"/>
      <c r="F76" s="711">
        <v>868</v>
      </c>
      <c r="G76" s="709"/>
      <c r="H76" s="694"/>
      <c r="I76" s="695"/>
    </row>
    <row r="77" spans="1:9" s="688" customFormat="1" ht="22.5" customHeight="1">
      <c r="A77" s="679">
        <v>70</v>
      </c>
      <c r="B77" s="680">
        <v>15</v>
      </c>
      <c r="C77" s="701" t="s">
        <v>142</v>
      </c>
      <c r="D77" s="682"/>
      <c r="E77" s="683" t="s">
        <v>24</v>
      </c>
      <c r="F77" s="684">
        <v>25055</v>
      </c>
      <c r="G77" s="685">
        <v>3000</v>
      </c>
      <c r="H77" s="686">
        <v>78720</v>
      </c>
      <c r="I77" s="687"/>
    </row>
    <row r="78" spans="1:9" ht="18" customHeight="1">
      <c r="A78" s="689">
        <v>71</v>
      </c>
      <c r="B78" s="680"/>
      <c r="C78" s="697">
        <v>1</v>
      </c>
      <c r="D78" s="691"/>
      <c r="E78" s="683"/>
      <c r="F78" s="692"/>
      <c r="G78" s="693"/>
      <c r="H78" s="694"/>
      <c r="I78" s="695"/>
    </row>
    <row r="79" spans="1:9" s="688" customFormat="1" ht="22.5" customHeight="1">
      <c r="A79" s="679">
        <v>72</v>
      </c>
      <c r="B79" s="680">
        <v>16</v>
      </c>
      <c r="C79" s="712" t="s">
        <v>251</v>
      </c>
      <c r="D79" s="682"/>
      <c r="E79" s="683" t="s">
        <v>23</v>
      </c>
      <c r="F79" s="684">
        <v>4398</v>
      </c>
      <c r="G79" s="685">
        <v>2820</v>
      </c>
      <c r="H79" s="686">
        <v>5165</v>
      </c>
      <c r="I79" s="687"/>
    </row>
    <row r="80" spans="1:9" ht="18" customHeight="1" thickBot="1">
      <c r="A80" s="679">
        <v>73</v>
      </c>
      <c r="B80" s="713"/>
      <c r="C80" s="697">
        <v>1</v>
      </c>
      <c r="D80" s="691" t="s">
        <v>737</v>
      </c>
      <c r="E80" s="714"/>
      <c r="F80" s="715"/>
      <c r="G80" s="716"/>
      <c r="H80" s="717"/>
      <c r="I80" s="718">
        <v>73</v>
      </c>
    </row>
    <row r="81" spans="1:9" s="1275" customFormat="1" ht="36" customHeight="1" thickBot="1" thickTop="1">
      <c r="A81" s="689">
        <v>74</v>
      </c>
      <c r="B81" s="1477" t="s">
        <v>423</v>
      </c>
      <c r="C81" s="1478"/>
      <c r="D81" s="1479"/>
      <c r="E81" s="1270"/>
      <c r="F81" s="1271">
        <f>SUM(F8:F80)</f>
        <v>154154</v>
      </c>
      <c r="G81" s="1272">
        <f>SUM(G8:G80)</f>
        <v>112203</v>
      </c>
      <c r="H81" s="1273">
        <f>SUM(H8:H80)</f>
        <v>358761</v>
      </c>
      <c r="I81" s="1274">
        <f>SUM(I8:I80)</f>
        <v>126457</v>
      </c>
    </row>
    <row r="82" spans="1:9" s="688" customFormat="1" ht="22.5" customHeight="1">
      <c r="A82" s="679">
        <v>75</v>
      </c>
      <c r="B82" s="680">
        <v>17</v>
      </c>
      <c r="C82" s="719" t="s">
        <v>26</v>
      </c>
      <c r="D82" s="682"/>
      <c r="E82" s="683" t="s">
        <v>23</v>
      </c>
      <c r="F82" s="684"/>
      <c r="G82" s="685"/>
      <c r="H82" s="686"/>
      <c r="I82" s="687"/>
    </row>
    <row r="83" spans="1:9" s="688" customFormat="1" ht="22.5" customHeight="1">
      <c r="A83" s="679">
        <v>76</v>
      </c>
      <c r="B83" s="680"/>
      <c r="C83" s="702"/>
      <c r="D83" s="682" t="s">
        <v>151</v>
      </c>
      <c r="E83" s="683"/>
      <c r="F83" s="684">
        <v>2257</v>
      </c>
      <c r="G83" s="685">
        <v>13906</v>
      </c>
      <c r="H83" s="686">
        <v>20224</v>
      </c>
      <c r="I83" s="687"/>
    </row>
    <row r="84" spans="1:9" ht="18" customHeight="1">
      <c r="A84" s="689">
        <v>77</v>
      </c>
      <c r="B84" s="680"/>
      <c r="C84" s="720">
        <v>1</v>
      </c>
      <c r="D84" s="691" t="s">
        <v>752</v>
      </c>
      <c r="E84" s="683"/>
      <c r="F84" s="692"/>
      <c r="G84" s="693"/>
      <c r="H84" s="694"/>
      <c r="I84" s="695">
        <v>2000</v>
      </c>
    </row>
    <row r="85" spans="1:9" ht="18" customHeight="1">
      <c r="A85" s="679">
        <v>78</v>
      </c>
      <c r="B85" s="680"/>
      <c r="C85" s="720">
        <v>2</v>
      </c>
      <c r="D85" s="691" t="s">
        <v>753</v>
      </c>
      <c r="E85" s="683"/>
      <c r="F85" s="692"/>
      <c r="G85" s="693"/>
      <c r="H85" s="694"/>
      <c r="I85" s="695">
        <v>20000</v>
      </c>
    </row>
    <row r="86" spans="1:9" ht="18" customHeight="1">
      <c r="A86" s="679">
        <v>79</v>
      </c>
      <c r="B86" s="680"/>
      <c r="C86" s="720">
        <v>3</v>
      </c>
      <c r="D86" s="691" t="s">
        <v>754</v>
      </c>
      <c r="E86" s="683"/>
      <c r="F86" s="692"/>
      <c r="G86" s="693"/>
      <c r="H86" s="694"/>
      <c r="I86" s="695">
        <v>5000</v>
      </c>
    </row>
    <row r="87" spans="1:9" ht="18" customHeight="1">
      <c r="A87" s="689">
        <v>80</v>
      </c>
      <c r="B87" s="680"/>
      <c r="C87" s="720">
        <v>4</v>
      </c>
      <c r="D87" s="691" t="s">
        <v>755</v>
      </c>
      <c r="E87" s="683"/>
      <c r="F87" s="692"/>
      <c r="G87" s="693"/>
      <c r="H87" s="694"/>
      <c r="I87" s="695">
        <v>3000</v>
      </c>
    </row>
    <row r="88" spans="1:9" ht="18" customHeight="1">
      <c r="A88" s="679">
        <v>81</v>
      </c>
      <c r="B88" s="680"/>
      <c r="C88" s="720">
        <v>5</v>
      </c>
      <c r="D88" s="691" t="s">
        <v>756</v>
      </c>
      <c r="E88" s="683"/>
      <c r="F88" s="692"/>
      <c r="G88" s="693"/>
      <c r="H88" s="694"/>
      <c r="I88" s="695">
        <v>3000</v>
      </c>
    </row>
    <row r="89" spans="1:9" ht="18" customHeight="1">
      <c r="A89" s="679">
        <v>82</v>
      </c>
      <c r="B89" s="680"/>
      <c r="C89" s="720">
        <v>6</v>
      </c>
      <c r="D89" s="691" t="s">
        <v>757</v>
      </c>
      <c r="E89" s="683"/>
      <c r="F89" s="692"/>
      <c r="G89" s="693"/>
      <c r="H89" s="694"/>
      <c r="I89" s="695">
        <v>3500</v>
      </c>
    </row>
    <row r="90" spans="1:9" ht="18" customHeight="1">
      <c r="A90" s="689">
        <v>83</v>
      </c>
      <c r="B90" s="680"/>
      <c r="C90" s="720">
        <v>7</v>
      </c>
      <c r="D90" s="691" t="s">
        <v>758</v>
      </c>
      <c r="E90" s="683"/>
      <c r="F90" s="692"/>
      <c r="G90" s="693"/>
      <c r="H90" s="694"/>
      <c r="I90" s="695">
        <v>600</v>
      </c>
    </row>
    <row r="91" spans="1:9" ht="18" customHeight="1">
      <c r="A91" s="679">
        <v>84</v>
      </c>
      <c r="B91" s="680"/>
      <c r="C91" s="720">
        <v>8</v>
      </c>
      <c r="D91" s="691" t="s">
        <v>759</v>
      </c>
      <c r="E91" s="683"/>
      <c r="F91" s="692"/>
      <c r="G91" s="693"/>
      <c r="H91" s="694"/>
      <c r="I91" s="695">
        <v>7000</v>
      </c>
    </row>
    <row r="92" spans="1:9" ht="18" customHeight="1">
      <c r="A92" s="679">
        <v>85</v>
      </c>
      <c r="B92" s="680"/>
      <c r="C92" s="720">
        <v>9</v>
      </c>
      <c r="D92" s="691" t="s">
        <v>760</v>
      </c>
      <c r="E92" s="683"/>
      <c r="F92" s="692"/>
      <c r="G92" s="693"/>
      <c r="H92" s="694"/>
      <c r="I92" s="695">
        <v>300</v>
      </c>
    </row>
    <row r="93" spans="1:9" ht="18" customHeight="1">
      <c r="A93" s="689">
        <v>86</v>
      </c>
      <c r="B93" s="680"/>
      <c r="C93" s="720">
        <v>10</v>
      </c>
      <c r="D93" s="691" t="s">
        <v>761</v>
      </c>
      <c r="E93" s="683"/>
      <c r="F93" s="692"/>
      <c r="G93" s="693"/>
      <c r="H93" s="694"/>
      <c r="I93" s="695">
        <v>300</v>
      </c>
    </row>
    <row r="94" spans="1:9" ht="18" customHeight="1">
      <c r="A94" s="679">
        <v>87</v>
      </c>
      <c r="B94" s="680"/>
      <c r="C94" s="720">
        <v>11</v>
      </c>
      <c r="D94" s="691" t="s">
        <v>762</v>
      </c>
      <c r="E94" s="683"/>
      <c r="F94" s="692"/>
      <c r="G94" s="693"/>
      <c r="H94" s="694"/>
      <c r="I94" s="695">
        <v>3000</v>
      </c>
    </row>
    <row r="95" spans="1:9" ht="18" customHeight="1">
      <c r="A95" s="679">
        <v>88</v>
      </c>
      <c r="B95" s="680"/>
      <c r="C95" s="720">
        <v>12</v>
      </c>
      <c r="D95" s="691" t="s">
        <v>763</v>
      </c>
      <c r="E95" s="683"/>
      <c r="F95" s="692"/>
      <c r="G95" s="693"/>
      <c r="H95" s="694"/>
      <c r="I95" s="695">
        <v>3500</v>
      </c>
    </row>
    <row r="96" spans="1:9" ht="22.5" customHeight="1">
      <c r="A96" s="689">
        <v>89</v>
      </c>
      <c r="B96" s="680"/>
      <c r="C96" s="720"/>
      <c r="D96" s="682" t="s">
        <v>500</v>
      </c>
      <c r="E96" s="683"/>
      <c r="F96" s="692">
        <v>14849</v>
      </c>
      <c r="G96" s="693">
        <v>20100</v>
      </c>
      <c r="H96" s="694">
        <v>29325</v>
      </c>
      <c r="I96" s="695"/>
    </row>
    <row r="97" spans="1:9" ht="18" customHeight="1">
      <c r="A97" s="679">
        <v>90</v>
      </c>
      <c r="B97" s="680"/>
      <c r="C97" s="683">
        <v>13</v>
      </c>
      <c r="D97" s="691" t="s">
        <v>33</v>
      </c>
      <c r="E97" s="683"/>
      <c r="F97" s="692"/>
      <c r="G97" s="693"/>
      <c r="H97" s="694"/>
      <c r="I97" s="695">
        <v>16900</v>
      </c>
    </row>
    <row r="98" spans="1:9" ht="22.5" customHeight="1">
      <c r="A98" s="679">
        <v>91</v>
      </c>
      <c r="B98" s="680"/>
      <c r="C98" s="720"/>
      <c r="D98" s="682" t="s">
        <v>764</v>
      </c>
      <c r="E98" s="683"/>
      <c r="F98" s="692"/>
      <c r="G98" s="693"/>
      <c r="H98" s="694">
        <v>500</v>
      </c>
      <c r="I98" s="695"/>
    </row>
    <row r="99" spans="1:9" ht="22.5" customHeight="1">
      <c r="A99" s="689">
        <v>92</v>
      </c>
      <c r="B99" s="680"/>
      <c r="C99" s="720"/>
      <c r="D99" s="682" t="s">
        <v>713</v>
      </c>
      <c r="E99" s="683"/>
      <c r="F99" s="692"/>
      <c r="G99" s="693"/>
      <c r="H99" s="694"/>
      <c r="I99" s="695"/>
    </row>
    <row r="100" spans="1:9" ht="18" customHeight="1" thickBot="1">
      <c r="A100" s="679">
        <v>93</v>
      </c>
      <c r="B100" s="680"/>
      <c r="C100" s="683">
        <v>14</v>
      </c>
      <c r="D100" s="691" t="s">
        <v>765</v>
      </c>
      <c r="E100" s="683"/>
      <c r="F100" s="692"/>
      <c r="G100" s="693"/>
      <c r="H100" s="694"/>
      <c r="I100" s="695">
        <v>6840</v>
      </c>
    </row>
    <row r="101" spans="1:9" s="1275" customFormat="1" ht="36" customHeight="1" thickBot="1" thickTop="1">
      <c r="A101" s="679">
        <v>94</v>
      </c>
      <c r="B101" s="1477" t="s">
        <v>424</v>
      </c>
      <c r="C101" s="1478"/>
      <c r="D101" s="1479"/>
      <c r="E101" s="1270"/>
      <c r="F101" s="1271">
        <f>SUM(F82:F100)</f>
        <v>17106</v>
      </c>
      <c r="G101" s="1272">
        <f>SUM(G82:G100)</f>
        <v>34006</v>
      </c>
      <c r="H101" s="1273">
        <f>SUM(H82:H100)</f>
        <v>50049</v>
      </c>
      <c r="I101" s="1274">
        <f>SUM(I82:I100)</f>
        <v>74940</v>
      </c>
    </row>
    <row r="102" spans="1:9" s="1275" customFormat="1" ht="36" customHeight="1" thickBot="1">
      <c r="A102" s="689">
        <v>95</v>
      </c>
      <c r="B102" s="1480" t="s">
        <v>425</v>
      </c>
      <c r="C102" s="1481"/>
      <c r="D102" s="1482"/>
      <c r="E102" s="1276"/>
      <c r="F102" s="1277">
        <f>SUM(F101,F81)</f>
        <v>171260</v>
      </c>
      <c r="G102" s="1278">
        <f>SUM(G101,G81)</f>
        <v>146209</v>
      </c>
      <c r="H102" s="1279">
        <f>SUM(H101,H81)</f>
        <v>408810</v>
      </c>
      <c r="I102" s="1280">
        <f>SUM(I101,I81)</f>
        <v>201397</v>
      </c>
    </row>
    <row r="103" spans="2:9" ht="18" customHeight="1">
      <c r="B103" s="1281"/>
      <c r="C103" s="1282" t="s">
        <v>27</v>
      </c>
      <c r="D103" s="1281"/>
      <c r="E103" s="1283"/>
      <c r="F103" s="1284"/>
      <c r="G103" s="1285"/>
      <c r="H103" s="1286"/>
      <c r="I103" s="1286"/>
    </row>
    <row r="104" spans="1:247" s="1288" customFormat="1" ht="18" customHeight="1">
      <c r="A104" s="1269"/>
      <c r="B104" s="1281" t="s">
        <v>28</v>
      </c>
      <c r="C104" s="1281"/>
      <c r="D104" s="1281"/>
      <c r="E104" s="1283"/>
      <c r="F104" s="1287"/>
      <c r="G104" s="1285"/>
      <c r="H104" s="1286"/>
      <c r="I104" s="1286"/>
      <c r="J104" s="696"/>
      <c r="K104" s="696"/>
      <c r="L104" s="696"/>
      <c r="M104" s="696"/>
      <c r="N104" s="696"/>
      <c r="O104" s="696"/>
      <c r="P104" s="696"/>
      <c r="Q104" s="696"/>
      <c r="R104" s="696"/>
      <c r="S104" s="696"/>
      <c r="T104" s="696"/>
      <c r="U104" s="696"/>
      <c r="V104" s="696"/>
      <c r="W104" s="696"/>
      <c r="X104" s="696"/>
      <c r="Y104" s="696"/>
      <c r="Z104" s="696"/>
      <c r="AA104" s="696"/>
      <c r="AB104" s="696"/>
      <c r="AC104" s="696"/>
      <c r="AD104" s="696"/>
      <c r="AE104" s="696"/>
      <c r="AF104" s="696"/>
      <c r="AG104" s="696"/>
      <c r="AH104" s="696"/>
      <c r="AI104" s="696"/>
      <c r="AJ104" s="696"/>
      <c r="AK104" s="696"/>
      <c r="AL104" s="696"/>
      <c r="AM104" s="696"/>
      <c r="AN104" s="696"/>
      <c r="AO104" s="696"/>
      <c r="AP104" s="696"/>
      <c r="AQ104" s="696"/>
      <c r="AR104" s="696"/>
      <c r="AS104" s="696"/>
      <c r="AT104" s="696"/>
      <c r="AU104" s="696"/>
      <c r="AV104" s="696"/>
      <c r="AW104" s="696"/>
      <c r="AX104" s="696"/>
      <c r="AY104" s="696"/>
      <c r="AZ104" s="696"/>
      <c r="BA104" s="696"/>
      <c r="BB104" s="696"/>
      <c r="BC104" s="696"/>
      <c r="BD104" s="696"/>
      <c r="BE104" s="696"/>
      <c r="BF104" s="696"/>
      <c r="BG104" s="696"/>
      <c r="BH104" s="696"/>
      <c r="BI104" s="696"/>
      <c r="BJ104" s="696"/>
      <c r="BK104" s="696"/>
      <c r="BL104" s="696"/>
      <c r="BM104" s="696"/>
      <c r="BN104" s="696"/>
      <c r="BO104" s="696"/>
      <c r="BP104" s="696"/>
      <c r="BQ104" s="696"/>
      <c r="BR104" s="696"/>
      <c r="BS104" s="696"/>
      <c r="BT104" s="696"/>
      <c r="BU104" s="696"/>
      <c r="BV104" s="696"/>
      <c r="BW104" s="696"/>
      <c r="BX104" s="696"/>
      <c r="BY104" s="696"/>
      <c r="BZ104" s="696"/>
      <c r="CA104" s="696"/>
      <c r="CB104" s="696"/>
      <c r="CC104" s="696"/>
      <c r="CD104" s="696"/>
      <c r="CE104" s="696"/>
      <c r="CF104" s="696"/>
      <c r="CG104" s="696"/>
      <c r="CH104" s="696"/>
      <c r="CI104" s="696"/>
      <c r="CJ104" s="696"/>
      <c r="CK104" s="696"/>
      <c r="CL104" s="696"/>
      <c r="CM104" s="696"/>
      <c r="CN104" s="696"/>
      <c r="CO104" s="696"/>
      <c r="CP104" s="696"/>
      <c r="CQ104" s="696"/>
      <c r="CR104" s="696"/>
      <c r="CS104" s="696"/>
      <c r="CT104" s="696"/>
      <c r="CU104" s="696"/>
      <c r="CV104" s="696"/>
      <c r="CW104" s="696"/>
      <c r="CX104" s="696"/>
      <c r="CY104" s="696"/>
      <c r="CZ104" s="696"/>
      <c r="DA104" s="696"/>
      <c r="DB104" s="696"/>
      <c r="DC104" s="696"/>
      <c r="DD104" s="696"/>
      <c r="DE104" s="696"/>
      <c r="DF104" s="696"/>
      <c r="DG104" s="696"/>
      <c r="DH104" s="696"/>
      <c r="DI104" s="696"/>
      <c r="DJ104" s="696"/>
      <c r="DK104" s="696"/>
      <c r="DL104" s="696"/>
      <c r="DM104" s="696"/>
      <c r="DN104" s="696"/>
      <c r="DO104" s="696"/>
      <c r="DP104" s="696"/>
      <c r="DQ104" s="696"/>
      <c r="DR104" s="696"/>
      <c r="DS104" s="696"/>
      <c r="DT104" s="696"/>
      <c r="DU104" s="696"/>
      <c r="DV104" s="696"/>
      <c r="DW104" s="696"/>
      <c r="DX104" s="696"/>
      <c r="DY104" s="696"/>
      <c r="DZ104" s="696"/>
      <c r="EA104" s="696"/>
      <c r="EB104" s="696"/>
      <c r="EC104" s="696"/>
      <c r="ED104" s="696"/>
      <c r="EE104" s="696"/>
      <c r="EF104" s="696"/>
      <c r="EG104" s="696"/>
      <c r="EH104" s="696"/>
      <c r="EI104" s="696"/>
      <c r="EJ104" s="696"/>
      <c r="EK104" s="696"/>
      <c r="EL104" s="696"/>
      <c r="EM104" s="696"/>
      <c r="EN104" s="696"/>
      <c r="EO104" s="696"/>
      <c r="EP104" s="696"/>
      <c r="EQ104" s="696"/>
      <c r="ER104" s="696"/>
      <c r="ES104" s="696"/>
      <c r="ET104" s="696"/>
      <c r="EU104" s="696"/>
      <c r="EV104" s="696"/>
      <c r="EW104" s="696"/>
      <c r="EX104" s="696"/>
      <c r="EY104" s="696"/>
      <c r="EZ104" s="696"/>
      <c r="FA104" s="696"/>
      <c r="FB104" s="696"/>
      <c r="FC104" s="696"/>
      <c r="FD104" s="696"/>
      <c r="FE104" s="696"/>
      <c r="FF104" s="696"/>
      <c r="FG104" s="696"/>
      <c r="FH104" s="696"/>
      <c r="FI104" s="696"/>
      <c r="FJ104" s="696"/>
      <c r="FK104" s="696"/>
      <c r="FL104" s="696"/>
      <c r="FM104" s="696"/>
      <c r="FN104" s="696"/>
      <c r="FO104" s="696"/>
      <c r="FP104" s="696"/>
      <c r="FQ104" s="696"/>
      <c r="FR104" s="696"/>
      <c r="FS104" s="696"/>
      <c r="FT104" s="696"/>
      <c r="FU104" s="696"/>
      <c r="FV104" s="696"/>
      <c r="FW104" s="696"/>
      <c r="FX104" s="696"/>
      <c r="FY104" s="696"/>
      <c r="FZ104" s="696"/>
      <c r="GA104" s="696"/>
      <c r="GB104" s="696"/>
      <c r="GC104" s="696"/>
      <c r="GD104" s="696"/>
      <c r="GE104" s="696"/>
      <c r="GF104" s="696"/>
      <c r="GG104" s="696"/>
      <c r="GH104" s="696"/>
      <c r="GI104" s="696"/>
      <c r="GJ104" s="696"/>
      <c r="GK104" s="696"/>
      <c r="GL104" s="696"/>
      <c r="GM104" s="696"/>
      <c r="GN104" s="696"/>
      <c r="GO104" s="696"/>
      <c r="GP104" s="696"/>
      <c r="GQ104" s="696"/>
      <c r="GR104" s="696"/>
      <c r="GS104" s="696"/>
      <c r="GT104" s="696"/>
      <c r="GU104" s="696"/>
      <c r="GV104" s="696"/>
      <c r="GW104" s="696"/>
      <c r="GX104" s="696"/>
      <c r="GY104" s="696"/>
      <c r="GZ104" s="696"/>
      <c r="HA104" s="696"/>
      <c r="HB104" s="696"/>
      <c r="HC104" s="696"/>
      <c r="HD104" s="696"/>
      <c r="HE104" s="696"/>
      <c r="HF104" s="696"/>
      <c r="HG104" s="696"/>
      <c r="HH104" s="696"/>
      <c r="HI104" s="696"/>
      <c r="HJ104" s="696"/>
      <c r="HK104" s="696"/>
      <c r="HL104" s="696"/>
      <c r="HM104" s="696"/>
      <c r="HN104" s="696"/>
      <c r="HO104" s="696"/>
      <c r="HP104" s="696"/>
      <c r="HQ104" s="696"/>
      <c r="HR104" s="696"/>
      <c r="HS104" s="696"/>
      <c r="HT104" s="696"/>
      <c r="HU104" s="696"/>
      <c r="HV104" s="696"/>
      <c r="HW104" s="696"/>
      <c r="HX104" s="696"/>
      <c r="HY104" s="696"/>
      <c r="HZ104" s="696"/>
      <c r="IA104" s="696"/>
      <c r="IB104" s="696"/>
      <c r="IC104" s="696"/>
      <c r="ID104" s="696"/>
      <c r="IE104" s="696"/>
      <c r="IF104" s="696"/>
      <c r="IG104" s="696"/>
      <c r="IH104" s="696"/>
      <c r="II104" s="696"/>
      <c r="IJ104" s="696"/>
      <c r="IK104" s="696"/>
      <c r="IL104" s="696"/>
      <c r="IM104" s="696"/>
    </row>
    <row r="105" spans="1:247" s="1288" customFormat="1" ht="18" customHeight="1">
      <c r="A105" s="1269"/>
      <c r="B105" s="1281" t="s">
        <v>29</v>
      </c>
      <c r="C105" s="1281"/>
      <c r="D105" s="1281"/>
      <c r="E105" s="1283"/>
      <c r="F105" s="1287"/>
      <c r="G105" s="1285"/>
      <c r="H105" s="1286"/>
      <c r="I105" s="1286"/>
      <c r="J105" s="696"/>
      <c r="K105" s="696"/>
      <c r="L105" s="696"/>
      <c r="M105" s="696"/>
      <c r="N105" s="696"/>
      <c r="O105" s="696"/>
      <c r="P105" s="696"/>
      <c r="Q105" s="696"/>
      <c r="R105" s="696"/>
      <c r="S105" s="696"/>
      <c r="T105" s="696"/>
      <c r="U105" s="696"/>
      <c r="V105" s="696"/>
      <c r="W105" s="696"/>
      <c r="X105" s="696"/>
      <c r="Y105" s="696"/>
      <c r="Z105" s="696"/>
      <c r="AA105" s="696"/>
      <c r="AB105" s="696"/>
      <c r="AC105" s="696"/>
      <c r="AD105" s="696"/>
      <c r="AE105" s="696"/>
      <c r="AF105" s="696"/>
      <c r="AG105" s="696"/>
      <c r="AH105" s="696"/>
      <c r="AI105" s="696"/>
      <c r="AJ105" s="696"/>
      <c r="AK105" s="696"/>
      <c r="AL105" s="696"/>
      <c r="AM105" s="696"/>
      <c r="AN105" s="696"/>
      <c r="AO105" s="696"/>
      <c r="AP105" s="696"/>
      <c r="AQ105" s="696"/>
      <c r="AR105" s="696"/>
      <c r="AS105" s="696"/>
      <c r="AT105" s="696"/>
      <c r="AU105" s="696"/>
      <c r="AV105" s="696"/>
      <c r="AW105" s="696"/>
      <c r="AX105" s="696"/>
      <c r="AY105" s="696"/>
      <c r="AZ105" s="696"/>
      <c r="BA105" s="696"/>
      <c r="BB105" s="696"/>
      <c r="BC105" s="696"/>
      <c r="BD105" s="696"/>
      <c r="BE105" s="696"/>
      <c r="BF105" s="696"/>
      <c r="BG105" s="696"/>
      <c r="BH105" s="696"/>
      <c r="BI105" s="696"/>
      <c r="BJ105" s="696"/>
      <c r="BK105" s="696"/>
      <c r="BL105" s="696"/>
      <c r="BM105" s="696"/>
      <c r="BN105" s="696"/>
      <c r="BO105" s="696"/>
      <c r="BP105" s="696"/>
      <c r="BQ105" s="696"/>
      <c r="BR105" s="696"/>
      <c r="BS105" s="696"/>
      <c r="BT105" s="696"/>
      <c r="BU105" s="696"/>
      <c r="BV105" s="696"/>
      <c r="BW105" s="696"/>
      <c r="BX105" s="696"/>
      <c r="BY105" s="696"/>
      <c r="BZ105" s="696"/>
      <c r="CA105" s="696"/>
      <c r="CB105" s="696"/>
      <c r="CC105" s="696"/>
      <c r="CD105" s="696"/>
      <c r="CE105" s="696"/>
      <c r="CF105" s="696"/>
      <c r="CG105" s="696"/>
      <c r="CH105" s="696"/>
      <c r="CI105" s="696"/>
      <c r="CJ105" s="696"/>
      <c r="CK105" s="696"/>
      <c r="CL105" s="696"/>
      <c r="CM105" s="696"/>
      <c r="CN105" s="696"/>
      <c r="CO105" s="696"/>
      <c r="CP105" s="696"/>
      <c r="CQ105" s="696"/>
      <c r="CR105" s="696"/>
      <c r="CS105" s="696"/>
      <c r="CT105" s="696"/>
      <c r="CU105" s="696"/>
      <c r="CV105" s="696"/>
      <c r="CW105" s="696"/>
      <c r="CX105" s="696"/>
      <c r="CY105" s="696"/>
      <c r="CZ105" s="696"/>
      <c r="DA105" s="696"/>
      <c r="DB105" s="696"/>
      <c r="DC105" s="696"/>
      <c r="DD105" s="696"/>
      <c r="DE105" s="696"/>
      <c r="DF105" s="696"/>
      <c r="DG105" s="696"/>
      <c r="DH105" s="696"/>
      <c r="DI105" s="696"/>
      <c r="DJ105" s="696"/>
      <c r="DK105" s="696"/>
      <c r="DL105" s="696"/>
      <c r="DM105" s="696"/>
      <c r="DN105" s="696"/>
      <c r="DO105" s="696"/>
      <c r="DP105" s="696"/>
      <c r="DQ105" s="696"/>
      <c r="DR105" s="696"/>
      <c r="DS105" s="696"/>
      <c r="DT105" s="696"/>
      <c r="DU105" s="696"/>
      <c r="DV105" s="696"/>
      <c r="DW105" s="696"/>
      <c r="DX105" s="696"/>
      <c r="DY105" s="696"/>
      <c r="DZ105" s="696"/>
      <c r="EA105" s="696"/>
      <c r="EB105" s="696"/>
      <c r="EC105" s="696"/>
      <c r="ED105" s="696"/>
      <c r="EE105" s="696"/>
      <c r="EF105" s="696"/>
      <c r="EG105" s="696"/>
      <c r="EH105" s="696"/>
      <c r="EI105" s="696"/>
      <c r="EJ105" s="696"/>
      <c r="EK105" s="696"/>
      <c r="EL105" s="696"/>
      <c r="EM105" s="696"/>
      <c r="EN105" s="696"/>
      <c r="EO105" s="696"/>
      <c r="EP105" s="696"/>
      <c r="EQ105" s="696"/>
      <c r="ER105" s="696"/>
      <c r="ES105" s="696"/>
      <c r="ET105" s="696"/>
      <c r="EU105" s="696"/>
      <c r="EV105" s="696"/>
      <c r="EW105" s="696"/>
      <c r="EX105" s="696"/>
      <c r="EY105" s="696"/>
      <c r="EZ105" s="696"/>
      <c r="FA105" s="696"/>
      <c r="FB105" s="696"/>
      <c r="FC105" s="696"/>
      <c r="FD105" s="696"/>
      <c r="FE105" s="696"/>
      <c r="FF105" s="696"/>
      <c r="FG105" s="696"/>
      <c r="FH105" s="696"/>
      <c r="FI105" s="696"/>
      <c r="FJ105" s="696"/>
      <c r="FK105" s="696"/>
      <c r="FL105" s="696"/>
      <c r="FM105" s="696"/>
      <c r="FN105" s="696"/>
      <c r="FO105" s="696"/>
      <c r="FP105" s="696"/>
      <c r="FQ105" s="696"/>
      <c r="FR105" s="696"/>
      <c r="FS105" s="696"/>
      <c r="FT105" s="696"/>
      <c r="FU105" s="696"/>
      <c r="FV105" s="696"/>
      <c r="FW105" s="696"/>
      <c r="FX105" s="696"/>
      <c r="FY105" s="696"/>
      <c r="FZ105" s="696"/>
      <c r="GA105" s="696"/>
      <c r="GB105" s="696"/>
      <c r="GC105" s="696"/>
      <c r="GD105" s="696"/>
      <c r="GE105" s="696"/>
      <c r="GF105" s="696"/>
      <c r="GG105" s="696"/>
      <c r="GH105" s="696"/>
      <c r="GI105" s="696"/>
      <c r="GJ105" s="696"/>
      <c r="GK105" s="696"/>
      <c r="GL105" s="696"/>
      <c r="GM105" s="696"/>
      <c r="GN105" s="696"/>
      <c r="GO105" s="696"/>
      <c r="GP105" s="696"/>
      <c r="GQ105" s="696"/>
      <c r="GR105" s="696"/>
      <c r="GS105" s="696"/>
      <c r="GT105" s="696"/>
      <c r="GU105" s="696"/>
      <c r="GV105" s="696"/>
      <c r="GW105" s="696"/>
      <c r="GX105" s="696"/>
      <c r="GY105" s="696"/>
      <c r="GZ105" s="696"/>
      <c r="HA105" s="696"/>
      <c r="HB105" s="696"/>
      <c r="HC105" s="696"/>
      <c r="HD105" s="696"/>
      <c r="HE105" s="696"/>
      <c r="HF105" s="696"/>
      <c r="HG105" s="696"/>
      <c r="HH105" s="696"/>
      <c r="HI105" s="696"/>
      <c r="HJ105" s="696"/>
      <c r="HK105" s="696"/>
      <c r="HL105" s="696"/>
      <c r="HM105" s="696"/>
      <c r="HN105" s="696"/>
      <c r="HO105" s="696"/>
      <c r="HP105" s="696"/>
      <c r="HQ105" s="696"/>
      <c r="HR105" s="696"/>
      <c r="HS105" s="696"/>
      <c r="HT105" s="696"/>
      <c r="HU105" s="696"/>
      <c r="HV105" s="696"/>
      <c r="HW105" s="696"/>
      <c r="HX105" s="696"/>
      <c r="HY105" s="696"/>
      <c r="HZ105" s="696"/>
      <c r="IA105" s="696"/>
      <c r="IB105" s="696"/>
      <c r="IC105" s="696"/>
      <c r="ID105" s="696"/>
      <c r="IE105" s="696"/>
      <c r="IF105" s="696"/>
      <c r="IG105" s="696"/>
      <c r="IH105" s="696"/>
      <c r="II105" s="696"/>
      <c r="IJ105" s="696"/>
      <c r="IK105" s="696"/>
      <c r="IL105" s="696"/>
      <c r="IM105" s="696"/>
    </row>
    <row r="106" spans="1:247" s="1288" customFormat="1" ht="15">
      <c r="A106" s="1269"/>
      <c r="B106" s="689"/>
      <c r="C106" s="1259"/>
      <c r="D106" s="1260"/>
      <c r="E106" s="1261"/>
      <c r="F106" s="1262"/>
      <c r="G106" s="1262"/>
      <c r="H106" s="1263"/>
      <c r="I106" s="1263"/>
      <c r="J106" s="696"/>
      <c r="K106" s="696"/>
      <c r="L106" s="696"/>
      <c r="M106" s="696"/>
      <c r="N106" s="696"/>
      <c r="O106" s="696"/>
      <c r="P106" s="696"/>
      <c r="Q106" s="696"/>
      <c r="R106" s="696"/>
      <c r="S106" s="696"/>
      <c r="T106" s="696"/>
      <c r="U106" s="696"/>
      <c r="V106" s="696"/>
      <c r="W106" s="696"/>
      <c r="X106" s="696"/>
      <c r="Y106" s="696"/>
      <c r="Z106" s="696"/>
      <c r="AA106" s="696"/>
      <c r="AB106" s="696"/>
      <c r="AC106" s="696"/>
      <c r="AD106" s="696"/>
      <c r="AE106" s="696"/>
      <c r="AF106" s="696"/>
      <c r="AG106" s="696"/>
      <c r="AH106" s="696"/>
      <c r="AI106" s="696"/>
      <c r="AJ106" s="696"/>
      <c r="AK106" s="696"/>
      <c r="AL106" s="696"/>
      <c r="AM106" s="696"/>
      <c r="AN106" s="696"/>
      <c r="AO106" s="696"/>
      <c r="AP106" s="696"/>
      <c r="AQ106" s="696"/>
      <c r="AR106" s="696"/>
      <c r="AS106" s="696"/>
      <c r="AT106" s="696"/>
      <c r="AU106" s="696"/>
      <c r="AV106" s="696"/>
      <c r="AW106" s="696"/>
      <c r="AX106" s="696"/>
      <c r="AY106" s="696"/>
      <c r="AZ106" s="696"/>
      <c r="BA106" s="696"/>
      <c r="BB106" s="696"/>
      <c r="BC106" s="696"/>
      <c r="BD106" s="696"/>
      <c r="BE106" s="696"/>
      <c r="BF106" s="696"/>
      <c r="BG106" s="696"/>
      <c r="BH106" s="696"/>
      <c r="BI106" s="696"/>
      <c r="BJ106" s="696"/>
      <c r="BK106" s="696"/>
      <c r="BL106" s="696"/>
      <c r="BM106" s="696"/>
      <c r="BN106" s="696"/>
      <c r="BO106" s="696"/>
      <c r="BP106" s="696"/>
      <c r="BQ106" s="696"/>
      <c r="BR106" s="696"/>
      <c r="BS106" s="696"/>
      <c r="BT106" s="696"/>
      <c r="BU106" s="696"/>
      <c r="BV106" s="696"/>
      <c r="BW106" s="696"/>
      <c r="BX106" s="696"/>
      <c r="BY106" s="696"/>
      <c r="BZ106" s="696"/>
      <c r="CA106" s="696"/>
      <c r="CB106" s="696"/>
      <c r="CC106" s="696"/>
      <c r="CD106" s="696"/>
      <c r="CE106" s="696"/>
      <c r="CF106" s="696"/>
      <c r="CG106" s="696"/>
      <c r="CH106" s="696"/>
      <c r="CI106" s="696"/>
      <c r="CJ106" s="696"/>
      <c r="CK106" s="696"/>
      <c r="CL106" s="696"/>
      <c r="CM106" s="696"/>
      <c r="CN106" s="696"/>
      <c r="CO106" s="696"/>
      <c r="CP106" s="696"/>
      <c r="CQ106" s="696"/>
      <c r="CR106" s="696"/>
      <c r="CS106" s="696"/>
      <c r="CT106" s="696"/>
      <c r="CU106" s="696"/>
      <c r="CV106" s="696"/>
      <c r="CW106" s="696"/>
      <c r="CX106" s="696"/>
      <c r="CY106" s="696"/>
      <c r="CZ106" s="696"/>
      <c r="DA106" s="696"/>
      <c r="DB106" s="696"/>
      <c r="DC106" s="696"/>
      <c r="DD106" s="696"/>
      <c r="DE106" s="696"/>
      <c r="DF106" s="696"/>
      <c r="DG106" s="696"/>
      <c r="DH106" s="696"/>
      <c r="DI106" s="696"/>
      <c r="DJ106" s="696"/>
      <c r="DK106" s="696"/>
      <c r="DL106" s="696"/>
      <c r="DM106" s="696"/>
      <c r="DN106" s="696"/>
      <c r="DO106" s="696"/>
      <c r="DP106" s="696"/>
      <c r="DQ106" s="696"/>
      <c r="DR106" s="696"/>
      <c r="DS106" s="696"/>
      <c r="DT106" s="696"/>
      <c r="DU106" s="696"/>
      <c r="DV106" s="696"/>
      <c r="DW106" s="696"/>
      <c r="DX106" s="696"/>
      <c r="DY106" s="696"/>
      <c r="DZ106" s="696"/>
      <c r="EA106" s="696"/>
      <c r="EB106" s="696"/>
      <c r="EC106" s="696"/>
      <c r="ED106" s="696"/>
      <c r="EE106" s="696"/>
      <c r="EF106" s="696"/>
      <c r="EG106" s="696"/>
      <c r="EH106" s="696"/>
      <c r="EI106" s="696"/>
      <c r="EJ106" s="696"/>
      <c r="EK106" s="696"/>
      <c r="EL106" s="696"/>
      <c r="EM106" s="696"/>
      <c r="EN106" s="696"/>
      <c r="EO106" s="696"/>
      <c r="EP106" s="696"/>
      <c r="EQ106" s="696"/>
      <c r="ER106" s="696"/>
      <c r="ES106" s="696"/>
      <c r="ET106" s="696"/>
      <c r="EU106" s="696"/>
      <c r="EV106" s="696"/>
      <c r="EW106" s="696"/>
      <c r="EX106" s="696"/>
      <c r="EY106" s="696"/>
      <c r="EZ106" s="696"/>
      <c r="FA106" s="696"/>
      <c r="FB106" s="696"/>
      <c r="FC106" s="696"/>
      <c r="FD106" s="696"/>
      <c r="FE106" s="696"/>
      <c r="FF106" s="696"/>
      <c r="FG106" s="696"/>
      <c r="FH106" s="696"/>
      <c r="FI106" s="696"/>
      <c r="FJ106" s="696"/>
      <c r="FK106" s="696"/>
      <c r="FL106" s="696"/>
      <c r="FM106" s="696"/>
      <c r="FN106" s="696"/>
      <c r="FO106" s="696"/>
      <c r="FP106" s="696"/>
      <c r="FQ106" s="696"/>
      <c r="FR106" s="696"/>
      <c r="FS106" s="696"/>
      <c r="FT106" s="696"/>
      <c r="FU106" s="696"/>
      <c r="FV106" s="696"/>
      <c r="FW106" s="696"/>
      <c r="FX106" s="696"/>
      <c r="FY106" s="696"/>
      <c r="FZ106" s="696"/>
      <c r="GA106" s="696"/>
      <c r="GB106" s="696"/>
      <c r="GC106" s="696"/>
      <c r="GD106" s="696"/>
      <c r="GE106" s="696"/>
      <c r="GF106" s="696"/>
      <c r="GG106" s="696"/>
      <c r="GH106" s="696"/>
      <c r="GI106" s="696"/>
      <c r="GJ106" s="696"/>
      <c r="GK106" s="696"/>
      <c r="GL106" s="696"/>
      <c r="GM106" s="696"/>
      <c r="GN106" s="696"/>
      <c r="GO106" s="696"/>
      <c r="GP106" s="696"/>
      <c r="GQ106" s="696"/>
      <c r="GR106" s="696"/>
      <c r="GS106" s="696"/>
      <c r="GT106" s="696"/>
      <c r="GU106" s="696"/>
      <c r="GV106" s="696"/>
      <c r="GW106" s="696"/>
      <c r="GX106" s="696"/>
      <c r="GY106" s="696"/>
      <c r="GZ106" s="696"/>
      <c r="HA106" s="696"/>
      <c r="HB106" s="696"/>
      <c r="HC106" s="696"/>
      <c r="HD106" s="696"/>
      <c r="HE106" s="696"/>
      <c r="HF106" s="696"/>
      <c r="HG106" s="696"/>
      <c r="HH106" s="696"/>
      <c r="HI106" s="696"/>
      <c r="HJ106" s="696"/>
      <c r="HK106" s="696"/>
      <c r="HL106" s="696"/>
      <c r="HM106" s="696"/>
      <c r="HN106" s="696"/>
      <c r="HO106" s="696"/>
      <c r="HP106" s="696"/>
      <c r="HQ106" s="696"/>
      <c r="HR106" s="696"/>
      <c r="HS106" s="696"/>
      <c r="HT106" s="696"/>
      <c r="HU106" s="696"/>
      <c r="HV106" s="696"/>
      <c r="HW106" s="696"/>
      <c r="HX106" s="696"/>
      <c r="HY106" s="696"/>
      <c r="HZ106" s="696"/>
      <c r="IA106" s="696"/>
      <c r="IB106" s="696"/>
      <c r="IC106" s="696"/>
      <c r="ID106" s="696"/>
      <c r="IE106" s="696"/>
      <c r="IF106" s="696"/>
      <c r="IG106" s="696"/>
      <c r="IH106" s="696"/>
      <c r="II106" s="696"/>
      <c r="IJ106" s="696"/>
      <c r="IK106" s="696"/>
      <c r="IL106" s="696"/>
      <c r="IM106" s="696"/>
    </row>
  </sheetData>
  <sheetProtection/>
  <mergeCells count="14">
    <mergeCell ref="I6:I7"/>
    <mergeCell ref="B81:D81"/>
    <mergeCell ref="B101:D101"/>
    <mergeCell ref="B102:D102"/>
    <mergeCell ref="B1:D1"/>
    <mergeCell ref="B2:I2"/>
    <mergeCell ref="B3:I3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1968503937007874" right="0.1968503937007874" top="0.5905511811023623" bottom="0.3937007874015748" header="0.5118110236220472" footer="0.31496062992125984"/>
  <pageSetup fitToHeight="0" fitToWidth="1" horizontalDpi="600" verticalDpi="600" orientation="portrait" paperSize="9" scale="73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52"/>
  <sheetViews>
    <sheetView view="pageBreakPreview" zoomScale="75" zoomScaleNormal="75" zoomScaleSheetLayoutView="75" zoomScalePageLayoutView="0" workbookViewId="0" topLeftCell="A1">
      <selection activeCell="B1" sqref="B1:D1"/>
    </sheetView>
  </sheetViews>
  <sheetFormatPr defaultColWidth="9.00390625" defaultRowHeight="12.75"/>
  <cols>
    <col min="1" max="1" width="3.75390625" style="351" customWidth="1"/>
    <col min="2" max="2" width="5.75390625" style="3" customWidth="1"/>
    <col min="3" max="3" width="5.75390625" style="7" customWidth="1"/>
    <col min="4" max="4" width="87.75390625" style="16" customWidth="1"/>
    <col min="5" max="7" width="11.75390625" style="4" customWidth="1"/>
    <col min="8" max="8" width="6.75390625" style="3" customWidth="1"/>
    <col min="9" max="9" width="12.75390625" style="13" customWidth="1"/>
    <col min="10" max="14" width="12.75390625" style="226" customWidth="1"/>
    <col min="15" max="15" width="9.25390625" style="4" bestFit="1" customWidth="1"/>
    <col min="16" max="16384" width="9.125" style="4" customWidth="1"/>
  </cols>
  <sheetData>
    <row r="1" spans="1:14" ht="16.5">
      <c r="A1" s="470"/>
      <c r="B1" s="1526" t="s">
        <v>821</v>
      </c>
      <c r="C1" s="1526"/>
      <c r="D1" s="1526"/>
      <c r="G1" s="1527"/>
      <c r="H1" s="1527"/>
      <c r="I1" s="1527"/>
      <c r="J1" s="1383"/>
      <c r="K1" s="1383"/>
      <c r="L1" s="1383"/>
      <c r="M1" s="1383"/>
      <c r="N1" s="1383"/>
    </row>
    <row r="2" spans="1:14" ht="24.75" customHeight="1">
      <c r="A2" s="470"/>
      <c r="B2" s="1528" t="s">
        <v>14</v>
      </c>
      <c r="C2" s="1528"/>
      <c r="D2" s="1528"/>
      <c r="E2" s="1528"/>
      <c r="F2" s="1528"/>
      <c r="G2" s="1528"/>
      <c r="H2" s="1528"/>
      <c r="I2" s="1528"/>
      <c r="J2" s="1528"/>
      <c r="K2" s="1528"/>
      <c r="L2" s="1528"/>
      <c r="M2" s="1528"/>
      <c r="N2" s="1528"/>
    </row>
    <row r="3" spans="1:14" s="6" customFormat="1" ht="24.75" customHeight="1">
      <c r="A3" s="470"/>
      <c r="B3" s="1529" t="s">
        <v>574</v>
      </c>
      <c r="C3" s="1529"/>
      <c r="D3" s="1529"/>
      <c r="E3" s="1529"/>
      <c r="F3" s="1529"/>
      <c r="G3" s="1529"/>
      <c r="H3" s="1529"/>
      <c r="I3" s="1529"/>
      <c r="J3" s="1529"/>
      <c r="K3" s="1529"/>
      <c r="L3" s="1529"/>
      <c r="M3" s="1529"/>
      <c r="N3" s="1529"/>
    </row>
    <row r="4" spans="1:14" s="224" customFormat="1" ht="15">
      <c r="A4" s="469"/>
      <c r="B4" s="471"/>
      <c r="C4" s="472"/>
      <c r="D4" s="473"/>
      <c r="G4" s="474"/>
      <c r="H4" s="475"/>
      <c r="I4" s="476"/>
      <c r="J4" s="464"/>
      <c r="K4" s="464"/>
      <c r="L4" s="464"/>
      <c r="M4" s="1530" t="s">
        <v>0</v>
      </c>
      <c r="N4" s="1530"/>
    </row>
    <row r="5" spans="1:14" s="92" customFormat="1" ht="15" thickBot="1">
      <c r="A5" s="477"/>
      <c r="B5" s="92" t="s">
        <v>1</v>
      </c>
      <c r="C5" s="478" t="s">
        <v>3</v>
      </c>
      <c r="D5" s="479" t="s">
        <v>2</v>
      </c>
      <c r="E5" s="92" t="s">
        <v>4</v>
      </c>
      <c r="F5" s="92" t="s">
        <v>5</v>
      </c>
      <c r="G5" s="92" t="s">
        <v>15</v>
      </c>
      <c r="H5" s="480" t="s">
        <v>16</v>
      </c>
      <c r="I5" s="478" t="s">
        <v>17</v>
      </c>
      <c r="J5" s="478" t="s">
        <v>34</v>
      </c>
      <c r="K5" s="478" t="s">
        <v>30</v>
      </c>
      <c r="L5" s="478" t="s">
        <v>23</v>
      </c>
      <c r="M5" s="478" t="s">
        <v>35</v>
      </c>
      <c r="N5" s="478" t="s">
        <v>36</v>
      </c>
    </row>
    <row r="6" spans="1:14" s="1385" customFormat="1" ht="34.5" customHeight="1">
      <c r="A6" s="351"/>
      <c r="B6" s="1503" t="s">
        <v>18</v>
      </c>
      <c r="C6" s="1505" t="s">
        <v>19</v>
      </c>
      <c r="D6" s="1509" t="s">
        <v>6</v>
      </c>
      <c r="E6" s="1501" t="s">
        <v>508</v>
      </c>
      <c r="F6" s="1501" t="s">
        <v>554</v>
      </c>
      <c r="G6" s="1507" t="s">
        <v>555</v>
      </c>
      <c r="H6" s="1514" t="s">
        <v>20</v>
      </c>
      <c r="I6" s="1497" t="s">
        <v>569</v>
      </c>
      <c r="J6" s="1499" t="s">
        <v>37</v>
      </c>
      <c r="K6" s="1499"/>
      <c r="L6" s="1499"/>
      <c r="M6" s="1499"/>
      <c r="N6" s="1500"/>
    </row>
    <row r="7" spans="1:14" s="1385" customFormat="1" ht="45.75" thickBot="1">
      <c r="A7" s="351"/>
      <c r="B7" s="1504"/>
      <c r="C7" s="1506"/>
      <c r="D7" s="1510"/>
      <c r="E7" s="1502"/>
      <c r="F7" s="1502"/>
      <c r="G7" s="1508"/>
      <c r="H7" s="1515"/>
      <c r="I7" s="1498"/>
      <c r="J7" s="895" t="s">
        <v>38</v>
      </c>
      <c r="K7" s="895" t="s">
        <v>39</v>
      </c>
      <c r="L7" s="895" t="s">
        <v>40</v>
      </c>
      <c r="M7" s="895" t="s">
        <v>205</v>
      </c>
      <c r="N7" s="468" t="s">
        <v>41</v>
      </c>
    </row>
    <row r="8" spans="1:14" s="1385" customFormat="1" ht="23.25" customHeight="1">
      <c r="A8" s="351">
        <v>1</v>
      </c>
      <c r="B8" s="481">
        <v>18</v>
      </c>
      <c r="C8" s="482" t="s">
        <v>422</v>
      </c>
      <c r="D8" s="483"/>
      <c r="E8" s="484"/>
      <c r="F8" s="484"/>
      <c r="G8" s="489"/>
      <c r="H8" s="488"/>
      <c r="I8" s="485"/>
      <c r="J8" s="486"/>
      <c r="K8" s="486"/>
      <c r="L8" s="486"/>
      <c r="M8" s="486"/>
      <c r="N8" s="487"/>
    </row>
    <row r="9" spans="1:14" s="3" customFormat="1" ht="22.5" customHeight="1">
      <c r="A9" s="351">
        <v>2</v>
      </c>
      <c r="B9" s="150"/>
      <c r="C9" s="467">
        <v>1</v>
      </c>
      <c r="D9" s="346" t="s">
        <v>42</v>
      </c>
      <c r="E9" s="152">
        <v>239</v>
      </c>
      <c r="F9" s="152">
        <v>500</v>
      </c>
      <c r="G9" s="153">
        <v>365</v>
      </c>
      <c r="H9" s="355" t="s">
        <v>23</v>
      </c>
      <c r="I9" s="340"/>
      <c r="J9" s="151"/>
      <c r="K9" s="151"/>
      <c r="L9" s="151"/>
      <c r="M9" s="151"/>
      <c r="N9" s="155"/>
    </row>
    <row r="10" spans="1:14" s="8" customFormat="1" ht="18" customHeight="1">
      <c r="A10" s="351">
        <v>3</v>
      </c>
      <c r="B10" s="131"/>
      <c r="C10" s="132"/>
      <c r="D10" s="631" t="s">
        <v>283</v>
      </c>
      <c r="E10" s="129"/>
      <c r="F10" s="129"/>
      <c r="G10" s="130"/>
      <c r="H10" s="353"/>
      <c r="I10" s="624">
        <f>SUM(J10:N10)</f>
        <v>500</v>
      </c>
      <c r="J10" s="779"/>
      <c r="K10" s="779"/>
      <c r="L10" s="625">
        <v>500</v>
      </c>
      <c r="M10" s="779"/>
      <c r="N10" s="780"/>
    </row>
    <row r="11" spans="1:16" s="3" customFormat="1" ht="22.5" customHeight="1">
      <c r="A11" s="351">
        <v>4</v>
      </c>
      <c r="B11" s="126"/>
      <c r="C11" s="127">
        <v>2</v>
      </c>
      <c r="D11" s="347" t="s">
        <v>43</v>
      </c>
      <c r="E11" s="129">
        <v>1719</v>
      </c>
      <c r="F11" s="129">
        <v>1700</v>
      </c>
      <c r="G11" s="130">
        <v>4193</v>
      </c>
      <c r="H11" s="353" t="s">
        <v>24</v>
      </c>
      <c r="I11" s="781"/>
      <c r="J11" s="782"/>
      <c r="K11" s="782"/>
      <c r="L11" s="782"/>
      <c r="M11" s="782"/>
      <c r="N11" s="783"/>
      <c r="P11" s="8"/>
    </row>
    <row r="12" spans="1:14" s="8" customFormat="1" ht="18" customHeight="1">
      <c r="A12" s="351">
        <v>5</v>
      </c>
      <c r="B12" s="131"/>
      <c r="C12" s="132"/>
      <c r="D12" s="631" t="s">
        <v>283</v>
      </c>
      <c r="E12" s="129"/>
      <c r="F12" s="129"/>
      <c r="G12" s="130"/>
      <c r="H12" s="353"/>
      <c r="I12" s="624">
        <f>SUM(J12:N12)</f>
        <v>1000</v>
      </c>
      <c r="J12" s="779"/>
      <c r="K12" s="779"/>
      <c r="L12" s="625">
        <v>1000</v>
      </c>
      <c r="M12" s="779"/>
      <c r="N12" s="780"/>
    </row>
    <row r="13" spans="1:16" s="3" customFormat="1" ht="22.5" customHeight="1">
      <c r="A13" s="351">
        <v>6</v>
      </c>
      <c r="B13" s="126"/>
      <c r="C13" s="127">
        <v>3</v>
      </c>
      <c r="D13" s="347" t="s">
        <v>44</v>
      </c>
      <c r="E13" s="129">
        <v>1449</v>
      </c>
      <c r="F13" s="129"/>
      <c r="G13" s="130"/>
      <c r="H13" s="353" t="s">
        <v>24</v>
      </c>
      <c r="I13" s="784"/>
      <c r="J13" s="785"/>
      <c r="K13" s="785"/>
      <c r="L13" s="785"/>
      <c r="M13" s="785"/>
      <c r="N13" s="786"/>
      <c r="P13" s="8"/>
    </row>
    <row r="14" spans="1:16" s="3" customFormat="1" ht="18" customHeight="1">
      <c r="A14" s="351">
        <v>7</v>
      </c>
      <c r="B14" s="126"/>
      <c r="C14" s="127"/>
      <c r="D14" s="631" t="s">
        <v>283</v>
      </c>
      <c r="E14" s="129"/>
      <c r="F14" s="129"/>
      <c r="G14" s="130"/>
      <c r="H14" s="353"/>
      <c r="I14" s="624">
        <f>SUM(J14:N14)</f>
        <v>1423</v>
      </c>
      <c r="J14" s="785"/>
      <c r="K14" s="785"/>
      <c r="L14" s="628">
        <v>1423</v>
      </c>
      <c r="M14" s="785"/>
      <c r="N14" s="786"/>
      <c r="P14" s="8"/>
    </row>
    <row r="15" spans="1:16" s="3" customFormat="1" ht="22.5" customHeight="1">
      <c r="A15" s="351">
        <v>8</v>
      </c>
      <c r="B15" s="126"/>
      <c r="C15" s="127">
        <v>4</v>
      </c>
      <c r="D15" s="347" t="s">
        <v>45</v>
      </c>
      <c r="E15" s="129">
        <v>3555</v>
      </c>
      <c r="F15" s="129">
        <v>7500</v>
      </c>
      <c r="G15" s="130">
        <v>11023</v>
      </c>
      <c r="H15" s="353" t="s">
        <v>24</v>
      </c>
      <c r="I15" s="624"/>
      <c r="J15" s="779"/>
      <c r="K15" s="779"/>
      <c r="L15" s="779"/>
      <c r="M15" s="779"/>
      <c r="N15" s="780"/>
      <c r="P15" s="8"/>
    </row>
    <row r="16" spans="1:14" s="8" customFormat="1" ht="18" customHeight="1">
      <c r="A16" s="351">
        <v>9</v>
      </c>
      <c r="B16" s="131"/>
      <c r="C16" s="132"/>
      <c r="D16" s="631" t="s">
        <v>283</v>
      </c>
      <c r="E16" s="587"/>
      <c r="F16" s="587"/>
      <c r="G16" s="587"/>
      <c r="H16" s="353"/>
      <c r="I16" s="624">
        <f>SUM(J16:N16)</f>
        <v>4500</v>
      </c>
      <c r="J16" s="779"/>
      <c r="K16" s="779"/>
      <c r="L16" s="625">
        <v>4500</v>
      </c>
      <c r="M16" s="779"/>
      <c r="N16" s="780"/>
    </row>
    <row r="17" spans="1:16" s="3" customFormat="1" ht="22.5" customHeight="1">
      <c r="A17" s="351">
        <v>10</v>
      </c>
      <c r="B17" s="126"/>
      <c r="C17" s="127">
        <v>5</v>
      </c>
      <c r="D17" s="347" t="s">
        <v>12</v>
      </c>
      <c r="E17" s="129">
        <v>7724</v>
      </c>
      <c r="F17" s="129">
        <v>1000</v>
      </c>
      <c r="G17" s="130">
        <v>8252</v>
      </c>
      <c r="H17" s="353" t="s">
        <v>24</v>
      </c>
      <c r="I17" s="784"/>
      <c r="J17" s="785"/>
      <c r="K17" s="785"/>
      <c r="L17" s="785"/>
      <c r="M17" s="785"/>
      <c r="N17" s="786"/>
      <c r="O17" s="8"/>
      <c r="P17" s="8"/>
    </row>
    <row r="18" spans="1:14" s="635" customFormat="1" ht="18" customHeight="1">
      <c r="A18" s="351">
        <v>11</v>
      </c>
      <c r="B18" s="629"/>
      <c r="C18" s="630"/>
      <c r="D18" s="631" t="s">
        <v>283</v>
      </c>
      <c r="E18" s="632"/>
      <c r="F18" s="632"/>
      <c r="G18" s="633"/>
      <c r="H18" s="634"/>
      <c r="I18" s="624">
        <f>SUM(J18:N18)</f>
        <v>11100</v>
      </c>
      <c r="J18" s="625">
        <v>3414</v>
      </c>
      <c r="K18" s="625">
        <v>517</v>
      </c>
      <c r="L18" s="625">
        <v>6819</v>
      </c>
      <c r="M18" s="625"/>
      <c r="N18" s="626">
        <v>350</v>
      </c>
    </row>
    <row r="19" spans="1:14" s="635" customFormat="1" ht="22.5" customHeight="1">
      <c r="A19" s="351">
        <v>12</v>
      </c>
      <c r="B19" s="629"/>
      <c r="C19" s="127">
        <v>6</v>
      </c>
      <c r="D19" s="347" t="s">
        <v>694</v>
      </c>
      <c r="E19" s="129">
        <f>SUM(E20:E23)</f>
        <v>0</v>
      </c>
      <c r="F19" s="129">
        <f>SUM(F20:F23)</f>
        <v>7500</v>
      </c>
      <c r="G19" s="129">
        <f>SUM(G20:G23)</f>
        <v>7500</v>
      </c>
      <c r="H19" s="634"/>
      <c r="I19" s="624"/>
      <c r="J19" s="625"/>
      <c r="K19" s="625"/>
      <c r="L19" s="625"/>
      <c r="M19" s="625"/>
      <c r="N19" s="626"/>
    </row>
    <row r="20" spans="1:14" s="635" customFormat="1" ht="18" customHeight="1">
      <c r="A20" s="351">
        <v>13</v>
      </c>
      <c r="B20" s="629"/>
      <c r="C20" s="630"/>
      <c r="D20" s="281" t="s">
        <v>695</v>
      </c>
      <c r="E20" s="632"/>
      <c r="F20" s="137">
        <v>1150</v>
      </c>
      <c r="G20" s="138">
        <v>1150</v>
      </c>
      <c r="H20" s="634"/>
      <c r="I20" s="624"/>
      <c r="J20" s="625"/>
      <c r="K20" s="625"/>
      <c r="L20" s="625"/>
      <c r="M20" s="625"/>
      <c r="N20" s="626"/>
    </row>
    <row r="21" spans="1:14" s="635" customFormat="1" ht="18" customHeight="1">
      <c r="A21" s="351">
        <v>14</v>
      </c>
      <c r="B21" s="629"/>
      <c r="C21" s="630"/>
      <c r="D21" s="281" t="s">
        <v>696</v>
      </c>
      <c r="E21" s="632"/>
      <c r="F21" s="137">
        <v>4000</v>
      </c>
      <c r="G21" s="138">
        <v>4000</v>
      </c>
      <c r="H21" s="634"/>
      <c r="I21" s="624"/>
      <c r="J21" s="625"/>
      <c r="K21" s="625"/>
      <c r="L21" s="625"/>
      <c r="M21" s="625"/>
      <c r="N21" s="626"/>
    </row>
    <row r="22" spans="1:14" s="635" customFormat="1" ht="18" customHeight="1">
      <c r="A22" s="351">
        <v>15</v>
      </c>
      <c r="B22" s="629"/>
      <c r="C22" s="630"/>
      <c r="D22" s="281" t="s">
        <v>698</v>
      </c>
      <c r="E22" s="632"/>
      <c r="F22" s="137">
        <v>2000</v>
      </c>
      <c r="G22" s="138">
        <v>2000</v>
      </c>
      <c r="H22" s="634"/>
      <c r="I22" s="624"/>
      <c r="J22" s="625"/>
      <c r="K22" s="625"/>
      <c r="L22" s="625"/>
      <c r="M22" s="625"/>
      <c r="N22" s="626"/>
    </row>
    <row r="23" spans="1:14" s="635" customFormat="1" ht="18" customHeight="1">
      <c r="A23" s="351">
        <v>16</v>
      </c>
      <c r="B23" s="629"/>
      <c r="C23" s="630"/>
      <c r="D23" s="281" t="s">
        <v>697</v>
      </c>
      <c r="E23" s="632"/>
      <c r="F23" s="137">
        <v>350</v>
      </c>
      <c r="G23" s="138">
        <v>350</v>
      </c>
      <c r="H23" s="634"/>
      <c r="I23" s="624"/>
      <c r="J23" s="625"/>
      <c r="K23" s="625"/>
      <c r="L23" s="625"/>
      <c r="M23" s="625"/>
      <c r="N23" s="626"/>
    </row>
    <row r="24" spans="1:16" s="3" customFormat="1" ht="22.5" customHeight="1">
      <c r="A24" s="351">
        <v>17</v>
      </c>
      <c r="B24" s="126"/>
      <c r="C24" s="127">
        <v>7</v>
      </c>
      <c r="D24" s="347" t="s">
        <v>10</v>
      </c>
      <c r="E24" s="129">
        <f>SUM(E26,E28,E30,E32,E40,E34)</f>
        <v>0</v>
      </c>
      <c r="F24" s="129">
        <f>SUM(F26,F28,F30,F32,F40,F34)</f>
        <v>36000</v>
      </c>
      <c r="G24" s="130">
        <f>SUM(G26,G28,G30,G32,G40,G34)</f>
        <v>28500</v>
      </c>
      <c r="H24" s="353" t="s">
        <v>24</v>
      </c>
      <c r="I24" s="784"/>
      <c r="J24" s="785"/>
      <c r="K24" s="785"/>
      <c r="L24" s="785"/>
      <c r="M24" s="785"/>
      <c r="N24" s="786"/>
      <c r="O24" s="8"/>
      <c r="P24" s="8"/>
    </row>
    <row r="25" spans="1:14" s="8" customFormat="1" ht="18" customHeight="1">
      <c r="A25" s="351">
        <v>18</v>
      </c>
      <c r="B25" s="131"/>
      <c r="C25" s="132"/>
      <c r="D25" s="631" t="s">
        <v>283</v>
      </c>
      <c r="E25" s="129"/>
      <c r="F25" s="129"/>
      <c r="G25" s="130"/>
      <c r="H25" s="353"/>
      <c r="I25" s="624">
        <f>SUM(J25:N25)</f>
        <v>58500</v>
      </c>
      <c r="J25" s="625">
        <f>SUM(J27,J29,J31,J33,J35,J37,K39)</f>
        <v>0</v>
      </c>
      <c r="K25" s="625">
        <f>SUM(K27,K29,K31,K33,K35,K37,L39)</f>
        <v>10000</v>
      </c>
      <c r="L25" s="625">
        <f>SUM(L27,L29,L31,L33,L35,L37,M39)</f>
        <v>0</v>
      </c>
      <c r="M25" s="625">
        <f>SUM(M27,M29,M31,M33,M35,M37,N39)</f>
        <v>0</v>
      </c>
      <c r="N25" s="626">
        <f>SUM(N27,N29,N31,N33,N35,N37,O39)</f>
        <v>48500</v>
      </c>
    </row>
    <row r="26" spans="1:16" s="9" customFormat="1" ht="18" customHeight="1">
      <c r="A26" s="351">
        <v>19</v>
      </c>
      <c r="B26" s="136"/>
      <c r="C26" s="330"/>
      <c r="D26" s="281" t="s">
        <v>46</v>
      </c>
      <c r="E26" s="137">
        <v>0</v>
      </c>
      <c r="F26" s="137">
        <v>15000</v>
      </c>
      <c r="G26" s="138">
        <v>15000</v>
      </c>
      <c r="H26" s="354"/>
      <c r="I26" s="627"/>
      <c r="J26" s="787"/>
      <c r="K26" s="787"/>
      <c r="L26" s="787"/>
      <c r="M26" s="787"/>
      <c r="N26" s="788"/>
      <c r="P26" s="8"/>
    </row>
    <row r="27" spans="1:16" s="9" customFormat="1" ht="18" customHeight="1">
      <c r="A27" s="351">
        <v>20</v>
      </c>
      <c r="B27" s="136"/>
      <c r="C27" s="132"/>
      <c r="D27" s="809" t="s">
        <v>283</v>
      </c>
      <c r="E27" s="137"/>
      <c r="F27" s="137"/>
      <c r="G27" s="138"/>
      <c r="H27" s="354"/>
      <c r="I27" s="627">
        <f>SUM(J27:N27)</f>
        <v>15000</v>
      </c>
      <c r="J27" s="787"/>
      <c r="K27" s="787"/>
      <c r="L27" s="787"/>
      <c r="M27" s="787"/>
      <c r="N27" s="788">
        <v>15000</v>
      </c>
      <c r="P27" s="8"/>
    </row>
    <row r="28" spans="1:16" s="9" customFormat="1" ht="18" customHeight="1">
      <c r="A28" s="351">
        <v>21</v>
      </c>
      <c r="B28" s="136"/>
      <c r="C28" s="330"/>
      <c r="D28" s="281" t="s">
        <v>47</v>
      </c>
      <c r="E28" s="137">
        <v>0</v>
      </c>
      <c r="F28" s="137">
        <v>7500</v>
      </c>
      <c r="G28" s="138">
        <v>0</v>
      </c>
      <c r="H28" s="354"/>
      <c r="I28" s="789"/>
      <c r="J28" s="790"/>
      <c r="K28" s="790"/>
      <c r="L28" s="790"/>
      <c r="M28" s="790"/>
      <c r="N28" s="791"/>
      <c r="P28" s="8"/>
    </row>
    <row r="29" spans="1:16" s="9" customFormat="1" ht="18" customHeight="1">
      <c r="A29" s="351">
        <v>22</v>
      </c>
      <c r="B29" s="136"/>
      <c r="C29" s="132"/>
      <c r="D29" s="809" t="s">
        <v>283</v>
      </c>
      <c r="E29" s="137"/>
      <c r="F29" s="137"/>
      <c r="G29" s="138"/>
      <c r="H29" s="354"/>
      <c r="I29" s="627">
        <f>SUM(J29:N29)</f>
        <v>0</v>
      </c>
      <c r="J29" s="787"/>
      <c r="K29" s="787"/>
      <c r="L29" s="787"/>
      <c r="M29" s="787"/>
      <c r="N29" s="788"/>
      <c r="P29" s="8"/>
    </row>
    <row r="30" spans="1:16" s="9" customFormat="1" ht="18" customHeight="1">
      <c r="A30" s="351">
        <v>23</v>
      </c>
      <c r="B30" s="136"/>
      <c r="C30" s="330"/>
      <c r="D30" s="281" t="s">
        <v>48</v>
      </c>
      <c r="E30" s="137">
        <v>0</v>
      </c>
      <c r="F30" s="137">
        <v>1000</v>
      </c>
      <c r="G30" s="138">
        <v>1000</v>
      </c>
      <c r="H30" s="354"/>
      <c r="I30" s="789"/>
      <c r="J30" s="790"/>
      <c r="K30" s="790"/>
      <c r="L30" s="790"/>
      <c r="M30" s="790"/>
      <c r="N30" s="791"/>
      <c r="P30" s="8"/>
    </row>
    <row r="31" spans="1:16" s="9" customFormat="1" ht="18" customHeight="1">
      <c r="A31" s="351">
        <v>24</v>
      </c>
      <c r="B31" s="136"/>
      <c r="C31" s="132"/>
      <c r="D31" s="809" t="s">
        <v>283</v>
      </c>
      <c r="E31" s="137"/>
      <c r="F31" s="137"/>
      <c r="G31" s="138"/>
      <c r="H31" s="354"/>
      <c r="I31" s="627">
        <f>SUM(J31:N31)</f>
        <v>1000</v>
      </c>
      <c r="J31" s="787"/>
      <c r="K31" s="787"/>
      <c r="L31" s="787"/>
      <c r="M31" s="787"/>
      <c r="N31" s="788">
        <v>1000</v>
      </c>
      <c r="P31" s="8"/>
    </row>
    <row r="32" spans="1:16" s="9" customFormat="1" ht="18" customHeight="1">
      <c r="A32" s="351">
        <v>25</v>
      </c>
      <c r="B32" s="136"/>
      <c r="C32" s="330"/>
      <c r="D32" s="281" t="s">
        <v>49</v>
      </c>
      <c r="E32" s="137">
        <v>0</v>
      </c>
      <c r="F32" s="137">
        <v>7500</v>
      </c>
      <c r="G32" s="138">
        <v>7500</v>
      </c>
      <c r="H32" s="354"/>
      <c r="I32" s="789"/>
      <c r="J32" s="790"/>
      <c r="K32" s="790"/>
      <c r="L32" s="790"/>
      <c r="M32" s="790"/>
      <c r="N32" s="791"/>
      <c r="P32" s="8"/>
    </row>
    <row r="33" spans="1:16" s="9" customFormat="1" ht="18" customHeight="1">
      <c r="A33" s="351">
        <v>26</v>
      </c>
      <c r="B33" s="136"/>
      <c r="C33" s="132"/>
      <c r="D33" s="809" t="s">
        <v>283</v>
      </c>
      <c r="E33" s="137"/>
      <c r="F33" s="137"/>
      <c r="G33" s="138"/>
      <c r="H33" s="354"/>
      <c r="I33" s="627">
        <f>SUM(J33:N33)</f>
        <v>7500</v>
      </c>
      <c r="J33" s="787"/>
      <c r="K33" s="787"/>
      <c r="L33" s="787"/>
      <c r="M33" s="787"/>
      <c r="N33" s="788">
        <v>7500</v>
      </c>
      <c r="P33" s="8"/>
    </row>
    <row r="34" spans="1:14" s="9" customFormat="1" ht="18" customHeight="1">
      <c r="A34" s="351">
        <v>27</v>
      </c>
      <c r="B34" s="136"/>
      <c r="C34" s="132"/>
      <c r="D34" s="281" t="s">
        <v>50</v>
      </c>
      <c r="E34" s="137">
        <v>0</v>
      </c>
      <c r="F34" s="137">
        <v>5000</v>
      </c>
      <c r="G34" s="138">
        <v>5000</v>
      </c>
      <c r="H34" s="354"/>
      <c r="I34" s="789"/>
      <c r="J34" s="790"/>
      <c r="K34" s="790"/>
      <c r="L34" s="790"/>
      <c r="M34" s="790"/>
      <c r="N34" s="791"/>
    </row>
    <row r="35" spans="1:14" s="9" customFormat="1" ht="18" customHeight="1">
      <c r="A35" s="351">
        <v>28</v>
      </c>
      <c r="B35" s="136"/>
      <c r="C35" s="132"/>
      <c r="D35" s="809" t="s">
        <v>283</v>
      </c>
      <c r="E35" s="137"/>
      <c r="F35" s="137"/>
      <c r="G35" s="138"/>
      <c r="H35" s="354"/>
      <c r="I35" s="627">
        <f>SUM(J35:N35)</f>
        <v>5000</v>
      </c>
      <c r="J35" s="787"/>
      <c r="K35" s="787"/>
      <c r="L35" s="787"/>
      <c r="M35" s="787"/>
      <c r="N35" s="788">
        <v>5000</v>
      </c>
    </row>
    <row r="36" spans="1:14" s="9" customFormat="1" ht="18" customHeight="1">
      <c r="A36" s="351">
        <v>29</v>
      </c>
      <c r="B36" s="136"/>
      <c r="C36" s="132"/>
      <c r="D36" s="281" t="s">
        <v>675</v>
      </c>
      <c r="E36" s="137"/>
      <c r="F36" s="137"/>
      <c r="G36" s="138"/>
      <c r="H36" s="354"/>
      <c r="I36" s="627"/>
      <c r="J36" s="787"/>
      <c r="K36" s="787"/>
      <c r="L36" s="787"/>
      <c r="M36" s="787"/>
      <c r="N36" s="788"/>
    </row>
    <row r="37" spans="1:14" s="9" customFormat="1" ht="18" customHeight="1">
      <c r="A37" s="351">
        <v>30</v>
      </c>
      <c r="B37" s="136"/>
      <c r="C37" s="132"/>
      <c r="D37" s="809" t="s">
        <v>283</v>
      </c>
      <c r="E37" s="137"/>
      <c r="F37" s="137"/>
      <c r="G37" s="138"/>
      <c r="H37" s="354"/>
      <c r="I37" s="627">
        <f>SUM(J37:N37)</f>
        <v>20000</v>
      </c>
      <c r="J37" s="787"/>
      <c r="K37" s="787"/>
      <c r="L37" s="787"/>
      <c r="M37" s="787"/>
      <c r="N37" s="788">
        <v>20000</v>
      </c>
    </row>
    <row r="38" spans="1:14" s="9" customFormat="1" ht="18" customHeight="1">
      <c r="A38" s="351">
        <v>31</v>
      </c>
      <c r="B38" s="136"/>
      <c r="C38" s="132"/>
      <c r="D38" s="281" t="s">
        <v>676</v>
      </c>
      <c r="E38" s="137"/>
      <c r="F38" s="137"/>
      <c r="G38" s="138"/>
      <c r="H38" s="354"/>
      <c r="I38" s="627"/>
      <c r="J38" s="787"/>
      <c r="K38" s="787"/>
      <c r="L38" s="787"/>
      <c r="M38" s="787"/>
      <c r="N38" s="788"/>
    </row>
    <row r="39" spans="1:14" s="9" customFormat="1" ht="18" customHeight="1">
      <c r="A39" s="351">
        <v>32</v>
      </c>
      <c r="B39" s="136"/>
      <c r="C39" s="132"/>
      <c r="D39" s="809" t="s">
        <v>283</v>
      </c>
      <c r="E39" s="137"/>
      <c r="F39" s="137"/>
      <c r="G39" s="138"/>
      <c r="H39" s="354"/>
      <c r="I39" s="627">
        <f>SUM(J39:N39)</f>
        <v>10000</v>
      </c>
      <c r="J39" s="787"/>
      <c r="K39" s="787"/>
      <c r="L39" s="779">
        <v>10000</v>
      </c>
      <c r="M39" s="787"/>
      <c r="N39" s="788"/>
    </row>
    <row r="40" spans="1:16" s="9" customFormat="1" ht="18" customHeight="1">
      <c r="A40" s="351">
        <v>33</v>
      </c>
      <c r="B40" s="136"/>
      <c r="C40" s="132">
        <v>8</v>
      </c>
      <c r="D40" s="347" t="s">
        <v>451</v>
      </c>
      <c r="E40" s="129">
        <v>0</v>
      </c>
      <c r="F40" s="137">
        <v>0</v>
      </c>
      <c r="G40" s="138">
        <v>0</v>
      </c>
      <c r="H40" s="353" t="s">
        <v>24</v>
      </c>
      <c r="I40" s="627"/>
      <c r="J40" s="787"/>
      <c r="K40" s="787"/>
      <c r="L40" s="787"/>
      <c r="M40" s="787"/>
      <c r="N40" s="788"/>
      <c r="P40" s="8"/>
    </row>
    <row r="41" spans="1:16" s="3" customFormat="1" ht="22.5" customHeight="1">
      <c r="A41" s="351">
        <v>34</v>
      </c>
      <c r="B41" s="126"/>
      <c r="C41" s="127">
        <v>9</v>
      </c>
      <c r="D41" s="347" t="s">
        <v>256</v>
      </c>
      <c r="E41" s="129">
        <v>5175</v>
      </c>
      <c r="F41" s="129">
        <v>1000</v>
      </c>
      <c r="G41" s="130">
        <v>6482</v>
      </c>
      <c r="H41" s="353" t="s">
        <v>24</v>
      </c>
      <c r="I41" s="624"/>
      <c r="J41" s="779"/>
      <c r="K41" s="779"/>
      <c r="L41" s="779"/>
      <c r="M41" s="779"/>
      <c r="N41" s="780"/>
      <c r="P41" s="8"/>
    </row>
    <row r="42" spans="1:14" s="8" customFormat="1" ht="18" customHeight="1">
      <c r="A42" s="351">
        <v>35</v>
      </c>
      <c r="B42" s="131"/>
      <c r="C42" s="132"/>
      <c r="D42" s="631" t="s">
        <v>283</v>
      </c>
      <c r="E42" s="587"/>
      <c r="F42" s="586"/>
      <c r="G42" s="587"/>
      <c r="H42" s="353"/>
      <c r="I42" s="624">
        <f>SUM(J42:N42)</f>
        <v>7300</v>
      </c>
      <c r="J42" s="779"/>
      <c r="K42" s="779"/>
      <c r="L42" s="779">
        <v>7300</v>
      </c>
      <c r="M42" s="779"/>
      <c r="N42" s="780"/>
    </row>
    <row r="43" spans="1:16" s="3" customFormat="1" ht="22.5" customHeight="1">
      <c r="A43" s="351">
        <v>36</v>
      </c>
      <c r="B43" s="126"/>
      <c r="C43" s="127">
        <v>10</v>
      </c>
      <c r="D43" s="347" t="s">
        <v>51</v>
      </c>
      <c r="E43" s="129">
        <v>1313</v>
      </c>
      <c r="F43" s="129">
        <v>2000</v>
      </c>
      <c r="G43" s="130">
        <v>13026</v>
      </c>
      <c r="H43" s="353" t="s">
        <v>24</v>
      </c>
      <c r="I43" s="624"/>
      <c r="J43" s="779"/>
      <c r="K43" s="779"/>
      <c r="L43" s="779"/>
      <c r="M43" s="779"/>
      <c r="N43" s="780"/>
      <c r="P43" s="8"/>
    </row>
    <row r="44" spans="1:14" s="8" customFormat="1" ht="18" customHeight="1">
      <c r="A44" s="351">
        <v>37</v>
      </c>
      <c r="B44" s="131"/>
      <c r="C44" s="132"/>
      <c r="D44" s="631" t="s">
        <v>283</v>
      </c>
      <c r="E44" s="129"/>
      <c r="F44" s="129"/>
      <c r="G44" s="130"/>
      <c r="H44" s="353"/>
      <c r="I44" s="624">
        <f>SUM(J44:N44)</f>
        <v>9000</v>
      </c>
      <c r="J44" s="779"/>
      <c r="K44" s="779"/>
      <c r="L44" s="779">
        <v>9000</v>
      </c>
      <c r="M44" s="779"/>
      <c r="N44" s="780"/>
    </row>
    <row r="45" spans="1:16" s="3" customFormat="1" ht="22.5" customHeight="1">
      <c r="A45" s="351">
        <v>38</v>
      </c>
      <c r="B45" s="126"/>
      <c r="C45" s="127">
        <v>11</v>
      </c>
      <c r="D45" s="347" t="s">
        <v>52</v>
      </c>
      <c r="E45" s="129">
        <v>186</v>
      </c>
      <c r="F45" s="129">
        <v>508</v>
      </c>
      <c r="G45" s="130">
        <v>508</v>
      </c>
      <c r="H45" s="355" t="s">
        <v>24</v>
      </c>
      <c r="I45" s="624"/>
      <c r="J45" s="779"/>
      <c r="K45" s="779"/>
      <c r="L45" s="779"/>
      <c r="M45" s="779"/>
      <c r="N45" s="780"/>
      <c r="P45" s="8"/>
    </row>
    <row r="46" spans="1:16" s="3" customFormat="1" ht="18" customHeight="1">
      <c r="A46" s="351">
        <v>39</v>
      </c>
      <c r="B46" s="126"/>
      <c r="C46" s="127"/>
      <c r="D46" s="631" t="s">
        <v>283</v>
      </c>
      <c r="E46" s="129"/>
      <c r="F46" s="129"/>
      <c r="G46" s="130"/>
      <c r="H46" s="355"/>
      <c r="I46" s="624">
        <f>SUM(J46:N46)</f>
        <v>1000</v>
      </c>
      <c r="J46" s="779"/>
      <c r="K46" s="779"/>
      <c r="L46" s="779">
        <v>1000</v>
      </c>
      <c r="M46" s="779"/>
      <c r="N46" s="780"/>
      <c r="P46" s="8"/>
    </row>
    <row r="47" spans="1:16" s="3" customFormat="1" ht="22.5" customHeight="1">
      <c r="A47" s="351">
        <v>40</v>
      </c>
      <c r="B47" s="126"/>
      <c r="C47" s="127">
        <v>12</v>
      </c>
      <c r="D47" s="347" t="s">
        <v>53</v>
      </c>
      <c r="E47" s="129">
        <v>0</v>
      </c>
      <c r="F47" s="129">
        <v>0</v>
      </c>
      <c r="G47" s="130">
        <v>0</v>
      </c>
      <c r="H47" s="353" t="s">
        <v>24</v>
      </c>
      <c r="I47" s="624"/>
      <c r="J47" s="779"/>
      <c r="K47" s="779"/>
      <c r="L47" s="779"/>
      <c r="M47" s="779"/>
      <c r="N47" s="780"/>
      <c r="P47" s="8"/>
    </row>
    <row r="48" spans="1:16" s="3" customFormat="1" ht="22.5" customHeight="1">
      <c r="A48" s="351">
        <v>41</v>
      </c>
      <c r="B48" s="126"/>
      <c r="C48" s="127">
        <v>13</v>
      </c>
      <c r="D48" s="347" t="s">
        <v>54</v>
      </c>
      <c r="E48" s="129">
        <f>SUM(E49,E50,E51,E52)+E53</f>
        <v>6475</v>
      </c>
      <c r="F48" s="129">
        <f>SUM(F49,F50,F51,F52)</f>
        <v>0</v>
      </c>
      <c r="G48" s="130">
        <f>SUM(G49,G50,G51,G52)</f>
        <v>0</v>
      </c>
      <c r="H48" s="353" t="s">
        <v>24</v>
      </c>
      <c r="I48" s="624"/>
      <c r="J48" s="779"/>
      <c r="K48" s="779"/>
      <c r="L48" s="779"/>
      <c r="M48" s="779"/>
      <c r="N48" s="780"/>
      <c r="P48" s="8"/>
    </row>
    <row r="49" spans="1:14" s="9" customFormat="1" ht="18" customHeight="1">
      <c r="A49" s="351">
        <v>42</v>
      </c>
      <c r="B49" s="136"/>
      <c r="C49" s="132"/>
      <c r="D49" s="139" t="s">
        <v>265</v>
      </c>
      <c r="E49" s="137">
        <v>0</v>
      </c>
      <c r="F49" s="137">
        <v>0</v>
      </c>
      <c r="G49" s="138">
        <v>0</v>
      </c>
      <c r="H49" s="354"/>
      <c r="I49" s="627"/>
      <c r="J49" s="787"/>
      <c r="K49" s="787"/>
      <c r="L49" s="787"/>
      <c r="M49" s="787"/>
      <c r="N49" s="788"/>
    </row>
    <row r="50" spans="1:14" s="9" customFormat="1" ht="18" customHeight="1">
      <c r="A50" s="351">
        <v>43</v>
      </c>
      <c r="B50" s="136"/>
      <c r="C50" s="132"/>
      <c r="D50" s="139" t="s">
        <v>266</v>
      </c>
      <c r="E50" s="137">
        <v>1500</v>
      </c>
      <c r="F50" s="137">
        <v>0</v>
      </c>
      <c r="G50" s="138">
        <v>0</v>
      </c>
      <c r="H50" s="354"/>
      <c r="I50" s="789"/>
      <c r="J50" s="790"/>
      <c r="K50" s="790"/>
      <c r="L50" s="790"/>
      <c r="M50" s="790"/>
      <c r="N50" s="791"/>
    </row>
    <row r="51" spans="1:14" s="9" customFormat="1" ht="18" customHeight="1">
      <c r="A51" s="351">
        <v>44</v>
      </c>
      <c r="B51" s="136"/>
      <c r="C51" s="132"/>
      <c r="D51" s="139" t="s">
        <v>493</v>
      </c>
      <c r="E51" s="137">
        <v>600</v>
      </c>
      <c r="F51" s="137">
        <v>0</v>
      </c>
      <c r="G51" s="138">
        <v>0</v>
      </c>
      <c r="H51" s="354"/>
      <c r="I51" s="627"/>
      <c r="J51" s="787"/>
      <c r="K51" s="787"/>
      <c r="L51" s="787"/>
      <c r="M51" s="787"/>
      <c r="N51" s="788"/>
    </row>
    <row r="52" spans="1:14" s="9" customFormat="1" ht="18" customHeight="1">
      <c r="A52" s="351">
        <v>45</v>
      </c>
      <c r="B52" s="136"/>
      <c r="C52" s="132"/>
      <c r="D52" s="139" t="s">
        <v>551</v>
      </c>
      <c r="E52" s="137">
        <v>4375</v>
      </c>
      <c r="F52" s="137">
        <v>0</v>
      </c>
      <c r="G52" s="138">
        <v>0</v>
      </c>
      <c r="H52" s="354"/>
      <c r="I52" s="627"/>
      <c r="J52" s="787"/>
      <c r="K52" s="787"/>
      <c r="L52" s="787"/>
      <c r="M52" s="787"/>
      <c r="N52" s="788"/>
    </row>
    <row r="53" spans="1:14" s="9" customFormat="1" ht="18" customHeight="1">
      <c r="A53" s="351">
        <v>46</v>
      </c>
      <c r="B53" s="136"/>
      <c r="C53" s="132"/>
      <c r="D53" s="139" t="s">
        <v>550</v>
      </c>
      <c r="E53" s="137">
        <v>0</v>
      </c>
      <c r="F53" s="137">
        <v>0</v>
      </c>
      <c r="G53" s="138">
        <v>0</v>
      </c>
      <c r="H53" s="354"/>
      <c r="I53" s="627"/>
      <c r="J53" s="787"/>
      <c r="K53" s="787"/>
      <c r="L53" s="787"/>
      <c r="M53" s="787"/>
      <c r="N53" s="788"/>
    </row>
    <row r="54" spans="1:14" s="9" customFormat="1" ht="18" customHeight="1">
      <c r="A54" s="351">
        <v>47</v>
      </c>
      <c r="B54" s="136"/>
      <c r="C54" s="132">
        <v>14</v>
      </c>
      <c r="D54" s="347" t="s">
        <v>464</v>
      </c>
      <c r="E54" s="137">
        <v>1000</v>
      </c>
      <c r="F54" s="137">
        <v>1250</v>
      </c>
      <c r="G54" s="138">
        <v>1250</v>
      </c>
      <c r="H54" s="353" t="s">
        <v>24</v>
      </c>
      <c r="I54" s="627"/>
      <c r="J54" s="787"/>
      <c r="K54" s="787"/>
      <c r="L54" s="787"/>
      <c r="M54" s="787"/>
      <c r="N54" s="788"/>
    </row>
    <row r="55" spans="1:14" s="649" customFormat="1" ht="18" customHeight="1">
      <c r="A55" s="351">
        <v>48</v>
      </c>
      <c r="B55" s="642"/>
      <c r="C55" s="630"/>
      <c r="D55" s="631" t="s">
        <v>283</v>
      </c>
      <c r="E55" s="644"/>
      <c r="F55" s="644"/>
      <c r="G55" s="645"/>
      <c r="H55" s="634"/>
      <c r="I55" s="624">
        <f>SUM(J55:N55)</f>
        <v>1250</v>
      </c>
      <c r="J55" s="647"/>
      <c r="K55" s="647"/>
      <c r="L55" s="647"/>
      <c r="M55" s="647"/>
      <c r="N55" s="626">
        <v>1250</v>
      </c>
    </row>
    <row r="56" spans="1:14" s="9" customFormat="1" ht="18" customHeight="1">
      <c r="A56" s="351">
        <v>49</v>
      </c>
      <c r="B56" s="136"/>
      <c r="C56" s="132">
        <v>15</v>
      </c>
      <c r="D56" s="347" t="s">
        <v>465</v>
      </c>
      <c r="E56" s="137">
        <v>1000</v>
      </c>
      <c r="F56" s="137">
        <v>1250</v>
      </c>
      <c r="G56" s="138">
        <v>1250</v>
      </c>
      <c r="H56" s="353" t="s">
        <v>24</v>
      </c>
      <c r="I56" s="627"/>
      <c r="J56" s="787"/>
      <c r="K56" s="787"/>
      <c r="L56" s="787"/>
      <c r="M56" s="787"/>
      <c r="N56" s="788"/>
    </row>
    <row r="57" spans="1:14" s="649" customFormat="1" ht="18" customHeight="1">
      <c r="A57" s="351">
        <v>50</v>
      </c>
      <c r="B57" s="642"/>
      <c r="C57" s="630"/>
      <c r="D57" s="631" t="s">
        <v>283</v>
      </c>
      <c r="E57" s="644"/>
      <c r="F57" s="644"/>
      <c r="G57" s="645"/>
      <c r="H57" s="634"/>
      <c r="I57" s="624">
        <f>SUM(J57:N57)</f>
        <v>1250</v>
      </c>
      <c r="J57" s="647"/>
      <c r="K57" s="647"/>
      <c r="L57" s="647"/>
      <c r="M57" s="647"/>
      <c r="N57" s="626">
        <v>1250</v>
      </c>
    </row>
    <row r="58" spans="1:14" s="9" customFormat="1" ht="18" customHeight="1">
      <c r="A58" s="351">
        <v>51</v>
      </c>
      <c r="B58" s="136"/>
      <c r="C58" s="132">
        <v>16</v>
      </c>
      <c r="D58" s="347" t="s">
        <v>466</v>
      </c>
      <c r="E58" s="137">
        <v>450</v>
      </c>
      <c r="F58" s="137">
        <v>800</v>
      </c>
      <c r="G58" s="138">
        <v>800</v>
      </c>
      <c r="H58" s="353" t="s">
        <v>24</v>
      </c>
      <c r="I58" s="627"/>
      <c r="J58" s="787"/>
      <c r="K58" s="787"/>
      <c r="L58" s="787"/>
      <c r="M58" s="787"/>
      <c r="N58" s="788"/>
    </row>
    <row r="59" spans="1:14" s="649" customFormat="1" ht="18" customHeight="1">
      <c r="A59" s="351">
        <v>52</v>
      </c>
      <c r="B59" s="642"/>
      <c r="C59" s="630"/>
      <c r="D59" s="631" t="s">
        <v>283</v>
      </c>
      <c r="E59" s="644"/>
      <c r="F59" s="644"/>
      <c r="G59" s="645"/>
      <c r="H59" s="646"/>
      <c r="I59" s="624">
        <f>SUM(J59:N59)</f>
        <v>800</v>
      </c>
      <c r="J59" s="647"/>
      <c r="K59" s="647"/>
      <c r="L59" s="647"/>
      <c r="M59" s="647"/>
      <c r="N59" s="648">
        <v>800</v>
      </c>
    </row>
    <row r="60" spans="1:14" s="9" customFormat="1" ht="18" customHeight="1">
      <c r="A60" s="351">
        <v>53</v>
      </c>
      <c r="B60" s="136"/>
      <c r="C60" s="127">
        <v>17</v>
      </c>
      <c r="D60" s="347" t="s">
        <v>385</v>
      </c>
      <c r="E60" s="137">
        <v>500</v>
      </c>
      <c r="F60" s="137">
        <v>500</v>
      </c>
      <c r="G60" s="138">
        <v>500</v>
      </c>
      <c r="H60" s="353" t="s">
        <v>24</v>
      </c>
      <c r="I60" s="627"/>
      <c r="J60" s="787"/>
      <c r="K60" s="787"/>
      <c r="L60" s="787"/>
      <c r="M60" s="787"/>
      <c r="N60" s="788"/>
    </row>
    <row r="61" spans="1:14" s="649" customFormat="1" ht="18" customHeight="1">
      <c r="A61" s="351">
        <v>54</v>
      </c>
      <c r="B61" s="642"/>
      <c r="C61" s="630"/>
      <c r="D61" s="631" t="s">
        <v>283</v>
      </c>
      <c r="E61" s="650"/>
      <c r="F61" s="651"/>
      <c r="G61" s="650"/>
      <c r="H61" s="646"/>
      <c r="I61" s="624">
        <f>SUM(J61:N61)</f>
        <v>500</v>
      </c>
      <c r="J61" s="647"/>
      <c r="K61" s="647"/>
      <c r="L61" s="647"/>
      <c r="M61" s="647"/>
      <c r="N61" s="648">
        <v>500</v>
      </c>
    </row>
    <row r="62" spans="1:16" s="3" customFormat="1" ht="22.5" customHeight="1">
      <c r="A62" s="351">
        <v>55</v>
      </c>
      <c r="B62" s="126"/>
      <c r="C62" s="127">
        <v>18</v>
      </c>
      <c r="D62" s="347" t="s">
        <v>55</v>
      </c>
      <c r="E62" s="129">
        <v>1250</v>
      </c>
      <c r="F62" s="129">
        <v>0</v>
      </c>
      <c r="G62" s="130">
        <v>0</v>
      </c>
      <c r="H62" s="353" t="s">
        <v>24</v>
      </c>
      <c r="I62" s="784"/>
      <c r="J62" s="785"/>
      <c r="K62" s="785"/>
      <c r="L62" s="785"/>
      <c r="M62" s="785"/>
      <c r="N62" s="786"/>
      <c r="O62" s="8"/>
      <c r="P62" s="8"/>
    </row>
    <row r="63" spans="1:16" s="3" customFormat="1" ht="22.5" customHeight="1">
      <c r="A63" s="351">
        <v>56</v>
      </c>
      <c r="B63" s="126"/>
      <c r="C63" s="127">
        <v>19</v>
      </c>
      <c r="D63" s="347" t="s">
        <v>237</v>
      </c>
      <c r="E63" s="129">
        <f>SUM(E65,E67,E69,E71,E73)</f>
        <v>75274</v>
      </c>
      <c r="F63" s="129">
        <f>SUM(F65,F67,F69,F71,F73)</f>
        <v>25000</v>
      </c>
      <c r="G63" s="130">
        <f>SUM(G65,G67,G69,G71,G73)</f>
        <v>25000</v>
      </c>
      <c r="H63" s="353" t="s">
        <v>24</v>
      </c>
      <c r="I63" s="784"/>
      <c r="J63" s="785"/>
      <c r="K63" s="785"/>
      <c r="L63" s="785"/>
      <c r="M63" s="785"/>
      <c r="N63" s="786"/>
      <c r="O63" s="8"/>
      <c r="P63" s="8"/>
    </row>
    <row r="64" spans="1:14" s="635" customFormat="1" ht="18" customHeight="1">
      <c r="A64" s="351">
        <v>57</v>
      </c>
      <c r="B64" s="629"/>
      <c r="C64" s="630"/>
      <c r="D64" s="631" t="s">
        <v>283</v>
      </c>
      <c r="E64" s="632"/>
      <c r="F64" s="632"/>
      <c r="G64" s="633"/>
      <c r="H64" s="634"/>
      <c r="I64" s="624">
        <f>SUM(J64:N64)</f>
        <v>63500</v>
      </c>
      <c r="J64" s="628">
        <f>SUM(J66,J68,J70,J72,J74)</f>
        <v>0</v>
      </c>
      <c r="K64" s="628">
        <f>SUM(K66,K68,K70,K72,K74)</f>
        <v>0</v>
      </c>
      <c r="L64" s="628">
        <f>SUM(L66,L68,L70,L72,L74)</f>
        <v>0</v>
      </c>
      <c r="M64" s="628">
        <f>SUM(M66,M68,M70,M72,M74)</f>
        <v>0</v>
      </c>
      <c r="N64" s="824">
        <f>SUM(N66,N68,N70,N72,N74)</f>
        <v>63500</v>
      </c>
    </row>
    <row r="65" spans="1:16" s="9" customFormat="1" ht="18" customHeight="1">
      <c r="A65" s="351">
        <v>58</v>
      </c>
      <c r="B65" s="136"/>
      <c r="C65" s="330"/>
      <c r="D65" s="282" t="s">
        <v>56</v>
      </c>
      <c r="E65" s="137">
        <v>74100</v>
      </c>
      <c r="F65" s="137">
        <v>25000</v>
      </c>
      <c r="G65" s="138">
        <v>25000</v>
      </c>
      <c r="H65" s="354"/>
      <c r="I65" s="627"/>
      <c r="J65" s="787"/>
      <c r="K65" s="787"/>
      <c r="L65" s="787"/>
      <c r="M65" s="787"/>
      <c r="N65" s="788"/>
      <c r="P65" s="8"/>
    </row>
    <row r="66" spans="1:16" s="649" customFormat="1" ht="18" customHeight="1">
      <c r="A66" s="351">
        <v>59</v>
      </c>
      <c r="B66" s="642"/>
      <c r="C66" s="630"/>
      <c r="D66" s="652" t="s">
        <v>283</v>
      </c>
      <c r="E66" s="644"/>
      <c r="F66" s="644"/>
      <c r="G66" s="645"/>
      <c r="H66" s="646"/>
      <c r="I66" s="627">
        <f>SUM(J66:N66)</f>
        <v>55000</v>
      </c>
      <c r="J66" s="647"/>
      <c r="K66" s="647"/>
      <c r="L66" s="647"/>
      <c r="M66" s="647"/>
      <c r="N66" s="648">
        <v>55000</v>
      </c>
      <c r="P66" s="635"/>
    </row>
    <row r="67" spans="1:16" s="9" customFormat="1" ht="18" customHeight="1">
      <c r="A67" s="351">
        <v>60</v>
      </c>
      <c r="B67" s="136"/>
      <c r="C67" s="330"/>
      <c r="D67" s="283" t="s">
        <v>57</v>
      </c>
      <c r="E67" s="137">
        <v>466</v>
      </c>
      <c r="F67" s="137"/>
      <c r="G67" s="138"/>
      <c r="H67" s="354"/>
      <c r="I67" s="789"/>
      <c r="J67" s="790"/>
      <c r="K67" s="790"/>
      <c r="L67" s="790"/>
      <c r="M67" s="790"/>
      <c r="N67" s="791"/>
      <c r="P67" s="8"/>
    </row>
    <row r="68" spans="1:16" s="9" customFormat="1" ht="18" customHeight="1">
      <c r="A68" s="351">
        <v>61</v>
      </c>
      <c r="B68" s="136"/>
      <c r="C68" s="330"/>
      <c r="D68" s="652" t="s">
        <v>283</v>
      </c>
      <c r="E68" s="137"/>
      <c r="F68" s="137"/>
      <c r="G68" s="138"/>
      <c r="H68" s="354"/>
      <c r="I68" s="627">
        <f>SUM(J68:N68)</f>
        <v>3500</v>
      </c>
      <c r="J68" s="790"/>
      <c r="K68" s="790"/>
      <c r="L68" s="790"/>
      <c r="M68" s="790"/>
      <c r="N68" s="791">
        <v>3500</v>
      </c>
      <c r="P68" s="8"/>
    </row>
    <row r="69" spans="1:16" s="9" customFormat="1" ht="18" customHeight="1">
      <c r="A69" s="351">
        <v>62</v>
      </c>
      <c r="B69" s="136"/>
      <c r="C69" s="132"/>
      <c r="D69" s="283" t="s">
        <v>58</v>
      </c>
      <c r="E69" s="137">
        <v>375</v>
      </c>
      <c r="F69" s="137"/>
      <c r="G69" s="138"/>
      <c r="H69" s="354"/>
      <c r="I69" s="789"/>
      <c r="J69" s="790"/>
      <c r="K69" s="790"/>
      <c r="L69" s="790"/>
      <c r="M69" s="790"/>
      <c r="N69" s="791"/>
      <c r="P69" s="8"/>
    </row>
    <row r="70" spans="1:16" s="9" customFormat="1" ht="18" customHeight="1">
      <c r="A70" s="351">
        <v>63</v>
      </c>
      <c r="B70" s="136"/>
      <c r="C70" s="132"/>
      <c r="D70" s="652" t="s">
        <v>283</v>
      </c>
      <c r="E70" s="137"/>
      <c r="F70" s="137"/>
      <c r="G70" s="138"/>
      <c r="H70" s="354"/>
      <c r="I70" s="627">
        <f>SUM(J70:N70)</f>
        <v>3000</v>
      </c>
      <c r="J70" s="790"/>
      <c r="K70" s="790"/>
      <c r="L70" s="790"/>
      <c r="M70" s="790"/>
      <c r="N70" s="791">
        <v>3000</v>
      </c>
      <c r="P70" s="8"/>
    </row>
    <row r="71" spans="1:16" s="9" customFormat="1" ht="18" customHeight="1">
      <c r="A71" s="351">
        <v>64</v>
      </c>
      <c r="B71" s="136"/>
      <c r="C71" s="132"/>
      <c r="D71" s="283" t="s">
        <v>59</v>
      </c>
      <c r="E71" s="137">
        <v>250</v>
      </c>
      <c r="F71" s="137"/>
      <c r="G71" s="138"/>
      <c r="H71" s="354"/>
      <c r="I71" s="789"/>
      <c r="J71" s="790"/>
      <c r="K71" s="790"/>
      <c r="L71" s="790"/>
      <c r="M71" s="790"/>
      <c r="N71" s="791"/>
      <c r="P71" s="8"/>
    </row>
    <row r="72" spans="1:16" s="9" customFormat="1" ht="18" customHeight="1">
      <c r="A72" s="351">
        <v>65</v>
      </c>
      <c r="B72" s="136"/>
      <c r="C72" s="132"/>
      <c r="D72" s="652" t="s">
        <v>283</v>
      </c>
      <c r="E72" s="137"/>
      <c r="F72" s="137"/>
      <c r="G72" s="138"/>
      <c r="H72" s="354"/>
      <c r="I72" s="627">
        <f>SUM(J72:N72)</f>
        <v>1000</v>
      </c>
      <c r="J72" s="790"/>
      <c r="K72" s="790"/>
      <c r="L72" s="790"/>
      <c r="M72" s="790"/>
      <c r="N72" s="791">
        <v>1000</v>
      </c>
      <c r="P72" s="8"/>
    </row>
    <row r="73" spans="1:16" s="9" customFormat="1" ht="18" customHeight="1">
      <c r="A73" s="351">
        <v>66</v>
      </c>
      <c r="B73" s="136"/>
      <c r="C73" s="132"/>
      <c r="D73" s="283" t="s">
        <v>304</v>
      </c>
      <c r="E73" s="137">
        <v>83</v>
      </c>
      <c r="F73" s="137"/>
      <c r="G73" s="138"/>
      <c r="H73" s="354"/>
      <c r="I73" s="789"/>
      <c r="J73" s="790"/>
      <c r="K73" s="790"/>
      <c r="L73" s="790"/>
      <c r="M73" s="790"/>
      <c r="N73" s="791"/>
      <c r="P73" s="8"/>
    </row>
    <row r="74" spans="1:16" s="9" customFormat="1" ht="18" customHeight="1">
      <c r="A74" s="351">
        <v>67</v>
      </c>
      <c r="B74" s="136"/>
      <c r="C74" s="132"/>
      <c r="D74" s="652" t="s">
        <v>283</v>
      </c>
      <c r="E74" s="137"/>
      <c r="F74" s="137"/>
      <c r="G74" s="138"/>
      <c r="H74" s="354"/>
      <c r="I74" s="627">
        <f>SUM(J74:N74)</f>
        <v>1000</v>
      </c>
      <c r="J74" s="790"/>
      <c r="K74" s="790"/>
      <c r="L74" s="790"/>
      <c r="M74" s="790"/>
      <c r="N74" s="791">
        <v>1000</v>
      </c>
      <c r="P74" s="8"/>
    </row>
    <row r="75" spans="1:16" s="9" customFormat="1" ht="22.5" customHeight="1">
      <c r="A75" s="351">
        <v>68</v>
      </c>
      <c r="B75" s="136"/>
      <c r="C75" s="127">
        <v>20</v>
      </c>
      <c r="D75" s="347" t="s">
        <v>468</v>
      </c>
      <c r="E75" s="137"/>
      <c r="F75" s="137"/>
      <c r="G75" s="138"/>
      <c r="H75" s="353" t="s">
        <v>24</v>
      </c>
      <c r="I75" s="624"/>
      <c r="J75" s="787"/>
      <c r="K75" s="787"/>
      <c r="L75" s="787"/>
      <c r="M75" s="787"/>
      <c r="N75" s="788"/>
      <c r="P75" s="8"/>
    </row>
    <row r="76" spans="1:16" s="649" customFormat="1" ht="18" customHeight="1">
      <c r="A76" s="351">
        <v>69</v>
      </c>
      <c r="B76" s="642"/>
      <c r="C76" s="630"/>
      <c r="D76" s="631" t="s">
        <v>283</v>
      </c>
      <c r="E76" s="644"/>
      <c r="F76" s="644"/>
      <c r="G76" s="645"/>
      <c r="H76" s="646"/>
      <c r="I76" s="624">
        <f>SUM(J76:N76)</f>
        <v>1000</v>
      </c>
      <c r="J76" s="647"/>
      <c r="K76" s="647"/>
      <c r="L76" s="647"/>
      <c r="M76" s="647"/>
      <c r="N76" s="780">
        <v>1000</v>
      </c>
      <c r="P76" s="635"/>
    </row>
    <row r="77" spans="1:16" s="9" customFormat="1" ht="22.5" customHeight="1">
      <c r="A77" s="351">
        <v>70</v>
      </c>
      <c r="B77" s="136"/>
      <c r="C77" s="127">
        <v>21</v>
      </c>
      <c r="D77" s="347" t="s">
        <v>478</v>
      </c>
      <c r="E77" s="137">
        <v>13</v>
      </c>
      <c r="F77" s="137"/>
      <c r="G77" s="138"/>
      <c r="H77" s="353" t="s">
        <v>24</v>
      </c>
      <c r="I77" s="627"/>
      <c r="J77" s="787"/>
      <c r="K77" s="787"/>
      <c r="L77" s="787"/>
      <c r="M77" s="787"/>
      <c r="N77" s="788"/>
      <c r="P77" s="8"/>
    </row>
    <row r="78" spans="1:16" s="9" customFormat="1" ht="22.5" customHeight="1">
      <c r="A78" s="351">
        <v>71</v>
      </c>
      <c r="B78" s="136"/>
      <c r="C78" s="127">
        <v>22</v>
      </c>
      <c r="D78" s="347" t="s">
        <v>467</v>
      </c>
      <c r="E78" s="137"/>
      <c r="F78" s="137"/>
      <c r="G78" s="138"/>
      <c r="H78" s="353" t="s">
        <v>24</v>
      </c>
      <c r="I78" s="624"/>
      <c r="J78" s="787"/>
      <c r="K78" s="787"/>
      <c r="L78" s="787"/>
      <c r="M78" s="787"/>
      <c r="N78" s="788"/>
      <c r="P78" s="8"/>
    </row>
    <row r="79" spans="1:16" s="9" customFormat="1" ht="22.5" customHeight="1">
      <c r="A79" s="351">
        <v>72</v>
      </c>
      <c r="B79" s="136"/>
      <c r="C79" s="127">
        <v>23</v>
      </c>
      <c r="D79" s="347" t="s">
        <v>477</v>
      </c>
      <c r="E79" s="137"/>
      <c r="F79" s="137"/>
      <c r="G79" s="138"/>
      <c r="H79" s="353" t="s">
        <v>24</v>
      </c>
      <c r="I79" s="624"/>
      <c r="J79" s="787"/>
      <c r="K79" s="787"/>
      <c r="L79" s="787"/>
      <c r="M79" s="787"/>
      <c r="N79" s="788"/>
      <c r="P79" s="8"/>
    </row>
    <row r="80" spans="1:16" s="3" customFormat="1" ht="22.5" customHeight="1">
      <c r="A80" s="351">
        <v>73</v>
      </c>
      <c r="B80" s="126"/>
      <c r="C80" s="127">
        <v>24</v>
      </c>
      <c r="D80" s="347" t="s">
        <v>60</v>
      </c>
      <c r="E80" s="129"/>
      <c r="F80" s="129"/>
      <c r="G80" s="138"/>
      <c r="H80" s="353" t="s">
        <v>24</v>
      </c>
      <c r="I80" s="624"/>
      <c r="J80" s="779"/>
      <c r="K80" s="779"/>
      <c r="L80" s="779"/>
      <c r="M80" s="779"/>
      <c r="N80" s="780"/>
      <c r="P80" s="8"/>
    </row>
    <row r="81" spans="1:16" s="3" customFormat="1" ht="22.5" customHeight="1">
      <c r="A81" s="351">
        <v>74</v>
      </c>
      <c r="B81" s="126"/>
      <c r="C81" s="127">
        <v>25</v>
      </c>
      <c r="D81" s="347" t="s">
        <v>290</v>
      </c>
      <c r="E81" s="129"/>
      <c r="F81" s="129"/>
      <c r="G81" s="130"/>
      <c r="H81" s="353" t="s">
        <v>24</v>
      </c>
      <c r="I81" s="624"/>
      <c r="J81" s="779"/>
      <c r="K81" s="779"/>
      <c r="L81" s="779"/>
      <c r="M81" s="779"/>
      <c r="N81" s="780"/>
      <c r="P81" s="8"/>
    </row>
    <row r="82" spans="1:16" s="3" customFormat="1" ht="22.5" customHeight="1">
      <c r="A82" s="351">
        <v>75</v>
      </c>
      <c r="B82" s="126"/>
      <c r="C82" s="127">
        <v>26</v>
      </c>
      <c r="D82" s="347" t="s">
        <v>61</v>
      </c>
      <c r="E82" s="129"/>
      <c r="F82" s="129"/>
      <c r="G82" s="130"/>
      <c r="H82" s="353" t="s">
        <v>24</v>
      </c>
      <c r="I82" s="624"/>
      <c r="J82" s="779"/>
      <c r="K82" s="779"/>
      <c r="L82" s="779"/>
      <c r="M82" s="779"/>
      <c r="N82" s="780"/>
      <c r="P82" s="8"/>
    </row>
    <row r="83" spans="1:16" s="3" customFormat="1" ht="22.5" customHeight="1">
      <c r="A83" s="351">
        <v>76</v>
      </c>
      <c r="B83" s="126"/>
      <c r="C83" s="127">
        <v>27</v>
      </c>
      <c r="D83" s="347" t="s">
        <v>62</v>
      </c>
      <c r="E83" s="129"/>
      <c r="F83" s="129"/>
      <c r="G83" s="130"/>
      <c r="H83" s="353" t="s">
        <v>24</v>
      </c>
      <c r="I83" s="624"/>
      <c r="J83" s="779"/>
      <c r="K83" s="779"/>
      <c r="L83" s="779"/>
      <c r="M83" s="779"/>
      <c r="N83" s="780"/>
      <c r="P83" s="8"/>
    </row>
    <row r="84" spans="1:16" s="3" customFormat="1" ht="22.5" customHeight="1">
      <c r="A84" s="351">
        <v>77</v>
      </c>
      <c r="B84" s="126"/>
      <c r="C84" s="127">
        <v>28</v>
      </c>
      <c r="D84" s="347" t="s">
        <v>257</v>
      </c>
      <c r="E84" s="129">
        <v>4480</v>
      </c>
      <c r="F84" s="129">
        <v>1500</v>
      </c>
      <c r="G84" s="130">
        <v>1500</v>
      </c>
      <c r="H84" s="353" t="s">
        <v>24</v>
      </c>
      <c r="I84" s="624"/>
      <c r="J84" s="779"/>
      <c r="K84" s="779"/>
      <c r="L84" s="779"/>
      <c r="M84" s="779"/>
      <c r="N84" s="780"/>
      <c r="P84" s="8"/>
    </row>
    <row r="85" spans="1:14" s="8" customFormat="1" ht="22.5" customHeight="1">
      <c r="A85" s="351">
        <v>78</v>
      </c>
      <c r="B85" s="131"/>
      <c r="C85" s="127">
        <v>29</v>
      </c>
      <c r="D85" s="346" t="s">
        <v>360</v>
      </c>
      <c r="E85" s="129">
        <v>0</v>
      </c>
      <c r="F85" s="129">
        <v>0</v>
      </c>
      <c r="G85" s="130">
        <v>0</v>
      </c>
      <c r="H85" s="353" t="s">
        <v>24</v>
      </c>
      <c r="I85" s="624"/>
      <c r="J85" s="779"/>
      <c r="K85" s="779"/>
      <c r="L85" s="779"/>
      <c r="M85" s="779"/>
      <c r="N85" s="780"/>
    </row>
    <row r="86" spans="1:14" s="8" customFormat="1" ht="22.5" customHeight="1">
      <c r="A86" s="351">
        <v>79</v>
      </c>
      <c r="B86" s="144"/>
      <c r="C86" s="127">
        <v>30</v>
      </c>
      <c r="D86" s="346" t="s">
        <v>376</v>
      </c>
      <c r="E86" s="152">
        <v>16160</v>
      </c>
      <c r="F86" s="152">
        <v>20000</v>
      </c>
      <c r="G86" s="153">
        <v>0</v>
      </c>
      <c r="H86" s="353" t="s">
        <v>24</v>
      </c>
      <c r="I86" s="624"/>
      <c r="J86" s="782"/>
      <c r="K86" s="782"/>
      <c r="L86" s="782"/>
      <c r="M86" s="782"/>
      <c r="N86" s="783"/>
    </row>
    <row r="87" spans="1:16" s="146" customFormat="1" ht="22.5" customHeight="1">
      <c r="A87" s="351">
        <v>80</v>
      </c>
      <c r="B87" s="145"/>
      <c r="C87" s="127">
        <v>31</v>
      </c>
      <c r="D87" s="347" t="s">
        <v>253</v>
      </c>
      <c r="E87" s="152">
        <v>45000</v>
      </c>
      <c r="F87" s="152">
        <v>35000</v>
      </c>
      <c r="G87" s="153">
        <v>35000</v>
      </c>
      <c r="H87" s="353" t="s">
        <v>24</v>
      </c>
      <c r="I87" s="624"/>
      <c r="J87" s="782"/>
      <c r="K87" s="782"/>
      <c r="L87" s="782"/>
      <c r="M87" s="782"/>
      <c r="N87" s="783"/>
      <c r="O87" s="123"/>
      <c r="P87" s="8"/>
    </row>
    <row r="88" spans="1:16" s="146" customFormat="1" ht="18" customHeight="1">
      <c r="A88" s="351">
        <v>81</v>
      </c>
      <c r="B88" s="145"/>
      <c r="C88" s="132"/>
      <c r="D88" s="631" t="s">
        <v>283</v>
      </c>
      <c r="E88" s="152"/>
      <c r="F88" s="134"/>
      <c r="G88" s="135"/>
      <c r="H88" s="353"/>
      <c r="I88" s="624">
        <f>SUM(J88:N88)</f>
        <v>25000</v>
      </c>
      <c r="J88" s="782"/>
      <c r="K88" s="782"/>
      <c r="L88" s="782"/>
      <c r="M88" s="782"/>
      <c r="N88" s="783">
        <v>25000</v>
      </c>
      <c r="O88" s="123"/>
      <c r="P88" s="8"/>
    </row>
    <row r="89" spans="1:16" s="3" customFormat="1" ht="22.5" customHeight="1">
      <c r="A89" s="351">
        <v>82</v>
      </c>
      <c r="B89" s="126"/>
      <c r="C89" s="127">
        <v>32</v>
      </c>
      <c r="D89" s="347" t="s">
        <v>258</v>
      </c>
      <c r="E89" s="129">
        <v>2500</v>
      </c>
      <c r="F89" s="129">
        <v>0</v>
      </c>
      <c r="G89" s="130">
        <v>0</v>
      </c>
      <c r="H89" s="353" t="s">
        <v>24</v>
      </c>
      <c r="I89" s="624"/>
      <c r="J89" s="779"/>
      <c r="K89" s="779"/>
      <c r="L89" s="779"/>
      <c r="M89" s="779"/>
      <c r="N89" s="780"/>
      <c r="P89" s="8"/>
    </row>
    <row r="90" spans="1:14" s="635" customFormat="1" ht="22.5" customHeight="1">
      <c r="A90" s="351">
        <v>83</v>
      </c>
      <c r="B90" s="629"/>
      <c r="C90" s="127">
        <v>33</v>
      </c>
      <c r="D90" s="347" t="s">
        <v>529</v>
      </c>
      <c r="E90" s="632"/>
      <c r="F90" s="137">
        <v>2500</v>
      </c>
      <c r="G90" s="138">
        <v>2500</v>
      </c>
      <c r="H90" s="353" t="s">
        <v>24</v>
      </c>
      <c r="I90" s="624"/>
      <c r="J90" s="625"/>
      <c r="K90" s="625"/>
      <c r="L90" s="625"/>
      <c r="M90" s="625"/>
      <c r="N90" s="626"/>
    </row>
    <row r="91" spans="1:14" s="635" customFormat="1" ht="22.5" customHeight="1">
      <c r="A91" s="351">
        <v>84</v>
      </c>
      <c r="B91" s="629"/>
      <c r="C91" s="127">
        <v>34</v>
      </c>
      <c r="D91" s="347" t="s">
        <v>530</v>
      </c>
      <c r="E91" s="632"/>
      <c r="F91" s="137">
        <v>10000</v>
      </c>
      <c r="G91" s="138">
        <v>12197</v>
      </c>
      <c r="H91" s="353" t="s">
        <v>24</v>
      </c>
      <c r="I91" s="624"/>
      <c r="J91" s="625"/>
      <c r="K91" s="625"/>
      <c r="L91" s="625"/>
      <c r="M91" s="625"/>
      <c r="N91" s="626"/>
    </row>
    <row r="92" spans="1:16" s="3" customFormat="1" ht="22.5" customHeight="1">
      <c r="A92" s="351">
        <v>85</v>
      </c>
      <c r="B92" s="126"/>
      <c r="C92" s="127">
        <v>35</v>
      </c>
      <c r="D92" s="347" t="s">
        <v>714</v>
      </c>
      <c r="E92" s="129">
        <v>185225</v>
      </c>
      <c r="F92" s="129">
        <v>250000</v>
      </c>
      <c r="G92" s="130">
        <v>253051</v>
      </c>
      <c r="H92" s="353" t="s">
        <v>24</v>
      </c>
      <c r="I92" s="624"/>
      <c r="J92" s="779"/>
      <c r="K92" s="779"/>
      <c r="L92" s="779"/>
      <c r="M92" s="779"/>
      <c r="N92" s="780"/>
      <c r="P92" s="8"/>
    </row>
    <row r="93" spans="1:14" s="635" customFormat="1" ht="18" customHeight="1">
      <c r="A93" s="351">
        <v>86</v>
      </c>
      <c r="B93" s="629"/>
      <c r="C93" s="630"/>
      <c r="D93" s="631" t="s">
        <v>283</v>
      </c>
      <c r="E93" s="632"/>
      <c r="F93" s="632"/>
      <c r="G93" s="633"/>
      <c r="H93" s="634"/>
      <c r="I93" s="624">
        <f>SUM(J93:N93)</f>
        <v>327787</v>
      </c>
      <c r="J93" s="625"/>
      <c r="K93" s="625"/>
      <c r="L93" s="625">
        <v>20500</v>
      </c>
      <c r="M93" s="625"/>
      <c r="N93" s="626">
        <v>307287</v>
      </c>
    </row>
    <row r="94" spans="1:16" s="3" customFormat="1" ht="22.5" customHeight="1">
      <c r="A94" s="351">
        <v>87</v>
      </c>
      <c r="B94" s="126"/>
      <c r="C94" s="127">
        <v>36</v>
      </c>
      <c r="D94" s="347" t="s">
        <v>64</v>
      </c>
      <c r="E94" s="129">
        <v>2210</v>
      </c>
      <c r="F94" s="129">
        <v>1250</v>
      </c>
      <c r="G94" s="130">
        <v>1250</v>
      </c>
      <c r="H94" s="353" t="s">
        <v>23</v>
      </c>
      <c r="I94" s="624"/>
      <c r="J94" s="779"/>
      <c r="K94" s="779"/>
      <c r="L94" s="779"/>
      <c r="M94" s="779"/>
      <c r="N94" s="780"/>
      <c r="P94" s="8"/>
    </row>
    <row r="95" spans="1:14" s="635" customFormat="1" ht="18" customHeight="1">
      <c r="A95" s="351">
        <v>88</v>
      </c>
      <c r="B95" s="629"/>
      <c r="C95" s="630"/>
      <c r="D95" s="631" t="s">
        <v>283</v>
      </c>
      <c r="E95" s="632"/>
      <c r="F95" s="632"/>
      <c r="G95" s="633"/>
      <c r="H95" s="634"/>
      <c r="I95" s="624">
        <f>SUM(J95:N95)</f>
        <v>1250</v>
      </c>
      <c r="J95" s="625"/>
      <c r="K95" s="625"/>
      <c r="L95" s="625">
        <v>1250</v>
      </c>
      <c r="M95" s="625"/>
      <c r="N95" s="626"/>
    </row>
    <row r="96" spans="1:16" s="3" customFormat="1" ht="22.5" customHeight="1">
      <c r="A96" s="351">
        <v>89</v>
      </c>
      <c r="B96" s="126"/>
      <c r="C96" s="127">
        <v>37</v>
      </c>
      <c r="D96" s="347" t="s">
        <v>65</v>
      </c>
      <c r="E96" s="129">
        <v>5946</v>
      </c>
      <c r="F96" s="129">
        <v>4000</v>
      </c>
      <c r="G96" s="130">
        <v>4084</v>
      </c>
      <c r="H96" s="353" t="s">
        <v>23</v>
      </c>
      <c r="I96" s="624"/>
      <c r="J96" s="779"/>
      <c r="K96" s="779"/>
      <c r="L96" s="779"/>
      <c r="M96" s="779"/>
      <c r="N96" s="780"/>
      <c r="P96" s="8"/>
    </row>
    <row r="97" spans="1:14" s="8" customFormat="1" ht="22.5" customHeight="1">
      <c r="A97" s="351">
        <v>90</v>
      </c>
      <c r="B97" s="131"/>
      <c r="C97" s="127">
        <v>38</v>
      </c>
      <c r="D97" s="346" t="s">
        <v>325</v>
      </c>
      <c r="E97" s="129">
        <v>48445</v>
      </c>
      <c r="F97" s="129">
        <v>39750</v>
      </c>
      <c r="G97" s="130">
        <v>43110</v>
      </c>
      <c r="H97" s="353" t="s">
        <v>23</v>
      </c>
      <c r="I97" s="624"/>
      <c r="J97" s="779"/>
      <c r="K97" s="779"/>
      <c r="L97" s="779"/>
      <c r="M97" s="779"/>
      <c r="N97" s="780"/>
    </row>
    <row r="98" spans="1:14" s="635" customFormat="1" ht="18" customHeight="1">
      <c r="A98" s="351">
        <v>91</v>
      </c>
      <c r="B98" s="629"/>
      <c r="C98" s="630"/>
      <c r="D98" s="631" t="s">
        <v>283</v>
      </c>
      <c r="E98" s="632"/>
      <c r="F98" s="632"/>
      <c r="G98" s="633"/>
      <c r="H98" s="634"/>
      <c r="I98" s="624">
        <f>SUM(J98:N98)</f>
        <v>30000</v>
      </c>
      <c r="J98" s="625"/>
      <c r="K98" s="625"/>
      <c r="L98" s="625">
        <v>30000</v>
      </c>
      <c r="M98" s="625"/>
      <c r="N98" s="626"/>
    </row>
    <row r="99" spans="1:16" s="3" customFormat="1" ht="22.5" customHeight="1">
      <c r="A99" s="351">
        <v>92</v>
      </c>
      <c r="B99" s="126"/>
      <c r="C99" s="127">
        <v>39</v>
      </c>
      <c r="D99" s="347" t="s">
        <v>715</v>
      </c>
      <c r="E99" s="129">
        <v>1829</v>
      </c>
      <c r="F99" s="129">
        <v>1250</v>
      </c>
      <c r="G99" s="130">
        <v>1546</v>
      </c>
      <c r="H99" s="353" t="s">
        <v>23</v>
      </c>
      <c r="I99" s="789"/>
      <c r="J99" s="790"/>
      <c r="K99" s="790"/>
      <c r="L99" s="790"/>
      <c r="M99" s="790"/>
      <c r="N99" s="791"/>
      <c r="O99" s="8"/>
      <c r="P99" s="8"/>
    </row>
    <row r="100" spans="1:14" s="635" customFormat="1" ht="18" customHeight="1">
      <c r="A100" s="351">
        <v>93</v>
      </c>
      <c r="B100" s="629"/>
      <c r="C100" s="630"/>
      <c r="D100" s="631" t="s">
        <v>283</v>
      </c>
      <c r="E100" s="632"/>
      <c r="F100" s="632"/>
      <c r="G100" s="633"/>
      <c r="H100" s="634"/>
      <c r="I100" s="624">
        <f>SUM(J100:N100)</f>
        <v>1000</v>
      </c>
      <c r="J100" s="625"/>
      <c r="K100" s="625"/>
      <c r="L100" s="625">
        <v>1000</v>
      </c>
      <c r="M100" s="625"/>
      <c r="N100" s="626"/>
    </row>
    <row r="101" spans="1:14" s="635" customFormat="1" ht="22.5" customHeight="1">
      <c r="A101" s="351">
        <v>94</v>
      </c>
      <c r="B101" s="629"/>
      <c r="C101" s="127">
        <v>40</v>
      </c>
      <c r="D101" s="347" t="s">
        <v>523</v>
      </c>
      <c r="E101" s="632"/>
      <c r="F101" s="137">
        <v>50000</v>
      </c>
      <c r="G101" s="633"/>
      <c r="H101" s="353" t="s">
        <v>24</v>
      </c>
      <c r="I101" s="624"/>
      <c r="J101" s="625"/>
      <c r="K101" s="625"/>
      <c r="L101" s="625"/>
      <c r="M101" s="625"/>
      <c r="N101" s="626"/>
    </row>
    <row r="102" spans="1:14" s="635" customFormat="1" ht="22.5" customHeight="1">
      <c r="A102" s="351">
        <v>95</v>
      </c>
      <c r="B102" s="629"/>
      <c r="C102" s="127">
        <v>41</v>
      </c>
      <c r="D102" s="347" t="s">
        <v>524</v>
      </c>
      <c r="E102" s="632"/>
      <c r="F102" s="137">
        <v>3200</v>
      </c>
      <c r="G102" s="633"/>
      <c r="H102" s="353" t="s">
        <v>24</v>
      </c>
      <c r="I102" s="624"/>
      <c r="J102" s="625"/>
      <c r="K102" s="625"/>
      <c r="L102" s="625"/>
      <c r="M102" s="625"/>
      <c r="N102" s="626"/>
    </row>
    <row r="103" spans="1:16" s="1384" customFormat="1" ht="22.5" customHeight="1">
      <c r="A103" s="351">
        <v>96</v>
      </c>
      <c r="B103" s="348"/>
      <c r="C103" s="127">
        <v>42</v>
      </c>
      <c r="D103" s="347" t="s">
        <v>11</v>
      </c>
      <c r="E103" s="129">
        <v>38100</v>
      </c>
      <c r="F103" s="129">
        <v>9525</v>
      </c>
      <c r="G103" s="130">
        <v>9525</v>
      </c>
      <c r="H103" s="353" t="s">
        <v>24</v>
      </c>
      <c r="I103" s="789"/>
      <c r="J103" s="790"/>
      <c r="K103" s="790"/>
      <c r="L103" s="790"/>
      <c r="M103" s="790"/>
      <c r="N103" s="791"/>
      <c r="O103" s="1385"/>
      <c r="P103" s="1385"/>
    </row>
    <row r="104" spans="1:14" s="635" customFormat="1" ht="18" customHeight="1">
      <c r="A104" s="351">
        <v>97</v>
      </c>
      <c r="B104" s="629"/>
      <c r="C104" s="630"/>
      <c r="D104" s="631" t="s">
        <v>283</v>
      </c>
      <c r="E104" s="632"/>
      <c r="F104" s="632"/>
      <c r="G104" s="633"/>
      <c r="H104" s="634"/>
      <c r="I104" s="624">
        <f>SUM(J104:N104)</f>
        <v>29450</v>
      </c>
      <c r="J104" s="625"/>
      <c r="K104" s="625"/>
      <c r="L104" s="625">
        <v>29450</v>
      </c>
      <c r="M104" s="625"/>
      <c r="N104" s="626"/>
    </row>
    <row r="105" spans="1:16" s="1384" customFormat="1" ht="22.5" customHeight="1">
      <c r="A105" s="351">
        <v>98</v>
      </c>
      <c r="B105" s="348"/>
      <c r="C105" s="127">
        <v>43</v>
      </c>
      <c r="D105" s="347" t="s">
        <v>66</v>
      </c>
      <c r="E105" s="129">
        <v>1624</v>
      </c>
      <c r="F105" s="129">
        <v>5000</v>
      </c>
      <c r="G105" s="130">
        <v>7426</v>
      </c>
      <c r="H105" s="353" t="s">
        <v>24</v>
      </c>
      <c r="I105" s="789"/>
      <c r="J105" s="790"/>
      <c r="K105" s="790"/>
      <c r="L105" s="790"/>
      <c r="M105" s="790"/>
      <c r="N105" s="791"/>
      <c r="O105" s="1385"/>
      <c r="P105" s="1385"/>
    </row>
    <row r="106" spans="1:14" s="635" customFormat="1" ht="18" customHeight="1">
      <c r="A106" s="351">
        <v>99</v>
      </c>
      <c r="B106" s="629"/>
      <c r="C106" s="630"/>
      <c r="D106" s="631" t="s">
        <v>283</v>
      </c>
      <c r="E106" s="632"/>
      <c r="F106" s="632"/>
      <c r="G106" s="633"/>
      <c r="H106" s="634"/>
      <c r="I106" s="624">
        <f>SUM(J106:N106)</f>
        <v>5000</v>
      </c>
      <c r="J106" s="625"/>
      <c r="K106" s="625"/>
      <c r="L106" s="625">
        <v>5000</v>
      </c>
      <c r="M106" s="625"/>
      <c r="N106" s="626"/>
    </row>
    <row r="107" spans="1:16" s="1384" customFormat="1" ht="22.5" customHeight="1">
      <c r="A107" s="351">
        <v>100</v>
      </c>
      <c r="B107" s="348"/>
      <c r="C107" s="127">
        <v>44</v>
      </c>
      <c r="D107" s="347" t="s">
        <v>67</v>
      </c>
      <c r="E107" s="129">
        <f>SUM(E109,E111,E112,E113)</f>
        <v>0</v>
      </c>
      <c r="F107" s="129">
        <f>SUM(F109,F111,F112,F113)</f>
        <v>3100</v>
      </c>
      <c r="G107" s="130">
        <f>SUM(G109,G111,G112,G113)</f>
        <v>600</v>
      </c>
      <c r="H107" s="353" t="s">
        <v>24</v>
      </c>
      <c r="I107" s="789"/>
      <c r="J107" s="790"/>
      <c r="K107" s="790"/>
      <c r="L107" s="790"/>
      <c r="M107" s="790"/>
      <c r="N107" s="791"/>
      <c r="O107" s="1385"/>
      <c r="P107" s="1385"/>
    </row>
    <row r="108" spans="1:14" s="635" customFormat="1" ht="18" customHeight="1">
      <c r="A108" s="351">
        <v>101</v>
      </c>
      <c r="B108" s="629"/>
      <c r="C108" s="630"/>
      <c r="D108" s="631" t="s">
        <v>283</v>
      </c>
      <c r="E108" s="632"/>
      <c r="F108" s="632"/>
      <c r="G108" s="633"/>
      <c r="H108" s="634"/>
      <c r="I108" s="624">
        <f>SUM(J108:N108)</f>
        <v>3100</v>
      </c>
      <c r="J108" s="628">
        <f>SUM(J110,J114)</f>
        <v>0</v>
      </c>
      <c r="K108" s="628">
        <f>SUM(K110,K114)</f>
        <v>0</v>
      </c>
      <c r="L108" s="628">
        <f>SUM(L110,L114)</f>
        <v>0</v>
      </c>
      <c r="M108" s="628">
        <f>SUM(M110,M114)</f>
        <v>0</v>
      </c>
      <c r="N108" s="824">
        <f>SUM(N110,N114)</f>
        <v>3100</v>
      </c>
    </row>
    <row r="109" spans="1:16" s="368" customFormat="1" ht="18" customHeight="1">
      <c r="A109" s="351">
        <v>102</v>
      </c>
      <c r="B109" s="136"/>
      <c r="C109" s="132"/>
      <c r="D109" s="281" t="s">
        <v>68</v>
      </c>
      <c r="E109" s="129">
        <v>0</v>
      </c>
      <c r="F109" s="137">
        <v>2500</v>
      </c>
      <c r="G109" s="138"/>
      <c r="H109" s="354"/>
      <c r="I109" s="627"/>
      <c r="J109" s="790"/>
      <c r="K109" s="790"/>
      <c r="L109" s="790"/>
      <c r="M109" s="790"/>
      <c r="N109" s="788"/>
      <c r="P109" s="369"/>
    </row>
    <row r="110" spans="1:16" s="654" customFormat="1" ht="18" customHeight="1">
      <c r="A110" s="351">
        <v>103</v>
      </c>
      <c r="B110" s="642"/>
      <c r="C110" s="630"/>
      <c r="D110" s="652" t="s">
        <v>283</v>
      </c>
      <c r="E110" s="632"/>
      <c r="F110" s="644"/>
      <c r="G110" s="645"/>
      <c r="H110" s="646"/>
      <c r="I110" s="627">
        <f>SUM(J110:N110)</f>
        <v>2500</v>
      </c>
      <c r="J110" s="647"/>
      <c r="K110" s="647"/>
      <c r="L110" s="647"/>
      <c r="M110" s="647"/>
      <c r="N110" s="648">
        <v>2500</v>
      </c>
      <c r="P110" s="655"/>
    </row>
    <row r="111" spans="1:16" s="368" customFormat="1" ht="18" customHeight="1">
      <c r="A111" s="351">
        <v>104</v>
      </c>
      <c r="B111" s="136"/>
      <c r="C111" s="132"/>
      <c r="D111" s="281" t="s">
        <v>69</v>
      </c>
      <c r="E111" s="137">
        <v>0</v>
      </c>
      <c r="F111" s="137">
        <v>0</v>
      </c>
      <c r="G111" s="138">
        <v>0</v>
      </c>
      <c r="H111" s="354"/>
      <c r="I111" s="789"/>
      <c r="J111" s="790"/>
      <c r="K111" s="790"/>
      <c r="L111" s="790"/>
      <c r="M111" s="790"/>
      <c r="N111" s="791"/>
      <c r="P111" s="369"/>
    </row>
    <row r="112" spans="1:16" s="368" customFormat="1" ht="18" customHeight="1">
      <c r="A112" s="351">
        <v>105</v>
      </c>
      <c r="B112" s="136"/>
      <c r="C112" s="132"/>
      <c r="D112" s="281" t="s">
        <v>469</v>
      </c>
      <c r="E112" s="137">
        <v>0</v>
      </c>
      <c r="F112" s="137">
        <v>0</v>
      </c>
      <c r="G112" s="138">
        <v>0</v>
      </c>
      <c r="H112" s="354"/>
      <c r="I112" s="789"/>
      <c r="J112" s="790"/>
      <c r="K112" s="790"/>
      <c r="L112" s="790"/>
      <c r="M112" s="790"/>
      <c r="N112" s="791"/>
      <c r="P112" s="369"/>
    </row>
    <row r="113" spans="1:16" s="368" customFormat="1" ht="18" customHeight="1">
      <c r="A113" s="351">
        <v>106</v>
      </c>
      <c r="B113" s="136"/>
      <c r="C113" s="132"/>
      <c r="D113" s="281" t="s">
        <v>470</v>
      </c>
      <c r="E113" s="137">
        <v>0</v>
      </c>
      <c r="F113" s="137">
        <v>600</v>
      </c>
      <c r="G113" s="138">
        <v>600</v>
      </c>
      <c r="H113" s="354"/>
      <c r="I113" s="789"/>
      <c r="J113" s="790"/>
      <c r="K113" s="790"/>
      <c r="L113" s="790"/>
      <c r="M113" s="790"/>
      <c r="N113" s="791"/>
      <c r="P113" s="369"/>
    </row>
    <row r="114" spans="1:16" s="654" customFormat="1" ht="18" customHeight="1">
      <c r="A114" s="351">
        <v>107</v>
      </c>
      <c r="B114" s="642"/>
      <c r="C114" s="630"/>
      <c r="D114" s="652" t="s">
        <v>283</v>
      </c>
      <c r="E114" s="632"/>
      <c r="F114" s="644"/>
      <c r="G114" s="645"/>
      <c r="H114" s="646"/>
      <c r="I114" s="627">
        <f>SUM(J114:N114)</f>
        <v>600</v>
      </c>
      <c r="J114" s="647"/>
      <c r="K114" s="647"/>
      <c r="L114" s="647"/>
      <c r="M114" s="647"/>
      <c r="N114" s="648">
        <v>600</v>
      </c>
      <c r="P114" s="655"/>
    </row>
    <row r="115" spans="1:16" s="1384" customFormat="1" ht="22.5" customHeight="1">
      <c r="A115" s="351">
        <v>108</v>
      </c>
      <c r="B115" s="348"/>
      <c r="C115" s="127">
        <v>45</v>
      </c>
      <c r="D115" s="347" t="s">
        <v>326</v>
      </c>
      <c r="E115" s="129">
        <f>SUM(E117,E119,E121,E122)</f>
        <v>5555</v>
      </c>
      <c r="F115" s="129">
        <f>SUM(F117,F119,F121,F122)</f>
        <v>4200</v>
      </c>
      <c r="G115" s="130">
        <f>SUM(G117,G119,G121,G122)</f>
        <v>3700</v>
      </c>
      <c r="H115" s="353" t="s">
        <v>24</v>
      </c>
      <c r="I115" s="789"/>
      <c r="J115" s="790"/>
      <c r="K115" s="790"/>
      <c r="L115" s="790"/>
      <c r="M115" s="790"/>
      <c r="N115" s="791"/>
      <c r="O115" s="1385"/>
      <c r="P115" s="1385"/>
    </row>
    <row r="116" spans="1:14" s="635" customFormat="1" ht="18" customHeight="1">
      <c r="A116" s="351">
        <v>109</v>
      </c>
      <c r="B116" s="629"/>
      <c r="C116" s="630"/>
      <c r="D116" s="631" t="s">
        <v>283</v>
      </c>
      <c r="E116" s="632"/>
      <c r="F116" s="632"/>
      <c r="G116" s="633"/>
      <c r="H116" s="634"/>
      <c r="I116" s="624">
        <f>SUM(J116:N116)</f>
        <v>7200</v>
      </c>
      <c r="J116" s="628">
        <f>SUM(J120,J123,J118)</f>
        <v>0</v>
      </c>
      <c r="K116" s="628">
        <f>SUM(K120,K123,K118)</f>
        <v>0</v>
      </c>
      <c r="L116" s="628">
        <f>SUM(L120,L123,L118)</f>
        <v>100</v>
      </c>
      <c r="M116" s="628">
        <f>SUM(M120,M123,M118)</f>
        <v>0</v>
      </c>
      <c r="N116" s="824">
        <f>SUM(N120,N123,N118)</f>
        <v>7100</v>
      </c>
    </row>
    <row r="117" spans="1:16" s="368" customFormat="1" ht="18" customHeight="1">
      <c r="A117" s="351">
        <v>110</v>
      </c>
      <c r="B117" s="136"/>
      <c r="C117" s="132"/>
      <c r="D117" s="281" t="s">
        <v>259</v>
      </c>
      <c r="E117" s="137">
        <v>0</v>
      </c>
      <c r="F117" s="137"/>
      <c r="G117" s="138">
        <v>2000</v>
      </c>
      <c r="H117" s="354"/>
      <c r="I117" s="627"/>
      <c r="J117" s="787"/>
      <c r="K117" s="787"/>
      <c r="L117" s="787"/>
      <c r="M117" s="787"/>
      <c r="N117" s="788"/>
      <c r="P117" s="369"/>
    </row>
    <row r="118" spans="1:16" s="368" customFormat="1" ht="18" customHeight="1">
      <c r="A118" s="351">
        <v>111</v>
      </c>
      <c r="B118" s="136"/>
      <c r="C118" s="132"/>
      <c r="D118" s="652" t="s">
        <v>283</v>
      </c>
      <c r="E118" s="137"/>
      <c r="F118" s="137"/>
      <c r="G118" s="138"/>
      <c r="H118" s="354"/>
      <c r="I118" s="627">
        <f>SUM(J118:N118)</f>
        <v>3000</v>
      </c>
      <c r="J118" s="787"/>
      <c r="K118" s="787"/>
      <c r="L118" s="787"/>
      <c r="M118" s="787"/>
      <c r="N118" s="788">
        <v>3000</v>
      </c>
      <c r="P118" s="369"/>
    </row>
    <row r="119" spans="1:16" s="368" customFormat="1" ht="18" customHeight="1">
      <c r="A119" s="351">
        <v>112</v>
      </c>
      <c r="B119" s="136"/>
      <c r="C119" s="132"/>
      <c r="D119" s="281" t="s">
        <v>307</v>
      </c>
      <c r="E119" s="137">
        <v>5555</v>
      </c>
      <c r="F119" s="137">
        <v>2500</v>
      </c>
      <c r="G119" s="138">
        <v>0</v>
      </c>
      <c r="H119" s="354"/>
      <c r="I119" s="627"/>
      <c r="J119" s="790"/>
      <c r="K119" s="790"/>
      <c r="L119" s="790"/>
      <c r="M119" s="790"/>
      <c r="N119" s="791"/>
      <c r="P119" s="369"/>
    </row>
    <row r="120" spans="1:16" s="654" customFormat="1" ht="18" customHeight="1">
      <c r="A120" s="351">
        <v>113</v>
      </c>
      <c r="B120" s="642"/>
      <c r="C120" s="630"/>
      <c r="D120" s="652" t="s">
        <v>283</v>
      </c>
      <c r="E120" s="644"/>
      <c r="F120" s="644"/>
      <c r="G120" s="645"/>
      <c r="H120" s="646"/>
      <c r="I120" s="627">
        <f>SUM(J120:N120)</f>
        <v>2500</v>
      </c>
      <c r="J120" s="647"/>
      <c r="K120" s="647"/>
      <c r="L120" s="647"/>
      <c r="M120" s="647"/>
      <c r="N120" s="788">
        <v>2500</v>
      </c>
      <c r="P120" s="655"/>
    </row>
    <row r="121" spans="1:16" s="368" customFormat="1" ht="18" customHeight="1">
      <c r="A121" s="351">
        <v>114</v>
      </c>
      <c r="B121" s="136"/>
      <c r="C121" s="132"/>
      <c r="D121" s="281" t="s">
        <v>261</v>
      </c>
      <c r="E121" s="137">
        <v>0</v>
      </c>
      <c r="F121" s="137">
        <v>0</v>
      </c>
      <c r="G121" s="138">
        <v>0</v>
      </c>
      <c r="H121" s="354"/>
      <c r="I121" s="627"/>
      <c r="J121" s="790"/>
      <c r="K121" s="790"/>
      <c r="L121" s="790"/>
      <c r="M121" s="790"/>
      <c r="N121" s="791"/>
      <c r="P121" s="369"/>
    </row>
    <row r="122" spans="1:16" s="368" customFormat="1" ht="18" customHeight="1">
      <c r="A122" s="351">
        <v>115</v>
      </c>
      <c r="B122" s="136"/>
      <c r="C122" s="132"/>
      <c r="D122" s="281" t="s">
        <v>260</v>
      </c>
      <c r="E122" s="137">
        <v>0</v>
      </c>
      <c r="F122" s="137">
        <v>1700</v>
      </c>
      <c r="G122" s="138">
        <v>1700</v>
      </c>
      <c r="H122" s="354"/>
      <c r="I122" s="627"/>
      <c r="J122" s="790"/>
      <c r="K122" s="790"/>
      <c r="L122" s="790"/>
      <c r="M122" s="790"/>
      <c r="N122" s="791"/>
      <c r="P122" s="369"/>
    </row>
    <row r="123" spans="1:16" s="654" customFormat="1" ht="18" customHeight="1">
      <c r="A123" s="351">
        <v>116</v>
      </c>
      <c r="B123" s="642"/>
      <c r="C123" s="630"/>
      <c r="D123" s="652" t="s">
        <v>283</v>
      </c>
      <c r="E123" s="632"/>
      <c r="F123" s="644"/>
      <c r="G123" s="645"/>
      <c r="H123" s="646"/>
      <c r="I123" s="627">
        <f>SUM(J123:N123)</f>
        <v>1700</v>
      </c>
      <c r="J123" s="647"/>
      <c r="K123" s="647"/>
      <c r="L123" s="647">
        <v>100</v>
      </c>
      <c r="M123" s="647"/>
      <c r="N123" s="648">
        <v>1600</v>
      </c>
      <c r="P123" s="655"/>
    </row>
    <row r="124" spans="1:16" s="123" customFormat="1" ht="22.5" customHeight="1">
      <c r="A124" s="351">
        <v>117</v>
      </c>
      <c r="B124" s="349"/>
      <c r="C124" s="127">
        <v>46</v>
      </c>
      <c r="D124" s="347" t="s">
        <v>355</v>
      </c>
      <c r="E124" s="129">
        <v>0</v>
      </c>
      <c r="F124" s="137">
        <v>5000</v>
      </c>
      <c r="G124" s="138">
        <v>5000</v>
      </c>
      <c r="H124" s="353" t="s">
        <v>24</v>
      </c>
      <c r="I124" s="627"/>
      <c r="J124" s="787"/>
      <c r="K124" s="787"/>
      <c r="L124" s="787"/>
      <c r="M124" s="787"/>
      <c r="N124" s="788"/>
      <c r="P124" s="1385"/>
    </row>
    <row r="125" spans="1:16" s="649" customFormat="1" ht="18" customHeight="1">
      <c r="A125" s="351">
        <v>118</v>
      </c>
      <c r="B125" s="642"/>
      <c r="C125" s="630"/>
      <c r="D125" s="631" t="s">
        <v>283</v>
      </c>
      <c r="E125" s="632"/>
      <c r="F125" s="644"/>
      <c r="G125" s="645"/>
      <c r="H125" s="646"/>
      <c r="I125" s="624">
        <f>SUM(J125:N125)</f>
        <v>3000</v>
      </c>
      <c r="J125" s="647"/>
      <c r="K125" s="647"/>
      <c r="L125" s="647"/>
      <c r="M125" s="647"/>
      <c r="N125" s="648">
        <v>3000</v>
      </c>
      <c r="P125" s="635"/>
    </row>
    <row r="126" spans="1:16" s="1384" customFormat="1" ht="22.5" customHeight="1">
      <c r="A126" s="351">
        <v>119</v>
      </c>
      <c r="B126" s="348"/>
      <c r="C126" s="127">
        <v>47</v>
      </c>
      <c r="D126" s="347" t="s">
        <v>327</v>
      </c>
      <c r="E126" s="129">
        <v>829</v>
      </c>
      <c r="F126" s="129">
        <v>1000</v>
      </c>
      <c r="G126" s="130">
        <v>1000</v>
      </c>
      <c r="H126" s="353" t="s">
        <v>23</v>
      </c>
      <c r="I126" s="627"/>
      <c r="J126" s="790"/>
      <c r="K126" s="790"/>
      <c r="L126" s="790"/>
      <c r="M126" s="790"/>
      <c r="N126" s="791"/>
      <c r="O126" s="1385"/>
      <c r="P126" s="1385"/>
    </row>
    <row r="127" spans="1:14" s="635" customFormat="1" ht="18" customHeight="1">
      <c r="A127" s="351">
        <v>120</v>
      </c>
      <c r="B127" s="629"/>
      <c r="C127" s="630"/>
      <c r="D127" s="631" t="s">
        <v>283</v>
      </c>
      <c r="E127" s="632"/>
      <c r="F127" s="632"/>
      <c r="G127" s="633"/>
      <c r="H127" s="634"/>
      <c r="I127" s="624">
        <f>SUM(J127:N127)</f>
        <v>1000</v>
      </c>
      <c r="J127" s="625"/>
      <c r="K127" s="625"/>
      <c r="L127" s="625"/>
      <c r="M127" s="625">
        <v>1000</v>
      </c>
      <c r="N127" s="626"/>
    </row>
    <row r="128" spans="1:16" s="1384" customFormat="1" ht="22.5" customHeight="1">
      <c r="A128" s="351">
        <v>121</v>
      </c>
      <c r="B128" s="348"/>
      <c r="C128" s="127">
        <v>48</v>
      </c>
      <c r="D128" s="347" t="s">
        <v>262</v>
      </c>
      <c r="E128" s="129">
        <v>0</v>
      </c>
      <c r="F128" s="129">
        <v>100</v>
      </c>
      <c r="G128" s="130">
        <v>100</v>
      </c>
      <c r="H128" s="353" t="s">
        <v>23</v>
      </c>
      <c r="I128" s="624"/>
      <c r="J128" s="779"/>
      <c r="K128" s="779"/>
      <c r="L128" s="779"/>
      <c r="M128" s="779"/>
      <c r="N128" s="780"/>
      <c r="P128" s="1385"/>
    </row>
    <row r="129" spans="1:14" s="635" customFormat="1" ht="18" customHeight="1">
      <c r="A129" s="351">
        <v>122</v>
      </c>
      <c r="B129" s="629"/>
      <c r="C129" s="630"/>
      <c r="D129" s="631" t="s">
        <v>283</v>
      </c>
      <c r="E129" s="632"/>
      <c r="F129" s="632"/>
      <c r="G129" s="633"/>
      <c r="H129" s="634"/>
      <c r="I129" s="624">
        <f>SUM(J129:N129)</f>
        <v>100</v>
      </c>
      <c r="J129" s="625"/>
      <c r="K129" s="625"/>
      <c r="L129" s="625"/>
      <c r="M129" s="625">
        <v>100</v>
      </c>
      <c r="N129" s="626"/>
    </row>
    <row r="130" spans="1:14" s="1385" customFormat="1" ht="22.5" customHeight="1">
      <c r="A130" s="351">
        <v>123</v>
      </c>
      <c r="B130" s="345"/>
      <c r="C130" s="127">
        <v>49</v>
      </c>
      <c r="D130" s="346" t="s">
        <v>328</v>
      </c>
      <c r="E130" s="129">
        <v>0</v>
      </c>
      <c r="F130" s="129">
        <v>85</v>
      </c>
      <c r="G130" s="130">
        <v>85</v>
      </c>
      <c r="H130" s="355" t="s">
        <v>23</v>
      </c>
      <c r="I130" s="624"/>
      <c r="J130" s="779"/>
      <c r="K130" s="779"/>
      <c r="L130" s="779"/>
      <c r="M130" s="779"/>
      <c r="N130" s="780"/>
    </row>
    <row r="131" spans="1:14" s="635" customFormat="1" ht="18" customHeight="1">
      <c r="A131" s="351">
        <v>124</v>
      </c>
      <c r="B131" s="629"/>
      <c r="C131" s="630"/>
      <c r="D131" s="631" t="s">
        <v>283</v>
      </c>
      <c r="E131" s="632"/>
      <c r="F131" s="632"/>
      <c r="G131" s="633"/>
      <c r="H131" s="638"/>
      <c r="I131" s="624">
        <f>SUM(J131:N131)</f>
        <v>85</v>
      </c>
      <c r="J131" s="625"/>
      <c r="K131" s="625"/>
      <c r="L131" s="625">
        <v>85</v>
      </c>
      <c r="M131" s="625"/>
      <c r="N131" s="626"/>
    </row>
    <row r="132" spans="1:16" s="1384" customFormat="1" ht="22.5" customHeight="1">
      <c r="A132" s="351">
        <v>125</v>
      </c>
      <c r="B132" s="348"/>
      <c r="C132" s="127">
        <v>50</v>
      </c>
      <c r="D132" s="347" t="s">
        <v>263</v>
      </c>
      <c r="E132" s="129">
        <f>SUM(E134,E140,E142,E144,E146,E148,E150,E152)+E138+E136</f>
        <v>14479</v>
      </c>
      <c r="F132" s="129">
        <f>SUM(F134,F140,F142,F144,F146,F148,F150,F152)+F138+F136</f>
        <v>30260</v>
      </c>
      <c r="G132" s="129">
        <f>SUM(G134,G140,G142,G144,G146,G148,G150,G152)+G138+G136</f>
        <v>36968</v>
      </c>
      <c r="H132" s="353"/>
      <c r="I132" s="784"/>
      <c r="J132" s="785"/>
      <c r="K132" s="785"/>
      <c r="L132" s="785"/>
      <c r="M132" s="785"/>
      <c r="N132" s="786"/>
      <c r="O132" s="1385"/>
      <c r="P132" s="1385"/>
    </row>
    <row r="133" spans="1:14" s="635" customFormat="1" ht="18" customHeight="1">
      <c r="A133" s="351">
        <v>126</v>
      </c>
      <c r="B133" s="629"/>
      <c r="C133" s="630"/>
      <c r="D133" s="631" t="s">
        <v>283</v>
      </c>
      <c r="E133" s="632"/>
      <c r="F133" s="632"/>
      <c r="G133" s="633"/>
      <c r="H133" s="634"/>
      <c r="I133" s="624">
        <f>SUM(J133:N133)</f>
        <v>33010</v>
      </c>
      <c r="J133" s="625">
        <f>SUM(J135,J141,J143,J145,J147,J149,J151,J153)+J137+J139</f>
        <v>0</v>
      </c>
      <c r="K133" s="625">
        <f>SUM(K135,K141,K143,K145,K147,K149,K151,K153)+K137+K139</f>
        <v>0</v>
      </c>
      <c r="L133" s="625">
        <f>SUM(L135,L141,L143,L145,L147,L149,L151,L153)+L137+L139</f>
        <v>0</v>
      </c>
      <c r="M133" s="625">
        <f>SUM(M135,M141,M143,M145,M147,M149,M151,M153)+M137+M139</f>
        <v>33010</v>
      </c>
      <c r="N133" s="626">
        <f>SUM(N135,N141,N143,N145,N147,N149,N151,N153)+N137+N139</f>
        <v>0</v>
      </c>
    </row>
    <row r="134" spans="1:16" s="368" customFormat="1" ht="18" customHeight="1">
      <c r="A134" s="351">
        <v>127</v>
      </c>
      <c r="B134" s="136"/>
      <c r="C134" s="132"/>
      <c r="D134" s="281" t="s">
        <v>267</v>
      </c>
      <c r="E134" s="137">
        <v>2152</v>
      </c>
      <c r="F134" s="137">
        <v>2500</v>
      </c>
      <c r="G134" s="138">
        <v>4508</v>
      </c>
      <c r="H134" s="354" t="s">
        <v>23</v>
      </c>
      <c r="I134" s="627"/>
      <c r="J134" s="787"/>
      <c r="K134" s="787"/>
      <c r="L134" s="787"/>
      <c r="M134" s="787"/>
      <c r="N134" s="788"/>
      <c r="P134" s="369"/>
    </row>
    <row r="135" spans="1:16" s="654" customFormat="1" ht="18" customHeight="1">
      <c r="A135" s="351">
        <v>128</v>
      </c>
      <c r="B135" s="642"/>
      <c r="C135" s="630"/>
      <c r="D135" s="652" t="s">
        <v>283</v>
      </c>
      <c r="E135" s="644"/>
      <c r="F135" s="644"/>
      <c r="G135" s="645"/>
      <c r="H135" s="646"/>
      <c r="I135" s="627">
        <f>SUM(J135:N135)</f>
        <v>3000</v>
      </c>
      <c r="J135" s="647"/>
      <c r="K135" s="647"/>
      <c r="L135" s="647"/>
      <c r="M135" s="647">
        <v>3000</v>
      </c>
      <c r="N135" s="648"/>
      <c r="P135" s="655"/>
    </row>
    <row r="136" spans="1:16" s="654" customFormat="1" ht="18" customHeight="1">
      <c r="A136" s="351">
        <v>129</v>
      </c>
      <c r="B136" s="642"/>
      <c r="C136" s="630"/>
      <c r="D136" s="282" t="s">
        <v>525</v>
      </c>
      <c r="E136" s="644">
        <v>3180</v>
      </c>
      <c r="F136" s="137">
        <v>13500</v>
      </c>
      <c r="G136" s="138">
        <v>18820</v>
      </c>
      <c r="H136" s="354" t="s">
        <v>24</v>
      </c>
      <c r="I136" s="627"/>
      <c r="J136" s="647"/>
      <c r="K136" s="647"/>
      <c r="L136" s="647"/>
      <c r="M136" s="647"/>
      <c r="N136" s="648"/>
      <c r="P136" s="655"/>
    </row>
    <row r="137" spans="1:16" s="654" customFormat="1" ht="18" customHeight="1">
      <c r="A137" s="351">
        <v>130</v>
      </c>
      <c r="B137" s="642"/>
      <c r="C137" s="630"/>
      <c r="D137" s="652" t="s">
        <v>283</v>
      </c>
      <c r="E137" s="644"/>
      <c r="F137" s="644"/>
      <c r="G137" s="645"/>
      <c r="H137" s="646"/>
      <c r="I137" s="627">
        <f>SUM(J137:N137)</f>
        <v>13500</v>
      </c>
      <c r="J137" s="647"/>
      <c r="K137" s="647"/>
      <c r="L137" s="647"/>
      <c r="M137" s="647">
        <v>13500</v>
      </c>
      <c r="N137" s="648"/>
      <c r="P137" s="655"/>
    </row>
    <row r="138" spans="1:16" s="368" customFormat="1" ht="18" customHeight="1">
      <c r="A138" s="351">
        <v>131</v>
      </c>
      <c r="B138" s="136"/>
      <c r="C138" s="132"/>
      <c r="D138" s="282" t="s">
        <v>401</v>
      </c>
      <c r="E138" s="137">
        <v>256</v>
      </c>
      <c r="F138" s="137">
        <v>1500</v>
      </c>
      <c r="G138" s="138">
        <v>1269</v>
      </c>
      <c r="H138" s="354" t="s">
        <v>24</v>
      </c>
      <c r="I138" s="627"/>
      <c r="J138" s="787"/>
      <c r="K138" s="787"/>
      <c r="L138" s="787"/>
      <c r="M138" s="787"/>
      <c r="N138" s="788"/>
      <c r="P138" s="369"/>
    </row>
    <row r="139" spans="1:16" s="654" customFormat="1" ht="18" customHeight="1">
      <c r="A139" s="351">
        <v>132</v>
      </c>
      <c r="B139" s="642"/>
      <c r="C139" s="630"/>
      <c r="D139" s="652" t="s">
        <v>283</v>
      </c>
      <c r="E139" s="644"/>
      <c r="F139" s="644"/>
      <c r="G139" s="645"/>
      <c r="H139" s="646"/>
      <c r="I139" s="627">
        <f>SUM(J139:N139)</f>
        <v>3000</v>
      </c>
      <c r="J139" s="647"/>
      <c r="K139" s="647"/>
      <c r="L139" s="647"/>
      <c r="M139" s="647">
        <v>3000</v>
      </c>
      <c r="N139" s="648"/>
      <c r="P139" s="655"/>
    </row>
    <row r="140" spans="1:16" s="368" customFormat="1" ht="18" customHeight="1">
      <c r="A140" s="351">
        <v>133</v>
      </c>
      <c r="B140" s="136"/>
      <c r="C140" s="132"/>
      <c r="D140" s="282" t="s">
        <v>329</v>
      </c>
      <c r="E140" s="137">
        <v>6639</v>
      </c>
      <c r="F140" s="137">
        <v>8000</v>
      </c>
      <c r="G140" s="138">
        <v>7611</v>
      </c>
      <c r="H140" s="354" t="s">
        <v>24</v>
      </c>
      <c r="I140" s="789"/>
      <c r="J140" s="790"/>
      <c r="K140" s="790"/>
      <c r="L140" s="790"/>
      <c r="M140" s="790"/>
      <c r="N140" s="791"/>
      <c r="P140" s="369"/>
    </row>
    <row r="141" spans="1:16" s="654" customFormat="1" ht="18" customHeight="1">
      <c r="A141" s="351">
        <v>134</v>
      </c>
      <c r="B141" s="642"/>
      <c r="C141" s="630"/>
      <c r="D141" s="652" t="s">
        <v>283</v>
      </c>
      <c r="E141" s="644"/>
      <c r="F141" s="644"/>
      <c r="G141" s="645"/>
      <c r="H141" s="646"/>
      <c r="I141" s="627">
        <f>SUM(J141:N141)</f>
        <v>8000</v>
      </c>
      <c r="J141" s="647"/>
      <c r="K141" s="647"/>
      <c r="L141" s="647"/>
      <c r="M141" s="647">
        <v>8000</v>
      </c>
      <c r="N141" s="648"/>
      <c r="P141" s="655"/>
    </row>
    <row r="142" spans="1:16" s="368" customFormat="1" ht="18" customHeight="1">
      <c r="A142" s="351">
        <v>135</v>
      </c>
      <c r="B142" s="136"/>
      <c r="C142" s="132"/>
      <c r="D142" s="282" t="s">
        <v>330</v>
      </c>
      <c r="E142" s="137">
        <v>0</v>
      </c>
      <c r="F142" s="137">
        <v>100</v>
      </c>
      <c r="G142" s="138">
        <v>100</v>
      </c>
      <c r="H142" s="354" t="s">
        <v>24</v>
      </c>
      <c r="I142" s="789"/>
      <c r="J142" s="790"/>
      <c r="K142" s="790"/>
      <c r="L142" s="790"/>
      <c r="M142" s="790"/>
      <c r="N142" s="791"/>
      <c r="P142" s="369"/>
    </row>
    <row r="143" spans="1:16" s="654" customFormat="1" ht="18" customHeight="1">
      <c r="A143" s="351">
        <v>136</v>
      </c>
      <c r="B143" s="642"/>
      <c r="C143" s="630"/>
      <c r="D143" s="652" t="s">
        <v>283</v>
      </c>
      <c r="E143" s="644"/>
      <c r="F143" s="644"/>
      <c r="G143" s="645"/>
      <c r="H143" s="646"/>
      <c r="I143" s="627">
        <f>SUM(J143:N143)</f>
        <v>100</v>
      </c>
      <c r="J143" s="647"/>
      <c r="K143" s="647"/>
      <c r="L143" s="647"/>
      <c r="M143" s="647">
        <v>100</v>
      </c>
      <c r="N143" s="648"/>
      <c r="P143" s="655"/>
    </row>
    <row r="144" spans="1:16" s="368" customFormat="1" ht="18" customHeight="1">
      <c r="A144" s="351">
        <v>137</v>
      </c>
      <c r="B144" s="136"/>
      <c r="C144" s="132"/>
      <c r="D144" s="282" t="s">
        <v>331</v>
      </c>
      <c r="E144" s="137">
        <v>855</v>
      </c>
      <c r="F144" s="137">
        <v>2000</v>
      </c>
      <c r="G144" s="138">
        <v>2000</v>
      </c>
      <c r="H144" s="354" t="s">
        <v>24</v>
      </c>
      <c r="I144" s="789"/>
      <c r="J144" s="790"/>
      <c r="K144" s="790"/>
      <c r="L144" s="790"/>
      <c r="M144" s="790"/>
      <c r="N144" s="791"/>
      <c r="P144" s="369"/>
    </row>
    <row r="145" spans="1:16" s="654" customFormat="1" ht="18" customHeight="1">
      <c r="A145" s="351">
        <v>138</v>
      </c>
      <c r="B145" s="642"/>
      <c r="C145" s="630"/>
      <c r="D145" s="652" t="s">
        <v>283</v>
      </c>
      <c r="E145" s="644"/>
      <c r="F145" s="644"/>
      <c r="G145" s="645"/>
      <c r="H145" s="646"/>
      <c r="I145" s="627">
        <f>SUM(J145:N145)</f>
        <v>2000</v>
      </c>
      <c r="J145" s="647"/>
      <c r="K145" s="647"/>
      <c r="L145" s="647"/>
      <c r="M145" s="647">
        <v>2000</v>
      </c>
      <c r="N145" s="648"/>
      <c r="P145" s="655"/>
    </row>
    <row r="146" spans="1:16" s="368" customFormat="1" ht="18" customHeight="1">
      <c r="A146" s="351">
        <v>139</v>
      </c>
      <c r="B146" s="136"/>
      <c r="C146" s="132"/>
      <c r="D146" s="282" t="s">
        <v>332</v>
      </c>
      <c r="E146" s="137">
        <v>0</v>
      </c>
      <c r="F146" s="137">
        <v>50</v>
      </c>
      <c r="G146" s="138">
        <v>50</v>
      </c>
      <c r="H146" s="354" t="s">
        <v>24</v>
      </c>
      <c r="I146" s="789"/>
      <c r="J146" s="790"/>
      <c r="K146" s="790"/>
      <c r="L146" s="790"/>
      <c r="M146" s="790"/>
      <c r="N146" s="791"/>
      <c r="P146" s="369"/>
    </row>
    <row r="147" spans="1:16" s="654" customFormat="1" ht="18" customHeight="1">
      <c r="A147" s="351">
        <v>140</v>
      </c>
      <c r="B147" s="642"/>
      <c r="C147" s="630"/>
      <c r="D147" s="652" t="s">
        <v>283</v>
      </c>
      <c r="E147" s="644"/>
      <c r="F147" s="644"/>
      <c r="G147" s="645"/>
      <c r="H147" s="646"/>
      <c r="I147" s="627">
        <f>SUM(J147:N147)</f>
        <v>500</v>
      </c>
      <c r="J147" s="647"/>
      <c r="K147" s="647"/>
      <c r="L147" s="647"/>
      <c r="M147" s="647">
        <v>500</v>
      </c>
      <c r="N147" s="648"/>
      <c r="P147" s="655"/>
    </row>
    <row r="148" spans="1:16" s="368" customFormat="1" ht="18" customHeight="1">
      <c r="A148" s="351">
        <v>141</v>
      </c>
      <c r="B148" s="136"/>
      <c r="C148" s="132"/>
      <c r="D148" s="282" t="s">
        <v>333</v>
      </c>
      <c r="E148" s="137">
        <v>1365</v>
      </c>
      <c r="F148" s="137">
        <v>1700</v>
      </c>
      <c r="G148" s="138">
        <v>1700</v>
      </c>
      <c r="H148" s="354" t="s">
        <v>24</v>
      </c>
      <c r="I148" s="789"/>
      <c r="J148" s="790"/>
      <c r="K148" s="790"/>
      <c r="L148" s="790"/>
      <c r="M148" s="790"/>
      <c r="N148" s="791"/>
      <c r="P148" s="369"/>
    </row>
    <row r="149" spans="1:16" s="654" customFormat="1" ht="18" customHeight="1">
      <c r="A149" s="351">
        <v>142</v>
      </c>
      <c r="B149" s="642"/>
      <c r="C149" s="630"/>
      <c r="D149" s="652" t="s">
        <v>283</v>
      </c>
      <c r="E149" s="644"/>
      <c r="F149" s="644"/>
      <c r="G149" s="645"/>
      <c r="H149" s="646"/>
      <c r="I149" s="627">
        <f>SUM(J149:N149)</f>
        <v>2000</v>
      </c>
      <c r="J149" s="647"/>
      <c r="K149" s="647"/>
      <c r="L149" s="647"/>
      <c r="M149" s="647">
        <v>2000</v>
      </c>
      <c r="N149" s="648"/>
      <c r="P149" s="655"/>
    </row>
    <row r="150" spans="1:16" s="368" customFormat="1" ht="18" customHeight="1">
      <c r="A150" s="351">
        <v>143</v>
      </c>
      <c r="B150" s="136"/>
      <c r="C150" s="132"/>
      <c r="D150" s="282" t="s">
        <v>334</v>
      </c>
      <c r="E150" s="137">
        <v>0</v>
      </c>
      <c r="F150" s="137">
        <v>400</v>
      </c>
      <c r="G150" s="138">
        <v>400</v>
      </c>
      <c r="H150" s="354" t="s">
        <v>24</v>
      </c>
      <c r="I150" s="789"/>
      <c r="J150" s="790"/>
      <c r="K150" s="790"/>
      <c r="L150" s="790"/>
      <c r="M150" s="790"/>
      <c r="N150" s="791"/>
      <c r="P150" s="369"/>
    </row>
    <row r="151" spans="1:16" s="654" customFormat="1" ht="18" customHeight="1">
      <c r="A151" s="351">
        <v>144</v>
      </c>
      <c r="B151" s="642"/>
      <c r="C151" s="630"/>
      <c r="D151" s="652" t="s">
        <v>283</v>
      </c>
      <c r="E151" s="632"/>
      <c r="F151" s="644"/>
      <c r="G151" s="645"/>
      <c r="H151" s="646"/>
      <c r="I151" s="627">
        <f>SUM(J151:N151)</f>
        <v>400</v>
      </c>
      <c r="J151" s="647"/>
      <c r="K151" s="647"/>
      <c r="L151" s="647"/>
      <c r="M151" s="647">
        <v>400</v>
      </c>
      <c r="N151" s="648"/>
      <c r="P151" s="655"/>
    </row>
    <row r="152" spans="1:16" s="368" customFormat="1" ht="18" customHeight="1">
      <c r="A152" s="351">
        <v>145</v>
      </c>
      <c r="B152" s="136"/>
      <c r="C152" s="132"/>
      <c r="D152" s="282" t="s">
        <v>335</v>
      </c>
      <c r="E152" s="129">
        <v>32</v>
      </c>
      <c r="F152" s="137">
        <v>510</v>
      </c>
      <c r="G152" s="138">
        <v>510</v>
      </c>
      <c r="H152" s="354" t="s">
        <v>24</v>
      </c>
      <c r="I152" s="627"/>
      <c r="J152" s="787"/>
      <c r="K152" s="787"/>
      <c r="L152" s="787"/>
      <c r="M152" s="787"/>
      <c r="N152" s="788"/>
      <c r="P152" s="369"/>
    </row>
    <row r="153" spans="1:16" s="654" customFormat="1" ht="18" customHeight="1">
      <c r="A153" s="351">
        <v>146</v>
      </c>
      <c r="B153" s="642"/>
      <c r="C153" s="630"/>
      <c r="D153" s="652" t="s">
        <v>283</v>
      </c>
      <c r="E153" s="632"/>
      <c r="F153" s="644"/>
      <c r="G153" s="645"/>
      <c r="H153" s="646"/>
      <c r="I153" s="627">
        <f>SUM(J153:N153)</f>
        <v>510</v>
      </c>
      <c r="J153" s="647"/>
      <c r="K153" s="647"/>
      <c r="L153" s="647"/>
      <c r="M153" s="647">
        <v>510</v>
      </c>
      <c r="N153" s="648"/>
      <c r="P153" s="655"/>
    </row>
    <row r="154" spans="1:16" s="3" customFormat="1" ht="22.5" customHeight="1">
      <c r="A154" s="351">
        <v>147</v>
      </c>
      <c r="B154" s="126"/>
      <c r="C154" s="127">
        <v>51</v>
      </c>
      <c r="D154" s="347" t="s">
        <v>70</v>
      </c>
      <c r="E154" s="129">
        <v>4817</v>
      </c>
      <c r="F154" s="129">
        <v>5000</v>
      </c>
      <c r="G154" s="130">
        <v>6500</v>
      </c>
      <c r="H154" s="353" t="s">
        <v>23</v>
      </c>
      <c r="I154" s="624"/>
      <c r="J154" s="779"/>
      <c r="K154" s="779"/>
      <c r="L154" s="779"/>
      <c r="M154" s="779"/>
      <c r="N154" s="780"/>
      <c r="P154" s="8"/>
    </row>
    <row r="155" spans="1:14" s="635" customFormat="1" ht="18" customHeight="1">
      <c r="A155" s="351">
        <v>148</v>
      </c>
      <c r="B155" s="629"/>
      <c r="C155" s="630"/>
      <c r="D155" s="631" t="s">
        <v>283</v>
      </c>
      <c r="E155" s="632"/>
      <c r="F155" s="632"/>
      <c r="G155" s="633"/>
      <c r="H155" s="634"/>
      <c r="I155" s="624">
        <f>SUM(J155:N155)</f>
        <v>6500</v>
      </c>
      <c r="J155" s="625"/>
      <c r="K155" s="625"/>
      <c r="L155" s="625"/>
      <c r="M155" s="625">
        <v>6500</v>
      </c>
      <c r="N155" s="626"/>
    </row>
    <row r="156" spans="1:16" s="1384" customFormat="1" ht="22.5" customHeight="1">
      <c r="A156" s="351">
        <v>149</v>
      </c>
      <c r="B156" s="348"/>
      <c r="C156" s="127">
        <v>52</v>
      </c>
      <c r="D156" s="347" t="s">
        <v>71</v>
      </c>
      <c r="E156" s="129">
        <v>2001</v>
      </c>
      <c r="F156" s="129">
        <v>5515</v>
      </c>
      <c r="G156" s="130">
        <v>5515</v>
      </c>
      <c r="H156" s="353" t="s">
        <v>24</v>
      </c>
      <c r="I156" s="624"/>
      <c r="J156" s="779"/>
      <c r="K156" s="779"/>
      <c r="L156" s="779"/>
      <c r="M156" s="779"/>
      <c r="N156" s="780"/>
      <c r="P156" s="1385"/>
    </row>
    <row r="157" spans="1:14" s="635" customFormat="1" ht="18" customHeight="1">
      <c r="A157" s="351">
        <v>150</v>
      </c>
      <c r="B157" s="629"/>
      <c r="C157" s="630"/>
      <c r="D157" s="631" t="s">
        <v>283</v>
      </c>
      <c r="E157" s="632"/>
      <c r="F157" s="632"/>
      <c r="G157" s="633"/>
      <c r="H157" s="634"/>
      <c r="I157" s="624">
        <f>SUM(J157:N157)</f>
        <v>6300</v>
      </c>
      <c r="J157" s="625">
        <v>5850</v>
      </c>
      <c r="K157" s="625">
        <v>450</v>
      </c>
      <c r="L157" s="625"/>
      <c r="M157" s="625"/>
      <c r="N157" s="626"/>
    </row>
    <row r="158" spans="1:16" s="1384" customFormat="1" ht="22.5" customHeight="1">
      <c r="A158" s="351">
        <v>151</v>
      </c>
      <c r="B158" s="348"/>
      <c r="C158" s="127">
        <v>53</v>
      </c>
      <c r="D158" s="347" t="s">
        <v>252</v>
      </c>
      <c r="E158" s="129">
        <v>1117</v>
      </c>
      <c r="F158" s="129">
        <v>2080</v>
      </c>
      <c r="G158" s="130">
        <v>2080</v>
      </c>
      <c r="H158" s="353" t="s">
        <v>24</v>
      </c>
      <c r="I158" s="624"/>
      <c r="J158" s="779"/>
      <c r="K158" s="779"/>
      <c r="L158" s="779"/>
      <c r="M158" s="779"/>
      <c r="N158" s="780"/>
      <c r="P158" s="1385"/>
    </row>
    <row r="159" spans="1:14" s="635" customFormat="1" ht="18" customHeight="1">
      <c r="A159" s="351">
        <v>152</v>
      </c>
      <c r="B159" s="629"/>
      <c r="C159" s="630"/>
      <c r="D159" s="631" t="s">
        <v>283</v>
      </c>
      <c r="E159" s="632"/>
      <c r="F159" s="632"/>
      <c r="G159" s="633"/>
      <c r="H159" s="634"/>
      <c r="I159" s="624">
        <f>SUM(J159:N159)</f>
        <v>2430</v>
      </c>
      <c r="J159" s="625">
        <v>2110</v>
      </c>
      <c r="K159" s="625">
        <v>320</v>
      </c>
      <c r="L159" s="625"/>
      <c r="M159" s="625"/>
      <c r="N159" s="626"/>
    </row>
    <row r="160" spans="1:16" s="1384" customFormat="1" ht="22.5" customHeight="1">
      <c r="A160" s="351">
        <v>153</v>
      </c>
      <c r="B160" s="348"/>
      <c r="C160" s="127">
        <v>54</v>
      </c>
      <c r="D160" s="347" t="s">
        <v>72</v>
      </c>
      <c r="E160" s="129">
        <v>0</v>
      </c>
      <c r="F160" s="129">
        <v>100</v>
      </c>
      <c r="G160" s="130">
        <v>100</v>
      </c>
      <c r="H160" s="353" t="s">
        <v>24</v>
      </c>
      <c r="I160" s="624"/>
      <c r="J160" s="779"/>
      <c r="K160" s="779"/>
      <c r="L160" s="779"/>
      <c r="M160" s="779"/>
      <c r="N160" s="780"/>
      <c r="P160" s="1385"/>
    </row>
    <row r="161" spans="1:14" s="635" customFormat="1" ht="18" customHeight="1">
      <c r="A161" s="351">
        <v>154</v>
      </c>
      <c r="B161" s="629"/>
      <c r="C161" s="630"/>
      <c r="D161" s="631" t="s">
        <v>283</v>
      </c>
      <c r="E161" s="632"/>
      <c r="F161" s="632"/>
      <c r="G161" s="633"/>
      <c r="H161" s="634"/>
      <c r="I161" s="624">
        <f>SUM(J161:N161)</f>
        <v>100</v>
      </c>
      <c r="J161" s="625"/>
      <c r="K161" s="625"/>
      <c r="L161" s="625"/>
      <c r="M161" s="625">
        <v>100</v>
      </c>
      <c r="N161" s="626"/>
    </row>
    <row r="162" spans="1:16" s="1384" customFormat="1" ht="22.5" customHeight="1">
      <c r="A162" s="351">
        <v>155</v>
      </c>
      <c r="B162" s="348"/>
      <c r="C162" s="127">
        <v>55</v>
      </c>
      <c r="D162" s="347" t="s">
        <v>269</v>
      </c>
      <c r="E162" s="129">
        <v>6000</v>
      </c>
      <c r="F162" s="129">
        <v>6000</v>
      </c>
      <c r="G162" s="130">
        <v>6000</v>
      </c>
      <c r="H162" s="353" t="s">
        <v>23</v>
      </c>
      <c r="I162" s="624"/>
      <c r="J162" s="779"/>
      <c r="K162" s="779"/>
      <c r="L162" s="779"/>
      <c r="M162" s="779"/>
      <c r="N162" s="780"/>
      <c r="P162" s="1385"/>
    </row>
    <row r="163" spans="1:14" s="635" customFormat="1" ht="18" customHeight="1">
      <c r="A163" s="351">
        <v>156</v>
      </c>
      <c r="B163" s="629"/>
      <c r="C163" s="630"/>
      <c r="D163" s="631" t="s">
        <v>283</v>
      </c>
      <c r="E163" s="632"/>
      <c r="F163" s="632"/>
      <c r="G163" s="633"/>
      <c r="H163" s="634"/>
      <c r="I163" s="624">
        <f>SUM(J163:N163)</f>
        <v>6000</v>
      </c>
      <c r="J163" s="625"/>
      <c r="K163" s="625"/>
      <c r="L163" s="625">
        <v>6000</v>
      </c>
      <c r="M163" s="625"/>
      <c r="N163" s="626"/>
    </row>
    <row r="164" spans="1:16" s="1384" customFormat="1" ht="22.5" customHeight="1">
      <c r="A164" s="351">
        <v>157</v>
      </c>
      <c r="B164" s="348"/>
      <c r="C164" s="127">
        <v>56</v>
      </c>
      <c r="D164" s="347" t="s">
        <v>281</v>
      </c>
      <c r="E164" s="129">
        <v>10200</v>
      </c>
      <c r="F164" s="129">
        <v>12000</v>
      </c>
      <c r="G164" s="130">
        <v>12000</v>
      </c>
      <c r="H164" s="353" t="s">
        <v>23</v>
      </c>
      <c r="I164" s="624"/>
      <c r="J164" s="779"/>
      <c r="K164" s="779"/>
      <c r="L164" s="779"/>
      <c r="M164" s="779"/>
      <c r="N164" s="780"/>
      <c r="P164" s="1385"/>
    </row>
    <row r="165" spans="1:14" s="635" customFormat="1" ht="18" customHeight="1">
      <c r="A165" s="351">
        <v>158</v>
      </c>
      <c r="B165" s="629"/>
      <c r="C165" s="630"/>
      <c r="D165" s="631" t="s">
        <v>283</v>
      </c>
      <c r="E165" s="632"/>
      <c r="F165" s="632"/>
      <c r="G165" s="633"/>
      <c r="H165" s="634"/>
      <c r="I165" s="624">
        <f>SUM(J165:N165)</f>
        <v>12000</v>
      </c>
      <c r="J165" s="625"/>
      <c r="K165" s="625"/>
      <c r="L165" s="625"/>
      <c r="M165" s="625"/>
      <c r="N165" s="626">
        <v>12000</v>
      </c>
    </row>
    <row r="166" spans="1:16" s="1384" customFormat="1" ht="22.5" customHeight="1">
      <c r="A166" s="351">
        <v>159</v>
      </c>
      <c r="B166" s="348"/>
      <c r="C166" s="127">
        <v>57</v>
      </c>
      <c r="D166" s="347" t="s">
        <v>73</v>
      </c>
      <c r="E166" s="129">
        <v>60000</v>
      </c>
      <c r="F166" s="129">
        <v>60000</v>
      </c>
      <c r="G166" s="130">
        <v>60000</v>
      </c>
      <c r="H166" s="353" t="s">
        <v>23</v>
      </c>
      <c r="I166" s="624"/>
      <c r="J166" s="779"/>
      <c r="K166" s="779"/>
      <c r="L166" s="779"/>
      <c r="M166" s="779"/>
      <c r="N166" s="780"/>
      <c r="P166" s="1385"/>
    </row>
    <row r="167" spans="1:14" s="635" customFormat="1" ht="18" customHeight="1">
      <c r="A167" s="351">
        <v>160</v>
      </c>
      <c r="B167" s="629"/>
      <c r="C167" s="630"/>
      <c r="D167" s="631" t="s">
        <v>283</v>
      </c>
      <c r="E167" s="632"/>
      <c r="F167" s="632"/>
      <c r="G167" s="633"/>
      <c r="H167" s="634"/>
      <c r="I167" s="624">
        <f>SUM(J167:N167)</f>
        <v>60000</v>
      </c>
      <c r="J167" s="625"/>
      <c r="K167" s="625"/>
      <c r="L167" s="625"/>
      <c r="M167" s="625"/>
      <c r="N167" s="626">
        <v>60000</v>
      </c>
    </row>
    <row r="168" spans="1:16" s="1384" customFormat="1" ht="22.5" customHeight="1">
      <c r="A168" s="351">
        <v>161</v>
      </c>
      <c r="B168" s="348"/>
      <c r="C168" s="127">
        <v>58</v>
      </c>
      <c r="D168" s="347" t="s">
        <v>361</v>
      </c>
      <c r="E168" s="129">
        <v>569174</v>
      </c>
      <c r="F168" s="129">
        <v>504713</v>
      </c>
      <c r="G168" s="130">
        <v>605048</v>
      </c>
      <c r="H168" s="353" t="s">
        <v>23</v>
      </c>
      <c r="I168" s="624"/>
      <c r="J168" s="779"/>
      <c r="K168" s="779"/>
      <c r="L168" s="779"/>
      <c r="M168" s="779"/>
      <c r="N168" s="780"/>
      <c r="P168" s="1385"/>
    </row>
    <row r="169" spans="1:14" s="635" customFormat="1" ht="18" customHeight="1">
      <c r="A169" s="351">
        <v>162</v>
      </c>
      <c r="B169" s="629"/>
      <c r="C169" s="630"/>
      <c r="D169" s="631" t="s">
        <v>283</v>
      </c>
      <c r="E169" s="632"/>
      <c r="F169" s="632"/>
      <c r="G169" s="633"/>
      <c r="H169" s="634"/>
      <c r="I169" s="624">
        <f>SUM(J169:N169)</f>
        <v>614544</v>
      </c>
      <c r="J169" s="625"/>
      <c r="K169" s="625"/>
      <c r="L169" s="625"/>
      <c r="M169" s="625"/>
      <c r="N169" s="626">
        <v>614544</v>
      </c>
    </row>
    <row r="170" spans="1:16" s="1384" customFormat="1" ht="22.5" customHeight="1">
      <c r="A170" s="351">
        <v>163</v>
      </c>
      <c r="B170" s="348"/>
      <c r="C170" s="127">
        <v>59</v>
      </c>
      <c r="D170" s="347" t="s">
        <v>305</v>
      </c>
      <c r="E170" s="129">
        <v>90437</v>
      </c>
      <c r="F170" s="129">
        <v>99619</v>
      </c>
      <c r="G170" s="130">
        <v>107588</v>
      </c>
      <c r="H170" s="353" t="s">
        <v>23</v>
      </c>
      <c r="I170" s="624"/>
      <c r="J170" s="779"/>
      <c r="K170" s="779"/>
      <c r="L170" s="779"/>
      <c r="M170" s="779"/>
      <c r="N170" s="780"/>
      <c r="P170" s="1385"/>
    </row>
    <row r="171" spans="1:14" s="635" customFormat="1" ht="18" customHeight="1">
      <c r="A171" s="351">
        <v>164</v>
      </c>
      <c r="B171" s="629"/>
      <c r="C171" s="630"/>
      <c r="D171" s="631" t="s">
        <v>283</v>
      </c>
      <c r="E171" s="632"/>
      <c r="F171" s="632"/>
      <c r="G171" s="633"/>
      <c r="H171" s="634"/>
      <c r="I171" s="624">
        <f>SUM(J171:N171)</f>
        <v>118825</v>
      </c>
      <c r="J171" s="625"/>
      <c r="K171" s="625"/>
      <c r="L171" s="625">
        <v>118825</v>
      </c>
      <c r="M171" s="625"/>
      <c r="N171" s="626"/>
    </row>
    <row r="172" spans="1:14" s="8" customFormat="1" ht="22.5" customHeight="1">
      <c r="A172" s="351">
        <v>165</v>
      </c>
      <c r="B172" s="131"/>
      <c r="C172" s="127">
        <v>60</v>
      </c>
      <c r="D172" s="346" t="s">
        <v>353</v>
      </c>
      <c r="E172" s="129">
        <v>2348</v>
      </c>
      <c r="F172" s="129">
        <v>3840</v>
      </c>
      <c r="G172" s="130">
        <v>3840</v>
      </c>
      <c r="H172" s="353" t="s">
        <v>24</v>
      </c>
      <c r="I172" s="624"/>
      <c r="J172" s="779"/>
      <c r="K172" s="779"/>
      <c r="L172" s="779"/>
      <c r="M172" s="779"/>
      <c r="N172" s="780"/>
    </row>
    <row r="173" spans="1:14" s="635" customFormat="1" ht="18" customHeight="1">
      <c r="A173" s="351">
        <v>166</v>
      </c>
      <c r="B173" s="629"/>
      <c r="C173" s="630"/>
      <c r="D173" s="631" t="s">
        <v>283</v>
      </c>
      <c r="E173" s="632"/>
      <c r="F173" s="632"/>
      <c r="G173" s="633"/>
      <c r="H173" s="634"/>
      <c r="I173" s="624">
        <f>SUM(J173:N173)</f>
        <v>3840</v>
      </c>
      <c r="J173" s="625"/>
      <c r="K173" s="625"/>
      <c r="L173" s="625">
        <v>3840</v>
      </c>
      <c r="M173" s="625"/>
      <c r="N173" s="626"/>
    </row>
    <row r="174" spans="1:14" s="8" customFormat="1" ht="22.5" customHeight="1">
      <c r="A174" s="351">
        <v>167</v>
      </c>
      <c r="B174" s="131"/>
      <c r="C174" s="127">
        <v>61</v>
      </c>
      <c r="D174" s="346" t="s">
        <v>354</v>
      </c>
      <c r="E174" s="129">
        <v>0</v>
      </c>
      <c r="F174" s="129">
        <v>0</v>
      </c>
      <c r="G174" s="130">
        <v>0</v>
      </c>
      <c r="H174" s="353" t="s">
        <v>24</v>
      </c>
      <c r="I174" s="624"/>
      <c r="J174" s="779"/>
      <c r="K174" s="779"/>
      <c r="L174" s="779"/>
      <c r="M174" s="779"/>
      <c r="N174" s="780"/>
    </row>
    <row r="175" spans="1:16" s="3" customFormat="1" ht="22.5" customHeight="1">
      <c r="A175" s="351">
        <v>168</v>
      </c>
      <c r="B175" s="126"/>
      <c r="C175" s="127">
        <v>62</v>
      </c>
      <c r="D175" s="347" t="s">
        <v>74</v>
      </c>
      <c r="E175" s="129">
        <v>1445</v>
      </c>
      <c r="F175" s="129">
        <v>1700</v>
      </c>
      <c r="G175" s="130">
        <v>1700</v>
      </c>
      <c r="H175" s="353" t="s">
        <v>24</v>
      </c>
      <c r="I175" s="624"/>
      <c r="J175" s="779"/>
      <c r="K175" s="779"/>
      <c r="L175" s="779"/>
      <c r="M175" s="779"/>
      <c r="N175" s="780"/>
      <c r="P175" s="8"/>
    </row>
    <row r="176" spans="1:14" s="635" customFormat="1" ht="18" customHeight="1">
      <c r="A176" s="351">
        <v>169</v>
      </c>
      <c r="B176" s="629"/>
      <c r="C176" s="630"/>
      <c r="D176" s="631" t="s">
        <v>283</v>
      </c>
      <c r="E176" s="632"/>
      <c r="F176" s="632"/>
      <c r="G176" s="633"/>
      <c r="H176" s="634"/>
      <c r="I176" s="624">
        <f>SUM(J176:N176)</f>
        <v>2000</v>
      </c>
      <c r="J176" s="625"/>
      <c r="K176" s="625"/>
      <c r="L176" s="625">
        <v>2000</v>
      </c>
      <c r="M176" s="625"/>
      <c r="N176" s="626"/>
    </row>
    <row r="177" spans="1:16" s="3" customFormat="1" ht="22.5" customHeight="1">
      <c r="A177" s="351">
        <v>170</v>
      </c>
      <c r="B177" s="126"/>
      <c r="C177" s="127">
        <v>63</v>
      </c>
      <c r="D177" s="347" t="s">
        <v>336</v>
      </c>
      <c r="E177" s="129">
        <v>0</v>
      </c>
      <c r="F177" s="129">
        <v>0</v>
      </c>
      <c r="G177" s="130">
        <v>0</v>
      </c>
      <c r="H177" s="353" t="s">
        <v>24</v>
      </c>
      <c r="I177" s="624"/>
      <c r="J177" s="779"/>
      <c r="K177" s="779"/>
      <c r="L177" s="779"/>
      <c r="M177" s="779"/>
      <c r="N177" s="780"/>
      <c r="P177" s="8"/>
    </row>
    <row r="178" spans="1:14" s="635" customFormat="1" ht="18" customHeight="1">
      <c r="A178" s="351">
        <v>171</v>
      </c>
      <c r="B178" s="629"/>
      <c r="C178" s="630"/>
      <c r="D178" s="631" t="s">
        <v>283</v>
      </c>
      <c r="E178" s="632"/>
      <c r="F178" s="632"/>
      <c r="G178" s="633"/>
      <c r="H178" s="634"/>
      <c r="I178" s="624">
        <f>SUM(J178:N178)</f>
        <v>0</v>
      </c>
      <c r="J178" s="625"/>
      <c r="K178" s="625"/>
      <c r="L178" s="625"/>
      <c r="M178" s="625"/>
      <c r="N178" s="626"/>
    </row>
    <row r="179" spans="1:16" s="3" customFormat="1" ht="22.5" customHeight="1">
      <c r="A179" s="351">
        <v>172</v>
      </c>
      <c r="B179" s="126"/>
      <c r="C179" s="127">
        <v>64</v>
      </c>
      <c r="D179" s="347" t="s">
        <v>75</v>
      </c>
      <c r="E179" s="129">
        <v>710</v>
      </c>
      <c r="F179" s="129">
        <v>1000</v>
      </c>
      <c r="G179" s="130">
        <v>1000</v>
      </c>
      <c r="H179" s="353" t="s">
        <v>24</v>
      </c>
      <c r="I179" s="624"/>
      <c r="J179" s="779"/>
      <c r="K179" s="779"/>
      <c r="L179" s="779"/>
      <c r="M179" s="779"/>
      <c r="N179" s="780"/>
      <c r="P179" s="8"/>
    </row>
    <row r="180" spans="1:14" s="635" customFormat="1" ht="18" customHeight="1">
      <c r="A180" s="351">
        <v>173</v>
      </c>
      <c r="B180" s="629"/>
      <c r="C180" s="630"/>
      <c r="D180" s="631" t="s">
        <v>283</v>
      </c>
      <c r="E180" s="632"/>
      <c r="F180" s="632"/>
      <c r="G180" s="633"/>
      <c r="H180" s="634"/>
      <c r="I180" s="624">
        <f>SUM(J180:N180)</f>
        <v>1000</v>
      </c>
      <c r="J180" s="625"/>
      <c r="K180" s="625"/>
      <c r="L180" s="625"/>
      <c r="M180" s="625"/>
      <c r="N180" s="626">
        <v>1000</v>
      </c>
    </row>
    <row r="181" spans="1:14" s="8" customFormat="1" ht="22.5" customHeight="1">
      <c r="A181" s="351">
        <v>174</v>
      </c>
      <c r="B181" s="131"/>
      <c r="C181" s="127">
        <v>65</v>
      </c>
      <c r="D181" s="347" t="s">
        <v>471</v>
      </c>
      <c r="E181" s="129">
        <v>1275</v>
      </c>
      <c r="F181" s="129">
        <v>0</v>
      </c>
      <c r="G181" s="130">
        <v>0</v>
      </c>
      <c r="H181" s="353" t="s">
        <v>24</v>
      </c>
      <c r="I181" s="624"/>
      <c r="J181" s="779"/>
      <c r="K181" s="779"/>
      <c r="L181" s="779"/>
      <c r="M181" s="779"/>
      <c r="N181" s="780"/>
    </row>
    <row r="182" spans="1:16" s="3" customFormat="1" ht="22.5" customHeight="1">
      <c r="A182" s="351">
        <v>175</v>
      </c>
      <c r="B182" s="126"/>
      <c r="C182" s="127">
        <v>66</v>
      </c>
      <c r="D182" s="347" t="s">
        <v>76</v>
      </c>
      <c r="E182" s="129">
        <v>5500</v>
      </c>
      <c r="F182" s="129">
        <v>5500</v>
      </c>
      <c r="G182" s="130">
        <v>5500</v>
      </c>
      <c r="H182" s="353" t="s">
        <v>23</v>
      </c>
      <c r="I182" s="624"/>
      <c r="J182" s="779"/>
      <c r="K182" s="779"/>
      <c r="L182" s="779"/>
      <c r="M182" s="779"/>
      <c r="N182" s="780"/>
      <c r="P182" s="8"/>
    </row>
    <row r="183" spans="1:14" s="635" customFormat="1" ht="18" customHeight="1">
      <c r="A183" s="351">
        <v>176</v>
      </c>
      <c r="B183" s="629"/>
      <c r="C183" s="630"/>
      <c r="D183" s="631" t="s">
        <v>283</v>
      </c>
      <c r="E183" s="632"/>
      <c r="F183" s="632"/>
      <c r="G183" s="633"/>
      <c r="H183" s="634"/>
      <c r="I183" s="624">
        <f>SUM(J183:N183)</f>
        <v>1375</v>
      </c>
      <c r="J183" s="625"/>
      <c r="K183" s="625"/>
      <c r="L183" s="625">
        <v>1375</v>
      </c>
      <c r="M183" s="625"/>
      <c r="N183" s="626"/>
    </row>
    <row r="184" spans="1:16" s="3" customFormat="1" ht="22.5" customHeight="1">
      <c r="A184" s="351">
        <v>177</v>
      </c>
      <c r="B184" s="126"/>
      <c r="C184" s="127">
        <v>67</v>
      </c>
      <c r="D184" s="347" t="s">
        <v>77</v>
      </c>
      <c r="E184" s="129">
        <v>5160</v>
      </c>
      <c r="F184" s="129">
        <v>5280</v>
      </c>
      <c r="G184" s="130">
        <v>5280</v>
      </c>
      <c r="H184" s="353" t="s">
        <v>23</v>
      </c>
      <c r="I184" s="624"/>
      <c r="J184" s="779"/>
      <c r="K184" s="779"/>
      <c r="L184" s="779"/>
      <c r="M184" s="779"/>
      <c r="N184" s="780"/>
      <c r="P184" s="8"/>
    </row>
    <row r="185" spans="1:14" s="635" customFormat="1" ht="18" customHeight="1">
      <c r="A185" s="351">
        <v>178</v>
      </c>
      <c r="B185" s="629"/>
      <c r="C185" s="630"/>
      <c r="D185" s="631" t="s">
        <v>283</v>
      </c>
      <c r="E185" s="632"/>
      <c r="F185" s="632"/>
      <c r="G185" s="633"/>
      <c r="H185" s="634"/>
      <c r="I185" s="624">
        <f>SUM(J185:N185)</f>
        <v>5730</v>
      </c>
      <c r="J185" s="625"/>
      <c r="K185" s="625"/>
      <c r="L185" s="625">
        <v>5730</v>
      </c>
      <c r="M185" s="625"/>
      <c r="N185" s="626"/>
    </row>
    <row r="186" spans="1:16" s="3" customFormat="1" ht="22.5" customHeight="1">
      <c r="A186" s="351">
        <v>179</v>
      </c>
      <c r="B186" s="126"/>
      <c r="C186" s="127">
        <v>68</v>
      </c>
      <c r="D186" s="347" t="s">
        <v>78</v>
      </c>
      <c r="E186" s="129">
        <v>5177</v>
      </c>
      <c r="F186" s="129">
        <v>2945</v>
      </c>
      <c r="G186" s="130">
        <v>3686</v>
      </c>
      <c r="H186" s="353" t="s">
        <v>24</v>
      </c>
      <c r="I186" s="624"/>
      <c r="J186" s="779"/>
      <c r="K186" s="779"/>
      <c r="L186" s="779"/>
      <c r="M186" s="779"/>
      <c r="N186" s="780"/>
      <c r="P186" s="8"/>
    </row>
    <row r="187" spans="1:14" s="635" customFormat="1" ht="18" customHeight="1">
      <c r="A187" s="351">
        <v>180</v>
      </c>
      <c r="B187" s="629"/>
      <c r="C187" s="630"/>
      <c r="D187" s="631" t="s">
        <v>283</v>
      </c>
      <c r="E187" s="632"/>
      <c r="F187" s="632"/>
      <c r="G187" s="633"/>
      <c r="H187" s="634"/>
      <c r="I187" s="624">
        <f>SUM(J187:N187)</f>
        <v>2845</v>
      </c>
      <c r="J187" s="625"/>
      <c r="K187" s="625"/>
      <c r="L187" s="625">
        <v>2845</v>
      </c>
      <c r="M187" s="625"/>
      <c r="N187" s="626"/>
    </row>
    <row r="188" spans="1:16" s="3" customFormat="1" ht="22.5" customHeight="1">
      <c r="A188" s="351">
        <v>181</v>
      </c>
      <c r="B188" s="126"/>
      <c r="C188" s="127">
        <v>69</v>
      </c>
      <c r="D188" s="347" t="s">
        <v>79</v>
      </c>
      <c r="E188" s="129">
        <v>202279</v>
      </c>
      <c r="F188" s="129">
        <v>261840</v>
      </c>
      <c r="G188" s="130">
        <v>321185</v>
      </c>
      <c r="H188" s="353" t="s">
        <v>23</v>
      </c>
      <c r="I188" s="624"/>
      <c r="J188" s="779"/>
      <c r="K188" s="779"/>
      <c r="L188" s="779"/>
      <c r="M188" s="779"/>
      <c r="N188" s="780"/>
      <c r="P188" s="8"/>
    </row>
    <row r="189" spans="1:14" s="635" customFormat="1" ht="18" customHeight="1">
      <c r="A189" s="351">
        <v>182</v>
      </c>
      <c r="B189" s="629"/>
      <c r="C189" s="630"/>
      <c r="D189" s="631" t="s">
        <v>283</v>
      </c>
      <c r="E189" s="632"/>
      <c r="F189" s="632"/>
      <c r="G189" s="633"/>
      <c r="H189" s="634"/>
      <c r="I189" s="624">
        <f>SUM(J189:N189)</f>
        <v>269906</v>
      </c>
      <c r="J189" s="625">
        <v>155727</v>
      </c>
      <c r="K189" s="625">
        <v>20271</v>
      </c>
      <c r="L189" s="625">
        <v>93908</v>
      </c>
      <c r="M189" s="625"/>
      <c r="N189" s="626"/>
    </row>
    <row r="190" spans="1:14" s="8" customFormat="1" ht="22.5" customHeight="1">
      <c r="A190" s="351">
        <v>183</v>
      </c>
      <c r="B190" s="131"/>
      <c r="C190" s="127">
        <v>70</v>
      </c>
      <c r="D190" s="346" t="s">
        <v>337</v>
      </c>
      <c r="E190" s="129">
        <v>180</v>
      </c>
      <c r="F190" s="129">
        <v>180</v>
      </c>
      <c r="G190" s="130">
        <v>180</v>
      </c>
      <c r="H190" s="353" t="s">
        <v>23</v>
      </c>
      <c r="I190" s="624"/>
      <c r="J190" s="779"/>
      <c r="K190" s="779"/>
      <c r="L190" s="779"/>
      <c r="M190" s="779"/>
      <c r="N190" s="780"/>
    </row>
    <row r="191" spans="1:14" s="635" customFormat="1" ht="18" customHeight="1">
      <c r="A191" s="351">
        <v>184</v>
      </c>
      <c r="B191" s="629"/>
      <c r="C191" s="630"/>
      <c r="D191" s="631" t="s">
        <v>283</v>
      </c>
      <c r="E191" s="632"/>
      <c r="F191" s="632"/>
      <c r="G191" s="633"/>
      <c r="H191" s="634"/>
      <c r="I191" s="624">
        <f>SUM(J191:N191)</f>
        <v>180</v>
      </c>
      <c r="J191" s="625"/>
      <c r="K191" s="625"/>
      <c r="L191" s="625">
        <v>180</v>
      </c>
      <c r="M191" s="625"/>
      <c r="N191" s="626"/>
    </row>
    <row r="192" spans="1:16" s="3" customFormat="1" ht="22.5" customHeight="1">
      <c r="A192" s="351">
        <v>185</v>
      </c>
      <c r="B192" s="126"/>
      <c r="C192" s="127">
        <v>71</v>
      </c>
      <c r="D192" s="347" t="s">
        <v>80</v>
      </c>
      <c r="E192" s="129">
        <v>16203</v>
      </c>
      <c r="F192" s="129">
        <v>62975</v>
      </c>
      <c r="G192" s="130">
        <v>739299</v>
      </c>
      <c r="H192" s="353" t="s">
        <v>23</v>
      </c>
      <c r="I192" s="624"/>
      <c r="J192" s="779"/>
      <c r="K192" s="779"/>
      <c r="L192" s="779"/>
      <c r="M192" s="779"/>
      <c r="N192" s="780"/>
      <c r="P192" s="8"/>
    </row>
    <row r="193" spans="1:14" s="635" customFormat="1" ht="18" customHeight="1">
      <c r="A193" s="351">
        <v>186</v>
      </c>
      <c r="B193" s="653"/>
      <c r="C193" s="630"/>
      <c r="D193" s="631" t="s">
        <v>283</v>
      </c>
      <c r="E193" s="636"/>
      <c r="F193" s="636"/>
      <c r="G193" s="637"/>
      <c r="H193" s="638"/>
      <c r="I193" s="624">
        <f>SUM(J193:N193)</f>
        <v>204027</v>
      </c>
      <c r="J193" s="639"/>
      <c r="K193" s="639"/>
      <c r="L193" s="639">
        <v>4000</v>
      </c>
      <c r="M193" s="639"/>
      <c r="N193" s="640">
        <f>65498+141029-5000-1500</f>
        <v>200027</v>
      </c>
    </row>
    <row r="194" spans="1:16" s="3" customFormat="1" ht="22.5" customHeight="1">
      <c r="A194" s="351">
        <v>187</v>
      </c>
      <c r="B194" s="126"/>
      <c r="C194" s="127">
        <v>72</v>
      </c>
      <c r="D194" s="347" t="s">
        <v>81</v>
      </c>
      <c r="E194" s="129">
        <v>119740</v>
      </c>
      <c r="F194" s="129">
        <v>138289</v>
      </c>
      <c r="G194" s="130">
        <v>197321</v>
      </c>
      <c r="H194" s="353" t="s">
        <v>23</v>
      </c>
      <c r="I194" s="624"/>
      <c r="J194" s="779"/>
      <c r="K194" s="779"/>
      <c r="L194" s="779"/>
      <c r="M194" s="779"/>
      <c r="N194" s="780"/>
      <c r="P194" s="8"/>
    </row>
    <row r="195" spans="1:14" s="635" customFormat="1" ht="18" customHeight="1">
      <c r="A195" s="351">
        <v>188</v>
      </c>
      <c r="B195" s="629"/>
      <c r="C195" s="630"/>
      <c r="D195" s="631" t="s">
        <v>283</v>
      </c>
      <c r="E195" s="632"/>
      <c r="F195" s="632"/>
      <c r="G195" s="633"/>
      <c r="H195" s="634"/>
      <c r="I195" s="624">
        <f>SUM(J195:N195)</f>
        <v>149569</v>
      </c>
      <c r="J195" s="625"/>
      <c r="K195" s="625"/>
      <c r="L195" s="625">
        <v>149569</v>
      </c>
      <c r="M195" s="625"/>
      <c r="N195" s="626"/>
    </row>
    <row r="196" spans="1:16" s="3" customFormat="1" ht="22.5" customHeight="1">
      <c r="A196" s="351">
        <v>189</v>
      </c>
      <c r="B196" s="126"/>
      <c r="C196" s="127">
        <v>73</v>
      </c>
      <c r="D196" s="347" t="s">
        <v>82</v>
      </c>
      <c r="E196" s="129">
        <v>14245</v>
      </c>
      <c r="F196" s="129">
        <v>51870</v>
      </c>
      <c r="G196" s="130">
        <v>51870</v>
      </c>
      <c r="H196" s="353" t="s">
        <v>24</v>
      </c>
      <c r="I196" s="624"/>
      <c r="J196" s="779"/>
      <c r="K196" s="779"/>
      <c r="L196" s="779"/>
      <c r="M196" s="779"/>
      <c r="N196" s="780"/>
      <c r="P196" s="8"/>
    </row>
    <row r="197" spans="1:14" s="635" customFormat="1" ht="18" customHeight="1">
      <c r="A197" s="351">
        <v>190</v>
      </c>
      <c r="B197" s="629"/>
      <c r="C197" s="630"/>
      <c r="D197" s="631" t="s">
        <v>283</v>
      </c>
      <c r="E197" s="632"/>
      <c r="F197" s="632"/>
      <c r="G197" s="633"/>
      <c r="H197" s="634"/>
      <c r="I197" s="624">
        <f>SUM(J197:N197)</f>
        <v>125311</v>
      </c>
      <c r="J197" s="625"/>
      <c r="K197" s="625"/>
      <c r="L197" s="625">
        <v>125311</v>
      </c>
      <c r="M197" s="625"/>
      <c r="N197" s="626"/>
    </row>
    <row r="198" spans="1:14" s="8" customFormat="1" ht="22.5" customHeight="1">
      <c r="A198" s="351">
        <v>191</v>
      </c>
      <c r="B198" s="131"/>
      <c r="C198" s="127">
        <v>74</v>
      </c>
      <c r="D198" s="346" t="s">
        <v>338</v>
      </c>
      <c r="E198" s="129">
        <v>304689</v>
      </c>
      <c r="F198" s="129">
        <v>1618046</v>
      </c>
      <c r="G198" s="130">
        <v>1618046</v>
      </c>
      <c r="H198" s="353" t="s">
        <v>23</v>
      </c>
      <c r="I198" s="624"/>
      <c r="J198" s="779"/>
      <c r="K198" s="779"/>
      <c r="L198" s="779"/>
      <c r="M198" s="779"/>
      <c r="N198" s="780"/>
    </row>
    <row r="199" spans="1:14" s="635" customFormat="1" ht="18" customHeight="1">
      <c r="A199" s="351">
        <v>192</v>
      </c>
      <c r="B199" s="629"/>
      <c r="C199" s="630"/>
      <c r="D199" s="631" t="s">
        <v>283</v>
      </c>
      <c r="E199" s="632"/>
      <c r="F199" s="632"/>
      <c r="G199" s="633"/>
      <c r="H199" s="634"/>
      <c r="I199" s="624">
        <f>SUM(J199:N199)</f>
        <v>1667835</v>
      </c>
      <c r="J199" s="625"/>
      <c r="K199" s="625"/>
      <c r="L199" s="625"/>
      <c r="M199" s="625"/>
      <c r="N199" s="626">
        <v>1667835</v>
      </c>
    </row>
    <row r="200" spans="1:16" s="3" customFormat="1" ht="22.5" customHeight="1">
      <c r="A200" s="351">
        <v>193</v>
      </c>
      <c r="B200" s="126"/>
      <c r="C200" s="127">
        <v>75</v>
      </c>
      <c r="D200" s="347" t="s">
        <v>83</v>
      </c>
      <c r="E200" s="129">
        <v>12750</v>
      </c>
      <c r="F200" s="129">
        <v>7500</v>
      </c>
      <c r="G200" s="130">
        <v>7000</v>
      </c>
      <c r="H200" s="353" t="s">
        <v>24</v>
      </c>
      <c r="I200" s="624"/>
      <c r="J200" s="779"/>
      <c r="K200" s="779"/>
      <c r="L200" s="779"/>
      <c r="M200" s="779"/>
      <c r="N200" s="780"/>
      <c r="P200" s="8"/>
    </row>
    <row r="201" spans="1:14" s="635" customFormat="1" ht="18" customHeight="1">
      <c r="A201" s="351">
        <v>194</v>
      </c>
      <c r="B201" s="629"/>
      <c r="C201" s="630"/>
      <c r="D201" s="631" t="s">
        <v>283</v>
      </c>
      <c r="E201" s="632"/>
      <c r="F201" s="632"/>
      <c r="G201" s="633"/>
      <c r="H201" s="634"/>
      <c r="I201" s="624">
        <f>SUM(J201:N201)</f>
        <v>2000</v>
      </c>
      <c r="J201" s="625"/>
      <c r="K201" s="625"/>
      <c r="L201" s="625"/>
      <c r="M201" s="625"/>
      <c r="N201" s="626">
        <v>2000</v>
      </c>
    </row>
    <row r="202" spans="1:16" s="3" customFormat="1" ht="22.5" customHeight="1">
      <c r="A202" s="351">
        <v>195</v>
      </c>
      <c r="B202" s="126"/>
      <c r="C202" s="127">
        <v>76</v>
      </c>
      <c r="D202" s="347" t="s">
        <v>86</v>
      </c>
      <c r="E202" s="129">
        <v>58150</v>
      </c>
      <c r="F202" s="129">
        <v>28000</v>
      </c>
      <c r="G202" s="130">
        <v>28000</v>
      </c>
      <c r="H202" s="353" t="s">
        <v>24</v>
      </c>
      <c r="I202" s="624"/>
      <c r="J202" s="779"/>
      <c r="K202" s="779"/>
      <c r="L202" s="779"/>
      <c r="M202" s="779"/>
      <c r="N202" s="780"/>
      <c r="P202" s="8"/>
    </row>
    <row r="203" spans="1:14" s="635" customFormat="1" ht="18" customHeight="1">
      <c r="A203" s="351">
        <v>196</v>
      </c>
      <c r="B203" s="629"/>
      <c r="C203" s="630"/>
      <c r="D203" s="631" t="s">
        <v>283</v>
      </c>
      <c r="E203" s="632"/>
      <c r="F203" s="632"/>
      <c r="G203" s="633"/>
      <c r="H203" s="634"/>
      <c r="I203" s="624">
        <f>SUM(J203:N203)</f>
        <v>10000</v>
      </c>
      <c r="J203" s="625"/>
      <c r="K203" s="625"/>
      <c r="L203" s="625"/>
      <c r="M203" s="625"/>
      <c r="N203" s="626">
        <v>10000</v>
      </c>
    </row>
    <row r="204" spans="1:16" s="3" customFormat="1" ht="22.5" customHeight="1">
      <c r="A204" s="351">
        <v>197</v>
      </c>
      <c r="B204" s="126"/>
      <c r="C204" s="127">
        <v>77</v>
      </c>
      <c r="D204" s="347" t="s">
        <v>87</v>
      </c>
      <c r="E204" s="129">
        <v>103000</v>
      </c>
      <c r="F204" s="129">
        <v>0</v>
      </c>
      <c r="G204" s="130">
        <v>0</v>
      </c>
      <c r="H204" s="353" t="s">
        <v>24</v>
      </c>
      <c r="I204" s="624"/>
      <c r="J204" s="779"/>
      <c r="K204" s="779"/>
      <c r="L204" s="779"/>
      <c r="M204" s="779"/>
      <c r="N204" s="780"/>
      <c r="P204" s="8"/>
    </row>
    <row r="205" spans="1:16" s="3" customFormat="1" ht="19.5" customHeight="1">
      <c r="A205" s="351">
        <v>198</v>
      </c>
      <c r="B205" s="126"/>
      <c r="C205" s="127"/>
      <c r="D205" s="631" t="s">
        <v>283</v>
      </c>
      <c r="E205" s="129"/>
      <c r="F205" s="129"/>
      <c r="G205" s="130"/>
      <c r="H205" s="353"/>
      <c r="I205" s="624">
        <f>SUM(J205:N205)</f>
        <v>50000</v>
      </c>
      <c r="J205" s="779"/>
      <c r="K205" s="779"/>
      <c r="L205" s="779"/>
      <c r="M205" s="779"/>
      <c r="N205" s="626">
        <v>50000</v>
      </c>
      <c r="P205" s="8"/>
    </row>
    <row r="206" spans="1:16" s="3" customFormat="1" ht="22.5" customHeight="1">
      <c r="A206" s="351">
        <v>199</v>
      </c>
      <c r="B206" s="126"/>
      <c r="C206" s="127">
        <v>78</v>
      </c>
      <c r="D206" s="347" t="s">
        <v>88</v>
      </c>
      <c r="E206" s="129">
        <v>0</v>
      </c>
      <c r="F206" s="129">
        <v>0</v>
      </c>
      <c r="G206" s="130">
        <v>0</v>
      </c>
      <c r="H206" s="353" t="s">
        <v>24</v>
      </c>
      <c r="I206" s="624"/>
      <c r="J206" s="779"/>
      <c r="K206" s="779"/>
      <c r="L206" s="779"/>
      <c r="M206" s="779"/>
      <c r="N206" s="780"/>
      <c r="P206" s="8"/>
    </row>
    <row r="207" spans="1:16" s="3" customFormat="1" ht="22.5" customHeight="1">
      <c r="A207" s="351">
        <v>200</v>
      </c>
      <c r="B207" s="126"/>
      <c r="C207" s="127">
        <v>79</v>
      </c>
      <c r="D207" s="347" t="s">
        <v>89</v>
      </c>
      <c r="E207" s="129">
        <v>22000</v>
      </c>
      <c r="F207" s="129">
        <v>22000</v>
      </c>
      <c r="G207" s="130">
        <v>22000</v>
      </c>
      <c r="H207" s="353" t="s">
        <v>24</v>
      </c>
      <c r="I207" s="624"/>
      <c r="J207" s="779"/>
      <c r="K207" s="779"/>
      <c r="L207" s="779"/>
      <c r="M207" s="779"/>
      <c r="N207" s="780"/>
      <c r="P207" s="8"/>
    </row>
    <row r="208" spans="1:14" s="635" customFormat="1" ht="18" customHeight="1">
      <c r="A208" s="351">
        <v>201</v>
      </c>
      <c r="B208" s="629"/>
      <c r="C208" s="630"/>
      <c r="D208" s="631" t="s">
        <v>283</v>
      </c>
      <c r="E208" s="632"/>
      <c r="F208" s="632"/>
      <c r="G208" s="633"/>
      <c r="H208" s="634"/>
      <c r="I208" s="624">
        <f>SUM(J208:N208)</f>
        <v>22000</v>
      </c>
      <c r="J208" s="625"/>
      <c r="K208" s="625"/>
      <c r="L208" s="625">
        <v>22000</v>
      </c>
      <c r="M208" s="625"/>
      <c r="N208" s="626"/>
    </row>
    <row r="209" spans="1:16" s="3" customFormat="1" ht="22.5" customHeight="1">
      <c r="A209" s="351">
        <v>202</v>
      </c>
      <c r="B209" s="126"/>
      <c r="C209" s="127">
        <v>80</v>
      </c>
      <c r="D209" s="347" t="s">
        <v>238</v>
      </c>
      <c r="E209" s="129">
        <v>38100</v>
      </c>
      <c r="F209" s="129">
        <v>38100</v>
      </c>
      <c r="G209" s="130">
        <v>38100</v>
      </c>
      <c r="H209" s="353" t="s">
        <v>24</v>
      </c>
      <c r="I209" s="624"/>
      <c r="J209" s="779"/>
      <c r="K209" s="779"/>
      <c r="L209" s="779"/>
      <c r="M209" s="779"/>
      <c r="N209" s="780"/>
      <c r="P209" s="8"/>
    </row>
    <row r="210" spans="1:16" s="3" customFormat="1" ht="22.5" customHeight="1">
      <c r="A210" s="351">
        <v>203</v>
      </c>
      <c r="B210" s="126"/>
      <c r="C210" s="127">
        <v>81</v>
      </c>
      <c r="D210" s="347" t="s">
        <v>90</v>
      </c>
      <c r="E210" s="129">
        <v>2503</v>
      </c>
      <c r="F210" s="129">
        <v>0</v>
      </c>
      <c r="G210" s="130">
        <v>0</v>
      </c>
      <c r="H210" s="353" t="s">
        <v>24</v>
      </c>
      <c r="I210" s="624"/>
      <c r="J210" s="779"/>
      <c r="K210" s="779"/>
      <c r="L210" s="779"/>
      <c r="M210" s="779"/>
      <c r="N210" s="780"/>
      <c r="P210" s="8"/>
    </row>
    <row r="211" spans="1:16" s="3" customFormat="1" ht="22.5" customHeight="1">
      <c r="A211" s="351">
        <v>204</v>
      </c>
      <c r="B211" s="126"/>
      <c r="C211" s="127">
        <v>82</v>
      </c>
      <c r="D211" s="347" t="s">
        <v>716</v>
      </c>
      <c r="E211" s="129">
        <v>29882</v>
      </c>
      <c r="F211" s="129">
        <v>34150</v>
      </c>
      <c r="G211" s="130">
        <v>34150</v>
      </c>
      <c r="H211" s="353" t="s">
        <v>24</v>
      </c>
      <c r="I211" s="624"/>
      <c r="J211" s="779"/>
      <c r="K211" s="779"/>
      <c r="L211" s="779"/>
      <c r="M211" s="779"/>
      <c r="N211" s="780"/>
      <c r="P211" s="8"/>
    </row>
    <row r="212" spans="1:14" s="635" customFormat="1" ht="18" customHeight="1">
      <c r="A212" s="351">
        <v>205</v>
      </c>
      <c r="B212" s="629"/>
      <c r="C212" s="630"/>
      <c r="D212" s="631" t="s">
        <v>283</v>
      </c>
      <c r="E212" s="632"/>
      <c r="F212" s="632"/>
      <c r="G212" s="633"/>
      <c r="H212" s="634"/>
      <c r="I212" s="624">
        <f>SUM(J212:N212)</f>
        <v>65000</v>
      </c>
      <c r="J212" s="625"/>
      <c r="K212" s="625"/>
      <c r="L212" s="625"/>
      <c r="M212" s="625"/>
      <c r="N212" s="626">
        <v>65000</v>
      </c>
    </row>
    <row r="213" spans="1:16" s="3" customFormat="1" ht="32.25" customHeight="1">
      <c r="A213" s="351">
        <v>206</v>
      </c>
      <c r="B213" s="126"/>
      <c r="C213" s="330">
        <v>83</v>
      </c>
      <c r="D213" s="346" t="s">
        <v>289</v>
      </c>
      <c r="E213" s="129">
        <v>2153</v>
      </c>
      <c r="F213" s="129">
        <v>6000</v>
      </c>
      <c r="G213" s="130">
        <v>17192</v>
      </c>
      <c r="H213" s="353" t="s">
        <v>24</v>
      </c>
      <c r="I213" s="624"/>
      <c r="J213" s="779"/>
      <c r="K213" s="779"/>
      <c r="L213" s="779"/>
      <c r="M213" s="779"/>
      <c r="N213" s="626"/>
      <c r="P213" s="8"/>
    </row>
    <row r="214" spans="1:14" s="635" customFormat="1" ht="18" customHeight="1">
      <c r="A214" s="351">
        <v>207</v>
      </c>
      <c r="B214" s="629"/>
      <c r="C214" s="630"/>
      <c r="D214" s="631" t="s">
        <v>283</v>
      </c>
      <c r="E214" s="632"/>
      <c r="F214" s="632"/>
      <c r="G214" s="633"/>
      <c r="H214" s="634"/>
      <c r="I214" s="624">
        <f>SUM(J214:N214)</f>
        <v>31000</v>
      </c>
      <c r="J214" s="625"/>
      <c r="K214" s="625"/>
      <c r="L214" s="625">
        <v>31000</v>
      </c>
      <c r="M214" s="625"/>
      <c r="N214" s="626"/>
    </row>
    <row r="215" spans="1:14" s="8" customFormat="1" ht="22.5" customHeight="1">
      <c r="A215" s="351">
        <v>208</v>
      </c>
      <c r="B215" s="131"/>
      <c r="C215" s="127">
        <v>84</v>
      </c>
      <c r="D215" s="346" t="s">
        <v>356</v>
      </c>
      <c r="E215" s="129">
        <v>0</v>
      </c>
      <c r="F215" s="129">
        <v>0</v>
      </c>
      <c r="G215" s="130">
        <v>0</v>
      </c>
      <c r="H215" s="353" t="s">
        <v>24</v>
      </c>
      <c r="I215" s="624"/>
      <c r="J215" s="779"/>
      <c r="K215" s="779"/>
      <c r="L215" s="779"/>
      <c r="M215" s="779"/>
      <c r="N215" s="780"/>
    </row>
    <row r="216" spans="1:14" s="8" customFormat="1" ht="22.5" customHeight="1">
      <c r="A216" s="351">
        <v>209</v>
      </c>
      <c r="B216" s="131"/>
      <c r="C216" s="127">
        <v>85</v>
      </c>
      <c r="D216" s="347" t="s">
        <v>63</v>
      </c>
      <c r="E216" s="129">
        <v>0</v>
      </c>
      <c r="F216" s="129">
        <v>0</v>
      </c>
      <c r="G216" s="130">
        <v>0</v>
      </c>
      <c r="H216" s="355" t="s">
        <v>24</v>
      </c>
      <c r="I216" s="784"/>
      <c r="J216" s="785"/>
      <c r="K216" s="785"/>
      <c r="L216" s="785"/>
      <c r="M216" s="785"/>
      <c r="N216" s="786"/>
    </row>
    <row r="217" spans="1:16" s="3" customFormat="1" ht="22.5" customHeight="1">
      <c r="A217" s="351">
        <v>210</v>
      </c>
      <c r="B217" s="126"/>
      <c r="C217" s="127">
        <v>86</v>
      </c>
      <c r="D217" s="347" t="s">
        <v>91</v>
      </c>
      <c r="E217" s="129">
        <v>1342</v>
      </c>
      <c r="F217" s="129">
        <v>2100</v>
      </c>
      <c r="G217" s="130">
        <v>3278</v>
      </c>
      <c r="H217" s="353" t="s">
        <v>23</v>
      </c>
      <c r="I217" s="624"/>
      <c r="J217" s="779"/>
      <c r="K217" s="779"/>
      <c r="L217" s="779"/>
      <c r="M217" s="779"/>
      <c r="N217" s="780"/>
      <c r="P217" s="8"/>
    </row>
    <row r="218" spans="1:14" s="635" customFormat="1" ht="18" customHeight="1">
      <c r="A218" s="351">
        <v>211</v>
      </c>
      <c r="B218" s="629"/>
      <c r="C218" s="630"/>
      <c r="D218" s="631" t="s">
        <v>283</v>
      </c>
      <c r="E218" s="632"/>
      <c r="F218" s="632"/>
      <c r="G218" s="633"/>
      <c r="H218" s="634"/>
      <c r="I218" s="624">
        <f>SUM(J218:N218)</f>
        <v>2100</v>
      </c>
      <c r="J218" s="625"/>
      <c r="K218" s="625">
        <v>100</v>
      </c>
      <c r="L218" s="625">
        <v>2000</v>
      </c>
      <c r="M218" s="625"/>
      <c r="N218" s="626"/>
    </row>
    <row r="219" spans="1:14" s="8" customFormat="1" ht="22.5" customHeight="1">
      <c r="A219" s="351">
        <v>212</v>
      </c>
      <c r="B219" s="131"/>
      <c r="C219" s="127">
        <v>87</v>
      </c>
      <c r="D219" s="346" t="s">
        <v>357</v>
      </c>
      <c r="E219" s="129">
        <v>812</v>
      </c>
      <c r="F219" s="129">
        <v>100</v>
      </c>
      <c r="G219" s="130">
        <v>1028</v>
      </c>
      <c r="H219" s="353" t="s">
        <v>24</v>
      </c>
      <c r="I219" s="624"/>
      <c r="J219" s="779"/>
      <c r="K219" s="779"/>
      <c r="L219" s="779"/>
      <c r="M219" s="779"/>
      <c r="N219" s="780"/>
    </row>
    <row r="220" spans="1:14" s="635" customFormat="1" ht="18" customHeight="1">
      <c r="A220" s="351">
        <v>213</v>
      </c>
      <c r="B220" s="629"/>
      <c r="C220" s="630"/>
      <c r="D220" s="631" t="s">
        <v>283</v>
      </c>
      <c r="E220" s="632"/>
      <c r="F220" s="632"/>
      <c r="G220" s="633"/>
      <c r="H220" s="634"/>
      <c r="I220" s="624">
        <f>SUM(J220:N220)</f>
        <v>1200</v>
      </c>
      <c r="J220" s="625"/>
      <c r="K220" s="625"/>
      <c r="L220" s="625">
        <v>1200</v>
      </c>
      <c r="M220" s="625"/>
      <c r="N220" s="626"/>
    </row>
    <row r="221" spans="1:16" s="3" customFormat="1" ht="22.5" customHeight="1">
      <c r="A221" s="351">
        <v>214</v>
      </c>
      <c r="B221" s="126"/>
      <c r="C221" s="127">
        <v>88</v>
      </c>
      <c r="D221" s="347" t="s">
        <v>362</v>
      </c>
      <c r="E221" s="129">
        <v>142569</v>
      </c>
      <c r="F221" s="129">
        <v>155000</v>
      </c>
      <c r="G221" s="130">
        <v>190059</v>
      </c>
      <c r="H221" s="353" t="s">
        <v>23</v>
      </c>
      <c r="I221" s="624"/>
      <c r="J221" s="779"/>
      <c r="K221" s="779"/>
      <c r="L221" s="779"/>
      <c r="M221" s="779"/>
      <c r="N221" s="780"/>
      <c r="P221" s="8"/>
    </row>
    <row r="222" spans="1:14" s="635" customFormat="1" ht="18" customHeight="1">
      <c r="A222" s="351">
        <v>215</v>
      </c>
      <c r="B222" s="629"/>
      <c r="C222" s="630"/>
      <c r="D222" s="631" t="s">
        <v>283</v>
      </c>
      <c r="E222" s="632"/>
      <c r="F222" s="632"/>
      <c r="G222" s="633"/>
      <c r="H222" s="634"/>
      <c r="I222" s="624">
        <f>SUM(J222:N222)</f>
        <v>150000</v>
      </c>
      <c r="J222" s="625"/>
      <c r="K222" s="625"/>
      <c r="L222" s="625">
        <v>150000</v>
      </c>
      <c r="M222" s="625"/>
      <c r="N222" s="626"/>
    </row>
    <row r="223" spans="1:16" s="3" customFormat="1" ht="22.5" customHeight="1">
      <c r="A223" s="351">
        <v>216</v>
      </c>
      <c r="B223" s="126"/>
      <c r="C223" s="127">
        <v>89</v>
      </c>
      <c r="D223" s="347" t="s">
        <v>84</v>
      </c>
      <c r="E223" s="140">
        <v>38369</v>
      </c>
      <c r="F223" s="140">
        <v>60000</v>
      </c>
      <c r="G223" s="141">
        <v>60000</v>
      </c>
      <c r="H223" s="353" t="s">
        <v>23</v>
      </c>
      <c r="I223" s="624"/>
      <c r="J223" s="779"/>
      <c r="K223" s="779"/>
      <c r="L223" s="779"/>
      <c r="M223" s="779"/>
      <c r="N223" s="780"/>
      <c r="P223" s="8"/>
    </row>
    <row r="224" spans="1:14" s="635" customFormat="1" ht="18" customHeight="1">
      <c r="A224" s="351">
        <v>217</v>
      </c>
      <c r="B224" s="629"/>
      <c r="C224" s="630"/>
      <c r="D224" s="631" t="s">
        <v>283</v>
      </c>
      <c r="E224" s="632"/>
      <c r="F224" s="632"/>
      <c r="G224" s="633"/>
      <c r="H224" s="634"/>
      <c r="I224" s="624">
        <f>SUM(J224:N224)</f>
        <v>142115</v>
      </c>
      <c r="J224" s="625"/>
      <c r="K224" s="625"/>
      <c r="L224" s="625">
        <v>142115</v>
      </c>
      <c r="M224" s="625"/>
      <c r="N224" s="626"/>
    </row>
    <row r="225" spans="1:16" s="3" customFormat="1" ht="22.5" customHeight="1">
      <c r="A225" s="351">
        <v>218</v>
      </c>
      <c r="B225" s="126"/>
      <c r="C225" s="127">
        <v>90</v>
      </c>
      <c r="D225" s="347" t="s">
        <v>85</v>
      </c>
      <c r="E225" s="129">
        <v>1974</v>
      </c>
      <c r="F225" s="129">
        <v>4905</v>
      </c>
      <c r="G225" s="130">
        <v>10656</v>
      </c>
      <c r="H225" s="353" t="s">
        <v>23</v>
      </c>
      <c r="I225" s="624"/>
      <c r="J225" s="779"/>
      <c r="K225" s="779"/>
      <c r="L225" s="779"/>
      <c r="M225" s="779"/>
      <c r="N225" s="780"/>
      <c r="P225" s="8"/>
    </row>
    <row r="226" spans="1:14" s="635" customFormat="1" ht="18" customHeight="1">
      <c r="A226" s="351">
        <v>219</v>
      </c>
      <c r="B226" s="629"/>
      <c r="C226" s="630"/>
      <c r="D226" s="631" t="s">
        <v>283</v>
      </c>
      <c r="E226" s="632"/>
      <c r="F226" s="632"/>
      <c r="G226" s="633"/>
      <c r="H226" s="634"/>
      <c r="I226" s="624">
        <f>SUM(J226:N226)</f>
        <v>5000</v>
      </c>
      <c r="J226" s="625"/>
      <c r="K226" s="625"/>
      <c r="L226" s="625">
        <v>5000</v>
      </c>
      <c r="M226" s="625"/>
      <c r="N226" s="626"/>
    </row>
    <row r="227" spans="1:14" s="3" customFormat="1" ht="22.5" customHeight="1">
      <c r="A227" s="351">
        <v>220</v>
      </c>
      <c r="B227" s="126"/>
      <c r="C227" s="127">
        <v>91</v>
      </c>
      <c r="D227" s="347" t="s">
        <v>494</v>
      </c>
      <c r="E227" s="129">
        <v>881516</v>
      </c>
      <c r="F227" s="129">
        <v>469480</v>
      </c>
      <c r="G227" s="130">
        <v>576703</v>
      </c>
      <c r="H227" s="353" t="s">
        <v>23</v>
      </c>
      <c r="I227" s="624"/>
      <c r="J227" s="779"/>
      <c r="K227" s="779"/>
      <c r="L227" s="779"/>
      <c r="M227" s="779"/>
      <c r="N227" s="780"/>
    </row>
    <row r="228" spans="1:14" s="635" customFormat="1" ht="18" customHeight="1">
      <c r="A228" s="351">
        <v>221</v>
      </c>
      <c r="B228" s="629"/>
      <c r="C228" s="630"/>
      <c r="D228" s="631" t="s">
        <v>283</v>
      </c>
      <c r="E228" s="632"/>
      <c r="F228" s="632"/>
      <c r="G228" s="633"/>
      <c r="H228" s="634"/>
      <c r="I228" s="624">
        <f>SUM(J228:N228)</f>
        <v>1363617</v>
      </c>
      <c r="J228" s="625"/>
      <c r="K228" s="625"/>
      <c r="L228" s="625"/>
      <c r="M228" s="625"/>
      <c r="N228" s="626">
        <v>1363617</v>
      </c>
    </row>
    <row r="229" spans="1:14" s="635" customFormat="1" ht="32.25" customHeight="1">
      <c r="A229" s="351">
        <v>222</v>
      </c>
      <c r="B229" s="629"/>
      <c r="C229" s="330">
        <v>92</v>
      </c>
      <c r="D229" s="347" t="s">
        <v>684</v>
      </c>
      <c r="E229" s="129">
        <v>0</v>
      </c>
      <c r="F229" s="129">
        <v>0</v>
      </c>
      <c r="G229" s="130">
        <v>7777</v>
      </c>
      <c r="H229" s="634"/>
      <c r="I229" s="624"/>
      <c r="J229" s="625"/>
      <c r="K229" s="625"/>
      <c r="L229" s="625"/>
      <c r="M229" s="625"/>
      <c r="N229" s="626"/>
    </row>
    <row r="230" spans="1:14" s="635" customFormat="1" ht="18" customHeight="1">
      <c r="A230" s="351">
        <v>223</v>
      </c>
      <c r="B230" s="629"/>
      <c r="C230" s="630"/>
      <c r="D230" s="631" t="s">
        <v>283</v>
      </c>
      <c r="E230" s="632"/>
      <c r="F230" s="632"/>
      <c r="G230" s="633"/>
      <c r="H230" s="353" t="s">
        <v>23</v>
      </c>
      <c r="I230" s="624">
        <f>SUM(J230:N230)</f>
        <v>21000</v>
      </c>
      <c r="J230" s="625"/>
      <c r="K230" s="625"/>
      <c r="L230" s="625"/>
      <c r="M230" s="625"/>
      <c r="N230" s="626">
        <v>21000</v>
      </c>
    </row>
    <row r="231" spans="1:14" s="3" customFormat="1" ht="22.5" customHeight="1">
      <c r="A231" s="351">
        <v>224</v>
      </c>
      <c r="B231" s="126"/>
      <c r="C231" s="127">
        <v>93</v>
      </c>
      <c r="D231" s="347" t="s">
        <v>378</v>
      </c>
      <c r="E231" s="129">
        <v>41158</v>
      </c>
      <c r="F231" s="129">
        <v>48761</v>
      </c>
      <c r="G231" s="130">
        <v>48761</v>
      </c>
      <c r="H231" s="353" t="s">
        <v>24</v>
      </c>
      <c r="I231" s="624"/>
      <c r="J231" s="779"/>
      <c r="K231" s="779"/>
      <c r="L231" s="779"/>
      <c r="M231" s="779"/>
      <c r="N231" s="780"/>
    </row>
    <row r="232" spans="1:14" s="635" customFormat="1" ht="18" customHeight="1">
      <c r="A232" s="351">
        <v>225</v>
      </c>
      <c r="B232" s="629"/>
      <c r="C232" s="630"/>
      <c r="D232" s="631" t="s">
        <v>283</v>
      </c>
      <c r="E232" s="632"/>
      <c r="F232" s="632"/>
      <c r="G232" s="633"/>
      <c r="H232" s="634"/>
      <c r="I232" s="624">
        <f>SUM(J232:N232)</f>
        <v>52179</v>
      </c>
      <c r="J232" s="625"/>
      <c r="K232" s="625"/>
      <c r="L232" s="625">
        <v>52179</v>
      </c>
      <c r="M232" s="625"/>
      <c r="N232" s="626"/>
    </row>
    <row r="233" spans="1:16" s="3" customFormat="1" ht="22.5" customHeight="1">
      <c r="A233" s="351">
        <v>226</v>
      </c>
      <c r="B233" s="126"/>
      <c r="C233" s="127"/>
      <c r="D233" s="225" t="s">
        <v>278</v>
      </c>
      <c r="E233" s="129"/>
      <c r="F233" s="129"/>
      <c r="G233" s="130"/>
      <c r="H233" s="353"/>
      <c r="I233" s="784"/>
      <c r="J233" s="785"/>
      <c r="K233" s="785"/>
      <c r="L233" s="785"/>
      <c r="M233" s="785"/>
      <c r="N233" s="786"/>
      <c r="O233" s="8"/>
      <c r="P233" s="8"/>
    </row>
    <row r="234" spans="1:16" s="3" customFormat="1" ht="22.5" customHeight="1">
      <c r="A234" s="351">
        <v>227</v>
      </c>
      <c r="B234" s="126"/>
      <c r="C234" s="127">
        <v>94</v>
      </c>
      <c r="D234" s="147" t="s">
        <v>8</v>
      </c>
      <c r="E234" s="129">
        <v>278486</v>
      </c>
      <c r="F234" s="129">
        <v>121336</v>
      </c>
      <c r="G234" s="130">
        <v>121336</v>
      </c>
      <c r="H234" s="353" t="s">
        <v>23</v>
      </c>
      <c r="I234" s="624"/>
      <c r="J234" s="779"/>
      <c r="K234" s="779"/>
      <c r="L234" s="779"/>
      <c r="M234" s="779"/>
      <c r="N234" s="780"/>
      <c r="P234" s="8"/>
    </row>
    <row r="235" spans="1:14" s="635" customFormat="1" ht="18" customHeight="1">
      <c r="A235" s="351">
        <v>228</v>
      </c>
      <c r="B235" s="629"/>
      <c r="C235" s="630"/>
      <c r="D235" s="656" t="s">
        <v>283</v>
      </c>
      <c r="E235" s="632"/>
      <c r="F235" s="632"/>
      <c r="G235" s="633"/>
      <c r="H235" s="634"/>
      <c r="I235" s="624">
        <f>SUM(J235:N235)</f>
        <v>280000</v>
      </c>
      <c r="J235" s="625"/>
      <c r="K235" s="625"/>
      <c r="L235" s="625">
        <v>5000</v>
      </c>
      <c r="M235" s="625"/>
      <c r="N235" s="626">
        <v>275000</v>
      </c>
    </row>
    <row r="236" spans="1:16" s="3" customFormat="1" ht="22.5" customHeight="1">
      <c r="A236" s="351">
        <v>229</v>
      </c>
      <c r="B236" s="126"/>
      <c r="C236" s="127">
        <v>95</v>
      </c>
      <c r="D236" s="147" t="s">
        <v>277</v>
      </c>
      <c r="E236" s="129">
        <v>45900</v>
      </c>
      <c r="F236" s="129">
        <v>31600</v>
      </c>
      <c r="G236" s="130">
        <v>31600</v>
      </c>
      <c r="H236" s="353" t="s">
        <v>23</v>
      </c>
      <c r="I236" s="624"/>
      <c r="J236" s="779"/>
      <c r="K236" s="779"/>
      <c r="L236" s="779"/>
      <c r="M236" s="779"/>
      <c r="N236" s="780"/>
      <c r="P236" s="8"/>
    </row>
    <row r="237" spans="1:14" s="635" customFormat="1" ht="18" customHeight="1">
      <c r="A237" s="351">
        <v>230</v>
      </c>
      <c r="B237" s="629"/>
      <c r="C237" s="630"/>
      <c r="D237" s="656" t="s">
        <v>283</v>
      </c>
      <c r="E237" s="632"/>
      <c r="F237" s="632"/>
      <c r="G237" s="633"/>
      <c r="H237" s="634"/>
      <c r="I237" s="624">
        <f>SUM(J237:N237)</f>
        <v>57000</v>
      </c>
      <c r="J237" s="625"/>
      <c r="K237" s="625"/>
      <c r="L237" s="625"/>
      <c r="M237" s="625"/>
      <c r="N237" s="626">
        <v>57000</v>
      </c>
    </row>
    <row r="238" spans="1:16" s="3" customFormat="1" ht="22.5" customHeight="1">
      <c r="A238" s="351">
        <v>231</v>
      </c>
      <c r="B238" s="126"/>
      <c r="C238" s="127">
        <v>96</v>
      </c>
      <c r="D238" s="147" t="s">
        <v>9</v>
      </c>
      <c r="E238" s="129">
        <v>259250</v>
      </c>
      <c r="F238" s="129">
        <v>231700</v>
      </c>
      <c r="G238" s="130">
        <v>231700</v>
      </c>
      <c r="H238" s="353" t="s">
        <v>23</v>
      </c>
      <c r="I238" s="624"/>
      <c r="J238" s="779"/>
      <c r="K238" s="779"/>
      <c r="L238" s="779"/>
      <c r="M238" s="779"/>
      <c r="N238" s="780"/>
      <c r="P238" s="8"/>
    </row>
    <row r="239" spans="1:14" s="635" customFormat="1" ht="18" customHeight="1">
      <c r="A239" s="351">
        <v>232</v>
      </c>
      <c r="B239" s="629"/>
      <c r="C239" s="630"/>
      <c r="D239" s="656" t="s">
        <v>283</v>
      </c>
      <c r="E239" s="632"/>
      <c r="F239" s="632"/>
      <c r="G239" s="633"/>
      <c r="H239" s="634"/>
      <c r="I239" s="624">
        <f>SUM(J239:N239)</f>
        <v>270000</v>
      </c>
      <c r="J239" s="625"/>
      <c r="K239" s="625"/>
      <c r="L239" s="625"/>
      <c r="M239" s="625"/>
      <c r="N239" s="626">
        <v>270000</v>
      </c>
    </row>
    <row r="240" spans="1:16" s="3" customFormat="1" ht="22.5" customHeight="1">
      <c r="A240" s="351">
        <v>233</v>
      </c>
      <c r="B240" s="126"/>
      <c r="C240" s="127">
        <v>97</v>
      </c>
      <c r="D240" s="147" t="s">
        <v>7</v>
      </c>
      <c r="E240" s="129">
        <v>36550</v>
      </c>
      <c r="F240" s="129">
        <v>37700</v>
      </c>
      <c r="G240" s="130">
        <v>37700</v>
      </c>
      <c r="H240" s="353" t="s">
        <v>23</v>
      </c>
      <c r="I240" s="624"/>
      <c r="J240" s="779"/>
      <c r="K240" s="779"/>
      <c r="L240" s="779"/>
      <c r="M240" s="779"/>
      <c r="N240" s="780"/>
      <c r="P240" s="8"/>
    </row>
    <row r="241" spans="1:14" s="635" customFormat="1" ht="18" customHeight="1">
      <c r="A241" s="351">
        <v>234</v>
      </c>
      <c r="B241" s="629"/>
      <c r="C241" s="630"/>
      <c r="D241" s="656" t="s">
        <v>283</v>
      </c>
      <c r="E241" s="632"/>
      <c r="F241" s="632"/>
      <c r="G241" s="633"/>
      <c r="H241" s="634"/>
      <c r="I241" s="624">
        <f>SUM(J241:N241)</f>
        <v>45000</v>
      </c>
      <c r="J241" s="625"/>
      <c r="K241" s="625"/>
      <c r="L241" s="625"/>
      <c r="M241" s="625"/>
      <c r="N241" s="626">
        <v>45000</v>
      </c>
    </row>
    <row r="242" spans="1:16" s="3" customFormat="1" ht="22.5" customHeight="1">
      <c r="A242" s="351">
        <v>235</v>
      </c>
      <c r="B242" s="126"/>
      <c r="C242" s="127"/>
      <c r="D242" s="225" t="s">
        <v>279</v>
      </c>
      <c r="E242" s="129"/>
      <c r="F242" s="129"/>
      <c r="G242" s="130"/>
      <c r="H242" s="353"/>
      <c r="I242" s="784"/>
      <c r="J242" s="785"/>
      <c r="K242" s="785"/>
      <c r="L242" s="785"/>
      <c r="M242" s="785"/>
      <c r="N242" s="786"/>
      <c r="O242" s="8"/>
      <c r="P242" s="8"/>
    </row>
    <row r="243" spans="1:16" s="3" customFormat="1" ht="22.5" customHeight="1">
      <c r="A243" s="351">
        <v>236</v>
      </c>
      <c r="B243" s="126"/>
      <c r="C243" s="127">
        <v>98</v>
      </c>
      <c r="D243" s="147" t="s">
        <v>473</v>
      </c>
      <c r="E243" s="129">
        <v>42500</v>
      </c>
      <c r="F243" s="129">
        <v>0</v>
      </c>
      <c r="G243" s="130">
        <v>0</v>
      </c>
      <c r="H243" s="353" t="s">
        <v>23</v>
      </c>
      <c r="I243" s="624"/>
      <c r="J243" s="779"/>
      <c r="K243" s="779"/>
      <c r="L243" s="779"/>
      <c r="M243" s="779"/>
      <c r="N243" s="780"/>
      <c r="P243" s="8"/>
    </row>
    <row r="244" spans="1:16" s="3" customFormat="1" ht="18" customHeight="1">
      <c r="A244" s="351">
        <v>237</v>
      </c>
      <c r="B244" s="126"/>
      <c r="C244" s="127"/>
      <c r="D244" s="656" t="s">
        <v>283</v>
      </c>
      <c r="E244" s="129"/>
      <c r="F244" s="129"/>
      <c r="G244" s="130"/>
      <c r="H244" s="353"/>
      <c r="I244" s="624">
        <f>SUM(J244:N244)</f>
        <v>40000</v>
      </c>
      <c r="J244" s="779"/>
      <c r="K244" s="779"/>
      <c r="L244" s="779"/>
      <c r="M244" s="779"/>
      <c r="N244" s="626">
        <v>40000</v>
      </c>
      <c r="P244" s="8"/>
    </row>
    <row r="245" spans="1:16" s="3" customFormat="1" ht="22.5" customHeight="1">
      <c r="A245" s="351">
        <v>238</v>
      </c>
      <c r="B245" s="126"/>
      <c r="C245" s="127">
        <v>99</v>
      </c>
      <c r="D245" s="147" t="s">
        <v>280</v>
      </c>
      <c r="E245" s="129">
        <v>169738</v>
      </c>
      <c r="F245" s="129">
        <v>0</v>
      </c>
      <c r="G245" s="130">
        <v>0</v>
      </c>
      <c r="H245" s="353" t="s">
        <v>23</v>
      </c>
      <c r="I245" s="624"/>
      <c r="J245" s="779"/>
      <c r="K245" s="779"/>
      <c r="L245" s="779"/>
      <c r="M245" s="779"/>
      <c r="N245" s="626"/>
      <c r="P245" s="8"/>
    </row>
    <row r="246" spans="1:16" s="3" customFormat="1" ht="18" customHeight="1">
      <c r="A246" s="351">
        <v>239</v>
      </c>
      <c r="B246" s="126"/>
      <c r="C246" s="127"/>
      <c r="D246" s="656" t="s">
        <v>283</v>
      </c>
      <c r="E246" s="129"/>
      <c r="F246" s="129"/>
      <c r="G246" s="130"/>
      <c r="H246" s="353"/>
      <c r="I246" s="624">
        <f>SUM(J246:N246)</f>
        <v>200436</v>
      </c>
      <c r="J246" s="779"/>
      <c r="K246" s="779"/>
      <c r="L246" s="779"/>
      <c r="M246" s="779"/>
      <c r="N246" s="626">
        <v>200436</v>
      </c>
      <c r="P246" s="8"/>
    </row>
    <row r="247" spans="1:14" s="8" customFormat="1" ht="22.5" customHeight="1">
      <c r="A247" s="351">
        <v>240</v>
      </c>
      <c r="B247" s="131"/>
      <c r="C247" s="132">
        <v>100</v>
      </c>
      <c r="D247" s="347" t="s">
        <v>474</v>
      </c>
      <c r="E247" s="129">
        <v>127855</v>
      </c>
      <c r="F247" s="129">
        <v>147218</v>
      </c>
      <c r="G247" s="130">
        <v>161192</v>
      </c>
      <c r="H247" s="353" t="s">
        <v>23</v>
      </c>
      <c r="I247" s="624"/>
      <c r="J247" s="779"/>
      <c r="K247" s="779"/>
      <c r="L247" s="779"/>
      <c r="M247" s="779"/>
      <c r="N247" s="780"/>
    </row>
    <row r="248" spans="1:14" s="635" customFormat="1" ht="18" customHeight="1">
      <c r="A248" s="351">
        <v>241</v>
      </c>
      <c r="B248" s="629"/>
      <c r="C248" s="630"/>
      <c r="D248" s="656" t="s">
        <v>283</v>
      </c>
      <c r="E248" s="632"/>
      <c r="F248" s="632"/>
      <c r="G248" s="633"/>
      <c r="H248" s="634"/>
      <c r="I248" s="624">
        <f>SUM(J248:N248)</f>
        <v>139000</v>
      </c>
      <c r="J248" s="625"/>
      <c r="K248" s="625"/>
      <c r="L248" s="625">
        <v>139000</v>
      </c>
      <c r="M248" s="625"/>
      <c r="N248" s="626"/>
    </row>
    <row r="249" spans="1:16" s="3" customFormat="1" ht="22.5" customHeight="1">
      <c r="A249" s="351">
        <v>242</v>
      </c>
      <c r="B249" s="126"/>
      <c r="C249" s="127">
        <v>101</v>
      </c>
      <c r="D249" s="347" t="s">
        <v>92</v>
      </c>
      <c r="E249" s="129">
        <v>19000</v>
      </c>
      <c r="F249" s="129">
        <v>20000</v>
      </c>
      <c r="G249" s="130">
        <v>25000</v>
      </c>
      <c r="H249" s="353" t="s">
        <v>23</v>
      </c>
      <c r="I249" s="624"/>
      <c r="J249" s="779"/>
      <c r="K249" s="779"/>
      <c r="L249" s="779"/>
      <c r="M249" s="779"/>
      <c r="N249" s="780"/>
      <c r="P249" s="8"/>
    </row>
    <row r="250" spans="1:14" s="635" customFormat="1" ht="18" customHeight="1">
      <c r="A250" s="351">
        <v>243</v>
      </c>
      <c r="B250" s="629"/>
      <c r="C250" s="630"/>
      <c r="D250" s="631" t="s">
        <v>283</v>
      </c>
      <c r="E250" s="632"/>
      <c r="F250" s="632"/>
      <c r="G250" s="633"/>
      <c r="H250" s="634"/>
      <c r="I250" s="624">
        <f>SUM(J250:N250)</f>
        <v>10000</v>
      </c>
      <c r="J250" s="625"/>
      <c r="K250" s="625"/>
      <c r="L250" s="625">
        <v>10000</v>
      </c>
      <c r="M250" s="625"/>
      <c r="N250" s="626"/>
    </row>
    <row r="251" spans="1:16" s="3" customFormat="1" ht="22.5" customHeight="1">
      <c r="A251" s="351">
        <v>244</v>
      </c>
      <c r="B251" s="126"/>
      <c r="C251" s="127">
        <v>102</v>
      </c>
      <c r="D251" s="347" t="s">
        <v>93</v>
      </c>
      <c r="E251" s="129">
        <v>1020</v>
      </c>
      <c r="F251" s="129">
        <v>1100</v>
      </c>
      <c r="G251" s="130">
        <v>1100</v>
      </c>
      <c r="H251" s="353" t="s">
        <v>23</v>
      </c>
      <c r="I251" s="624"/>
      <c r="J251" s="779"/>
      <c r="K251" s="779"/>
      <c r="L251" s="779"/>
      <c r="M251" s="779"/>
      <c r="N251" s="780"/>
      <c r="P251" s="8"/>
    </row>
    <row r="252" spans="1:14" s="635" customFormat="1" ht="18" customHeight="1">
      <c r="A252" s="351">
        <v>245</v>
      </c>
      <c r="B252" s="629"/>
      <c r="C252" s="630"/>
      <c r="D252" s="631" t="s">
        <v>283</v>
      </c>
      <c r="E252" s="632"/>
      <c r="F252" s="632"/>
      <c r="G252" s="633"/>
      <c r="H252" s="634"/>
      <c r="I252" s="624">
        <f>SUM(J252:N252)</f>
        <v>1200</v>
      </c>
      <c r="J252" s="625"/>
      <c r="K252" s="625"/>
      <c r="L252" s="625">
        <v>1200</v>
      </c>
      <c r="M252" s="625"/>
      <c r="N252" s="626"/>
    </row>
    <row r="253" spans="1:16" s="3" customFormat="1" ht="22.5" customHeight="1">
      <c r="A253" s="351">
        <v>246</v>
      </c>
      <c r="B253" s="126"/>
      <c r="C253" s="127">
        <v>103</v>
      </c>
      <c r="D253" s="347" t="s">
        <v>94</v>
      </c>
      <c r="E253" s="129">
        <v>1408</v>
      </c>
      <c r="F253" s="129">
        <v>5000</v>
      </c>
      <c r="G253" s="130">
        <v>5100</v>
      </c>
      <c r="H253" s="353" t="s">
        <v>23</v>
      </c>
      <c r="I253" s="624"/>
      <c r="J253" s="779"/>
      <c r="K253" s="779"/>
      <c r="L253" s="779"/>
      <c r="M253" s="779"/>
      <c r="N253" s="780"/>
      <c r="P253" s="8"/>
    </row>
    <row r="254" spans="1:14" s="635" customFormat="1" ht="18" customHeight="1">
      <c r="A254" s="351">
        <v>247</v>
      </c>
      <c r="B254" s="629"/>
      <c r="C254" s="630"/>
      <c r="D254" s="631" t="s">
        <v>283</v>
      </c>
      <c r="E254" s="632"/>
      <c r="F254" s="632"/>
      <c r="G254" s="633"/>
      <c r="H254" s="634"/>
      <c r="I254" s="624">
        <f>SUM(J254:N254)</f>
        <v>4000</v>
      </c>
      <c r="J254" s="625"/>
      <c r="K254" s="625"/>
      <c r="L254" s="625">
        <v>4000</v>
      </c>
      <c r="M254" s="625"/>
      <c r="N254" s="626"/>
    </row>
    <row r="255" spans="1:16" s="3" customFormat="1" ht="22.5" customHeight="1">
      <c r="A255" s="351">
        <v>248</v>
      </c>
      <c r="B255" s="126"/>
      <c r="C255" s="127">
        <v>104</v>
      </c>
      <c r="D255" s="347" t="s">
        <v>686</v>
      </c>
      <c r="E255" s="129">
        <v>17199</v>
      </c>
      <c r="F255" s="129">
        <v>20000</v>
      </c>
      <c r="G255" s="130">
        <v>34305</v>
      </c>
      <c r="H255" s="353" t="s">
        <v>23</v>
      </c>
      <c r="I255" s="624"/>
      <c r="J255" s="779"/>
      <c r="K255" s="779"/>
      <c r="L255" s="779"/>
      <c r="M255" s="779"/>
      <c r="N255" s="780"/>
      <c r="P255" s="8"/>
    </row>
    <row r="256" spans="1:14" s="635" customFormat="1" ht="18" customHeight="1">
      <c r="A256" s="351">
        <v>249</v>
      </c>
      <c r="B256" s="629"/>
      <c r="C256" s="630"/>
      <c r="D256" s="631" t="s">
        <v>283</v>
      </c>
      <c r="E256" s="632"/>
      <c r="F256" s="632"/>
      <c r="G256" s="633"/>
      <c r="H256" s="634"/>
      <c r="I256" s="624">
        <f>SUM(J256:N256)</f>
        <v>20000</v>
      </c>
      <c r="J256" s="625"/>
      <c r="K256" s="625"/>
      <c r="L256" s="625">
        <v>20000</v>
      </c>
      <c r="M256" s="625"/>
      <c r="N256" s="626"/>
    </row>
    <row r="257" spans="1:16" s="3" customFormat="1" ht="22.5" customHeight="1">
      <c r="A257" s="351">
        <v>250</v>
      </c>
      <c r="B257" s="126"/>
      <c r="C257" s="127">
        <v>105</v>
      </c>
      <c r="D257" s="347" t="s">
        <v>95</v>
      </c>
      <c r="E257" s="129">
        <v>225617</v>
      </c>
      <c r="F257" s="129">
        <v>235000</v>
      </c>
      <c r="G257" s="130">
        <v>235000</v>
      </c>
      <c r="H257" s="353" t="s">
        <v>23</v>
      </c>
      <c r="I257" s="624"/>
      <c r="J257" s="779"/>
      <c r="K257" s="779"/>
      <c r="L257" s="779"/>
      <c r="M257" s="779"/>
      <c r="N257" s="780"/>
      <c r="P257" s="8"/>
    </row>
    <row r="258" spans="1:14" s="635" customFormat="1" ht="18" customHeight="1">
      <c r="A258" s="351">
        <v>251</v>
      </c>
      <c r="B258" s="629"/>
      <c r="C258" s="630"/>
      <c r="D258" s="631" t="s">
        <v>283</v>
      </c>
      <c r="E258" s="632"/>
      <c r="F258" s="632"/>
      <c r="G258" s="633"/>
      <c r="H258" s="634"/>
      <c r="I258" s="624">
        <f>SUM(J258:N258)</f>
        <v>246000</v>
      </c>
      <c r="J258" s="625"/>
      <c r="K258" s="625"/>
      <c r="L258" s="625">
        <v>246000</v>
      </c>
      <c r="M258" s="625"/>
      <c r="N258" s="626"/>
    </row>
    <row r="259" spans="1:16" s="3" customFormat="1" ht="22.5" customHeight="1">
      <c r="A259" s="351">
        <v>252</v>
      </c>
      <c r="B259" s="126"/>
      <c r="C259" s="127">
        <v>106</v>
      </c>
      <c r="D259" s="347" t="s">
        <v>96</v>
      </c>
      <c r="E259" s="129">
        <v>3555</v>
      </c>
      <c r="F259" s="129">
        <v>5000</v>
      </c>
      <c r="G259" s="130">
        <v>6881</v>
      </c>
      <c r="H259" s="353" t="s">
        <v>23</v>
      </c>
      <c r="I259" s="624"/>
      <c r="J259" s="779"/>
      <c r="K259" s="779"/>
      <c r="L259" s="779"/>
      <c r="M259" s="779"/>
      <c r="N259" s="780"/>
      <c r="P259" s="8"/>
    </row>
    <row r="260" spans="1:14" s="635" customFormat="1" ht="18" customHeight="1">
      <c r="A260" s="351">
        <v>253</v>
      </c>
      <c r="B260" s="629"/>
      <c r="C260" s="630"/>
      <c r="D260" s="631" t="s">
        <v>283</v>
      </c>
      <c r="E260" s="632"/>
      <c r="F260" s="632"/>
      <c r="G260" s="633"/>
      <c r="H260" s="634"/>
      <c r="I260" s="624">
        <f>SUM(J260:N260)</f>
        <v>5000</v>
      </c>
      <c r="J260" s="625"/>
      <c r="K260" s="625"/>
      <c r="L260" s="625">
        <v>5000</v>
      </c>
      <c r="M260" s="625"/>
      <c r="N260" s="626"/>
    </row>
    <row r="261" spans="1:16" s="3" customFormat="1" ht="22.5" customHeight="1">
      <c r="A261" s="351">
        <v>254</v>
      </c>
      <c r="B261" s="126"/>
      <c r="C261" s="127">
        <v>107</v>
      </c>
      <c r="D261" s="347" t="s">
        <v>97</v>
      </c>
      <c r="E261" s="129">
        <v>1141</v>
      </c>
      <c r="F261" s="129">
        <v>4000</v>
      </c>
      <c r="G261" s="130">
        <v>4000</v>
      </c>
      <c r="H261" s="353" t="s">
        <v>23</v>
      </c>
      <c r="I261" s="624"/>
      <c r="J261" s="779"/>
      <c r="K261" s="779"/>
      <c r="L261" s="779"/>
      <c r="M261" s="779"/>
      <c r="N261" s="780"/>
      <c r="P261" s="8"/>
    </row>
    <row r="262" spans="1:14" s="635" customFormat="1" ht="18" customHeight="1">
      <c r="A262" s="351">
        <v>255</v>
      </c>
      <c r="B262" s="629"/>
      <c r="C262" s="630"/>
      <c r="D262" s="631" t="s">
        <v>283</v>
      </c>
      <c r="E262" s="632"/>
      <c r="F262" s="632"/>
      <c r="G262" s="633"/>
      <c r="H262" s="634"/>
      <c r="I262" s="624">
        <f>SUM(J262:N262)</f>
        <v>4000</v>
      </c>
      <c r="J262" s="625"/>
      <c r="K262" s="625"/>
      <c r="L262" s="625">
        <v>4000</v>
      </c>
      <c r="M262" s="625"/>
      <c r="N262" s="626"/>
    </row>
    <row r="263" spans="1:16" s="3" customFormat="1" ht="22.5" customHeight="1">
      <c r="A263" s="351">
        <v>256</v>
      </c>
      <c r="B263" s="126"/>
      <c r="C263" s="127">
        <v>108</v>
      </c>
      <c r="D263" s="347" t="s">
        <v>98</v>
      </c>
      <c r="E263" s="129">
        <v>185</v>
      </c>
      <c r="F263" s="129">
        <v>500</v>
      </c>
      <c r="G263" s="130">
        <v>800</v>
      </c>
      <c r="H263" s="353" t="s">
        <v>23</v>
      </c>
      <c r="I263" s="624"/>
      <c r="J263" s="779"/>
      <c r="K263" s="779"/>
      <c r="L263" s="779"/>
      <c r="M263" s="779"/>
      <c r="N263" s="780"/>
      <c r="P263" s="8"/>
    </row>
    <row r="264" spans="1:14" s="635" customFormat="1" ht="18" customHeight="1">
      <c r="A264" s="351">
        <v>257</v>
      </c>
      <c r="B264" s="629"/>
      <c r="C264" s="630"/>
      <c r="D264" s="631" t="s">
        <v>283</v>
      </c>
      <c r="E264" s="632"/>
      <c r="F264" s="632"/>
      <c r="G264" s="633"/>
      <c r="H264" s="634"/>
      <c r="I264" s="624">
        <f>SUM(J264:N264)</f>
        <v>1000</v>
      </c>
      <c r="J264" s="625"/>
      <c r="K264" s="625"/>
      <c r="L264" s="625">
        <v>1000</v>
      </c>
      <c r="M264" s="625"/>
      <c r="N264" s="626"/>
    </row>
    <row r="265" spans="1:16" s="3" customFormat="1" ht="22.5" customHeight="1">
      <c r="A265" s="351">
        <v>258</v>
      </c>
      <c r="B265" s="126"/>
      <c r="C265" s="127">
        <v>109</v>
      </c>
      <c r="D265" s="350" t="s">
        <v>287</v>
      </c>
      <c r="E265" s="129">
        <v>66237</v>
      </c>
      <c r="F265" s="129">
        <v>67760</v>
      </c>
      <c r="G265" s="130">
        <v>69572</v>
      </c>
      <c r="H265" s="353" t="s">
        <v>23</v>
      </c>
      <c r="I265" s="624"/>
      <c r="J265" s="779"/>
      <c r="K265" s="779"/>
      <c r="L265" s="779"/>
      <c r="M265" s="779"/>
      <c r="N265" s="780"/>
      <c r="P265" s="8"/>
    </row>
    <row r="266" spans="1:14" s="635" customFormat="1" ht="18" customHeight="1">
      <c r="A266" s="351">
        <v>259</v>
      </c>
      <c r="B266" s="629"/>
      <c r="C266" s="630"/>
      <c r="D266" s="631" t="s">
        <v>283</v>
      </c>
      <c r="E266" s="632"/>
      <c r="F266" s="632"/>
      <c r="G266" s="633"/>
      <c r="H266" s="634"/>
      <c r="I266" s="624">
        <f>SUM(J266:N266)</f>
        <v>108220</v>
      </c>
      <c r="J266" s="625"/>
      <c r="K266" s="625"/>
      <c r="L266" s="625">
        <v>108220</v>
      </c>
      <c r="M266" s="625"/>
      <c r="N266" s="626"/>
    </row>
    <row r="267" spans="1:16" s="3" customFormat="1" ht="22.5" customHeight="1">
      <c r="A267" s="351">
        <v>260</v>
      </c>
      <c r="B267" s="126"/>
      <c r="C267" s="127">
        <v>110</v>
      </c>
      <c r="D267" s="350" t="s">
        <v>475</v>
      </c>
      <c r="E267" s="129">
        <v>57448</v>
      </c>
      <c r="F267" s="129">
        <v>67000</v>
      </c>
      <c r="G267" s="130">
        <v>70101</v>
      </c>
      <c r="H267" s="353" t="s">
        <v>23</v>
      </c>
      <c r="I267" s="624"/>
      <c r="J267" s="779"/>
      <c r="K267" s="779"/>
      <c r="L267" s="779"/>
      <c r="M267" s="779"/>
      <c r="N267" s="780"/>
      <c r="P267" s="8"/>
    </row>
    <row r="268" spans="1:14" s="635" customFormat="1" ht="18" customHeight="1">
      <c r="A268" s="351">
        <v>261</v>
      </c>
      <c r="B268" s="629"/>
      <c r="C268" s="630"/>
      <c r="D268" s="631" t="s">
        <v>283</v>
      </c>
      <c r="E268" s="632"/>
      <c r="F268" s="632"/>
      <c r="G268" s="633"/>
      <c r="H268" s="634"/>
      <c r="I268" s="624">
        <f>SUM(J268:N268)</f>
        <v>60000</v>
      </c>
      <c r="J268" s="625"/>
      <c r="K268" s="625"/>
      <c r="L268" s="625">
        <v>60000</v>
      </c>
      <c r="M268" s="625"/>
      <c r="N268" s="626"/>
    </row>
    <row r="269" spans="1:16" s="3" customFormat="1" ht="22.5" customHeight="1">
      <c r="A269" s="351">
        <v>262</v>
      </c>
      <c r="B269" s="126"/>
      <c r="C269" s="127">
        <v>111</v>
      </c>
      <c r="D269" s="350" t="s">
        <v>240</v>
      </c>
      <c r="E269" s="129">
        <v>17000</v>
      </c>
      <c r="F269" s="129">
        <v>19000</v>
      </c>
      <c r="G269" s="130">
        <v>19000</v>
      </c>
      <c r="H269" s="353" t="s">
        <v>23</v>
      </c>
      <c r="I269" s="624"/>
      <c r="J269" s="779"/>
      <c r="K269" s="779"/>
      <c r="L269" s="779"/>
      <c r="M269" s="779"/>
      <c r="N269" s="780"/>
      <c r="P269" s="8"/>
    </row>
    <row r="270" spans="1:14" s="635" customFormat="1" ht="18" customHeight="1">
      <c r="A270" s="351">
        <v>263</v>
      </c>
      <c r="B270" s="629"/>
      <c r="C270" s="630"/>
      <c r="D270" s="631" t="s">
        <v>283</v>
      </c>
      <c r="E270" s="632"/>
      <c r="F270" s="632"/>
      <c r="G270" s="633"/>
      <c r="H270" s="634"/>
      <c r="I270" s="624">
        <f>SUM(J270:N270)</f>
        <v>20000</v>
      </c>
      <c r="J270" s="625"/>
      <c r="K270" s="625"/>
      <c r="L270" s="625">
        <v>20000</v>
      </c>
      <c r="M270" s="625"/>
      <c r="N270" s="626"/>
    </row>
    <row r="271" spans="1:16" s="3" customFormat="1" ht="22.5" customHeight="1">
      <c r="A271" s="351">
        <v>264</v>
      </c>
      <c r="B271" s="126"/>
      <c r="C271" s="127">
        <v>112</v>
      </c>
      <c r="D271" s="347" t="s">
        <v>239</v>
      </c>
      <c r="E271" s="129">
        <v>778</v>
      </c>
      <c r="F271" s="129">
        <v>1500</v>
      </c>
      <c r="G271" s="130">
        <v>1500</v>
      </c>
      <c r="H271" s="355" t="s">
        <v>23</v>
      </c>
      <c r="I271" s="624"/>
      <c r="J271" s="779"/>
      <c r="K271" s="779"/>
      <c r="L271" s="779"/>
      <c r="M271" s="779"/>
      <c r="N271" s="780"/>
      <c r="P271" s="8"/>
    </row>
    <row r="272" spans="1:14" s="635" customFormat="1" ht="18" customHeight="1">
      <c r="A272" s="351">
        <v>265</v>
      </c>
      <c r="B272" s="653"/>
      <c r="C272" s="630"/>
      <c r="D272" s="631" t="s">
        <v>283</v>
      </c>
      <c r="E272" s="636"/>
      <c r="F272" s="636"/>
      <c r="G272" s="637"/>
      <c r="H272" s="638"/>
      <c r="I272" s="624">
        <f>SUM(J272:N272)</f>
        <v>1500</v>
      </c>
      <c r="J272" s="639"/>
      <c r="K272" s="639"/>
      <c r="L272" s="639">
        <v>1500</v>
      </c>
      <c r="M272" s="639"/>
      <c r="N272" s="640"/>
    </row>
    <row r="273" spans="1:16" s="3" customFormat="1" ht="22.5" customHeight="1">
      <c r="A273" s="351">
        <v>266</v>
      </c>
      <c r="B273" s="126"/>
      <c r="C273" s="127">
        <v>113</v>
      </c>
      <c r="D273" s="347" t="s">
        <v>341</v>
      </c>
      <c r="E273" s="129">
        <v>2087</v>
      </c>
      <c r="F273" s="129">
        <v>3500</v>
      </c>
      <c r="G273" s="130">
        <v>7558</v>
      </c>
      <c r="H273" s="353" t="s">
        <v>24</v>
      </c>
      <c r="I273" s="624"/>
      <c r="J273" s="779"/>
      <c r="K273" s="779"/>
      <c r="L273" s="779"/>
      <c r="M273" s="779"/>
      <c r="N273" s="780"/>
      <c r="P273" s="8"/>
    </row>
    <row r="274" spans="1:14" s="635" customFormat="1" ht="18" customHeight="1">
      <c r="A274" s="351">
        <v>267</v>
      </c>
      <c r="B274" s="629"/>
      <c r="C274" s="630"/>
      <c r="D274" s="631" t="s">
        <v>283</v>
      </c>
      <c r="E274" s="632"/>
      <c r="F274" s="632"/>
      <c r="G274" s="633"/>
      <c r="H274" s="634"/>
      <c r="I274" s="624">
        <f>SUM(J274:N274)</f>
        <v>7000</v>
      </c>
      <c r="J274" s="625"/>
      <c r="K274" s="625"/>
      <c r="L274" s="625">
        <v>7000</v>
      </c>
      <c r="M274" s="625"/>
      <c r="N274" s="626"/>
    </row>
    <row r="275" spans="1:16" s="3" customFormat="1" ht="22.5" customHeight="1">
      <c r="A275" s="351">
        <v>268</v>
      </c>
      <c r="B275" s="126"/>
      <c r="C275" s="127">
        <v>114</v>
      </c>
      <c r="D275" s="347" t="s">
        <v>527</v>
      </c>
      <c r="E275" s="129">
        <v>7499</v>
      </c>
      <c r="F275" s="129">
        <v>9600</v>
      </c>
      <c r="G275" s="130">
        <v>15077</v>
      </c>
      <c r="H275" s="353" t="s">
        <v>23</v>
      </c>
      <c r="I275" s="624"/>
      <c r="J275" s="779"/>
      <c r="K275" s="779"/>
      <c r="L275" s="779"/>
      <c r="M275" s="779"/>
      <c r="N275" s="780"/>
      <c r="P275" s="8"/>
    </row>
    <row r="276" spans="1:14" s="635" customFormat="1" ht="18" customHeight="1">
      <c r="A276" s="351">
        <v>269</v>
      </c>
      <c r="B276" s="629"/>
      <c r="C276" s="630"/>
      <c r="D276" s="631" t="s">
        <v>283</v>
      </c>
      <c r="E276" s="632"/>
      <c r="F276" s="632"/>
      <c r="G276" s="633"/>
      <c r="H276" s="634"/>
      <c r="I276" s="624">
        <f>SUM(J276:N276)</f>
        <v>8000</v>
      </c>
      <c r="J276" s="625"/>
      <c r="K276" s="625"/>
      <c r="L276" s="625">
        <v>8000</v>
      </c>
      <c r="M276" s="625"/>
      <c r="N276" s="626"/>
    </row>
    <row r="277" spans="1:14" s="635" customFormat="1" ht="22.5" customHeight="1">
      <c r="A277" s="351">
        <v>270</v>
      </c>
      <c r="B277" s="629"/>
      <c r="C277" s="127">
        <v>115</v>
      </c>
      <c r="D277" s="347" t="s">
        <v>526</v>
      </c>
      <c r="E277" s="129">
        <v>5690</v>
      </c>
      <c r="F277" s="129">
        <v>11000</v>
      </c>
      <c r="G277" s="130">
        <v>12000</v>
      </c>
      <c r="H277" s="353" t="s">
        <v>23</v>
      </c>
      <c r="I277" s="624"/>
      <c r="J277" s="625"/>
      <c r="K277" s="625"/>
      <c r="L277" s="625"/>
      <c r="M277" s="625"/>
      <c r="N277" s="626"/>
    </row>
    <row r="278" spans="1:14" s="635" customFormat="1" ht="18" customHeight="1">
      <c r="A278" s="351">
        <v>271</v>
      </c>
      <c r="B278" s="629"/>
      <c r="C278" s="630"/>
      <c r="D278" s="631" t="s">
        <v>283</v>
      </c>
      <c r="E278" s="632"/>
      <c r="F278" s="632"/>
      <c r="G278" s="633"/>
      <c r="H278" s="634"/>
      <c r="I278" s="624">
        <f>SUM(J278:N278)</f>
        <v>12000</v>
      </c>
      <c r="J278" s="625"/>
      <c r="K278" s="625"/>
      <c r="L278" s="625">
        <v>12000</v>
      </c>
      <c r="M278" s="625"/>
      <c r="N278" s="626"/>
    </row>
    <row r="279" spans="1:14" s="8" customFormat="1" ht="22.5" customHeight="1">
      <c r="A279" s="351">
        <v>272</v>
      </c>
      <c r="B279" s="142"/>
      <c r="C279" s="127">
        <v>116</v>
      </c>
      <c r="D279" s="347" t="s">
        <v>264</v>
      </c>
      <c r="E279" s="129">
        <v>146597</v>
      </c>
      <c r="F279" s="129">
        <v>137959</v>
      </c>
      <c r="G279" s="130">
        <v>154035</v>
      </c>
      <c r="H279" s="353" t="s">
        <v>23</v>
      </c>
      <c r="I279" s="784"/>
      <c r="J279" s="785"/>
      <c r="K279" s="785"/>
      <c r="L279" s="785"/>
      <c r="M279" s="785"/>
      <c r="N279" s="786"/>
    </row>
    <row r="280" spans="1:14" s="635" customFormat="1" ht="18" customHeight="1">
      <c r="A280" s="351">
        <v>273</v>
      </c>
      <c r="B280" s="629"/>
      <c r="C280" s="630"/>
      <c r="D280" s="631" t="s">
        <v>283</v>
      </c>
      <c r="E280" s="632"/>
      <c r="F280" s="632"/>
      <c r="G280" s="633"/>
      <c r="H280" s="634"/>
      <c r="I280" s="624">
        <f>SUM(J280:N280)</f>
        <v>160000</v>
      </c>
      <c r="J280" s="625"/>
      <c r="K280" s="625"/>
      <c r="L280" s="625">
        <v>160000</v>
      </c>
      <c r="M280" s="625"/>
      <c r="N280" s="626"/>
    </row>
    <row r="281" spans="1:14" s="8" customFormat="1" ht="22.5" customHeight="1">
      <c r="A281" s="351">
        <v>274</v>
      </c>
      <c r="B281" s="142"/>
      <c r="C281" s="127">
        <v>117</v>
      </c>
      <c r="D281" s="347" t="s">
        <v>340</v>
      </c>
      <c r="E281" s="129">
        <v>2362</v>
      </c>
      <c r="F281" s="129">
        <v>0</v>
      </c>
      <c r="G281" s="130">
        <v>0</v>
      </c>
      <c r="H281" s="353" t="s">
        <v>24</v>
      </c>
      <c r="I281" s="784"/>
      <c r="J281" s="785"/>
      <c r="K281" s="785"/>
      <c r="L281" s="785"/>
      <c r="M281" s="785"/>
      <c r="N281" s="786"/>
    </row>
    <row r="282" spans="1:16" s="3" customFormat="1" ht="22.5" customHeight="1">
      <c r="A282" s="351">
        <v>275</v>
      </c>
      <c r="B282" s="126"/>
      <c r="C282" s="127">
        <v>118</v>
      </c>
      <c r="D282" s="347" t="s">
        <v>99</v>
      </c>
      <c r="E282" s="129">
        <f>E284+E286+E288+E290+E292</f>
        <v>2765</v>
      </c>
      <c r="F282" s="129">
        <f>F284+F286+F288+F290+F292</f>
        <v>2765</v>
      </c>
      <c r="G282" s="129">
        <f>G284+G286+G288+G290+G292</f>
        <v>2765</v>
      </c>
      <c r="H282" s="353" t="s">
        <v>23</v>
      </c>
      <c r="I282" s="784"/>
      <c r="J282" s="785"/>
      <c r="K282" s="785"/>
      <c r="L282" s="785"/>
      <c r="M282" s="785"/>
      <c r="N282" s="786"/>
      <c r="O282" s="8"/>
      <c r="P282" s="8"/>
    </row>
    <row r="283" spans="1:14" s="635" customFormat="1" ht="18" customHeight="1">
      <c r="A283" s="351">
        <v>276</v>
      </c>
      <c r="B283" s="629"/>
      <c r="C283" s="630"/>
      <c r="D283" s="631" t="s">
        <v>283</v>
      </c>
      <c r="E283" s="632"/>
      <c r="F283" s="632"/>
      <c r="G283" s="633"/>
      <c r="H283" s="634"/>
      <c r="I283" s="624">
        <f>SUM(J283:N283)</f>
        <v>2765</v>
      </c>
      <c r="J283" s="647"/>
      <c r="K283" s="647"/>
      <c r="L283" s="647"/>
      <c r="M283" s="647"/>
      <c r="N283" s="626">
        <f>N285+N287+N289+N291+N293</f>
        <v>2765</v>
      </c>
    </row>
    <row r="284" spans="1:16" s="9" customFormat="1" ht="18" customHeight="1">
      <c r="A284" s="351">
        <v>277</v>
      </c>
      <c r="B284" s="136"/>
      <c r="C284" s="132"/>
      <c r="D284" s="139" t="s">
        <v>100</v>
      </c>
      <c r="E284" s="129">
        <v>553</v>
      </c>
      <c r="F284" s="137">
        <v>553</v>
      </c>
      <c r="G284" s="138">
        <v>553</v>
      </c>
      <c r="H284" s="354"/>
      <c r="I284" s="627"/>
      <c r="J284" s="787"/>
      <c r="K284" s="787"/>
      <c r="L284" s="787"/>
      <c r="M284" s="787"/>
      <c r="N284" s="788"/>
      <c r="P284" s="8"/>
    </row>
    <row r="285" spans="1:16" s="649" customFormat="1" ht="18" customHeight="1">
      <c r="A285" s="351">
        <v>278</v>
      </c>
      <c r="B285" s="642"/>
      <c r="C285" s="630"/>
      <c r="D285" s="643" t="s">
        <v>283</v>
      </c>
      <c r="E285" s="632"/>
      <c r="F285" s="644"/>
      <c r="G285" s="645"/>
      <c r="H285" s="646"/>
      <c r="I285" s="627">
        <f>SUM(J285:N285)</f>
        <v>553</v>
      </c>
      <c r="J285" s="647"/>
      <c r="K285" s="647"/>
      <c r="L285" s="647"/>
      <c r="M285" s="647"/>
      <c r="N285" s="648">
        <v>553</v>
      </c>
      <c r="P285" s="635"/>
    </row>
    <row r="286" spans="1:16" s="9" customFormat="1" ht="18" customHeight="1">
      <c r="A286" s="351">
        <v>279</v>
      </c>
      <c r="B286" s="136"/>
      <c r="C286" s="132"/>
      <c r="D286" s="143" t="s">
        <v>101</v>
      </c>
      <c r="E286" s="129">
        <v>553</v>
      </c>
      <c r="F286" s="137">
        <v>553</v>
      </c>
      <c r="G286" s="138">
        <v>553</v>
      </c>
      <c r="H286" s="354"/>
      <c r="I286" s="789"/>
      <c r="J286" s="790"/>
      <c r="K286" s="790"/>
      <c r="L286" s="790"/>
      <c r="M286" s="790"/>
      <c r="N286" s="791"/>
      <c r="P286" s="8"/>
    </row>
    <row r="287" spans="1:16" s="649" customFormat="1" ht="18" customHeight="1">
      <c r="A287" s="351">
        <v>280</v>
      </c>
      <c r="B287" s="642"/>
      <c r="C287" s="630"/>
      <c r="D287" s="643" t="s">
        <v>283</v>
      </c>
      <c r="E287" s="632"/>
      <c r="F287" s="644"/>
      <c r="G287" s="645"/>
      <c r="H287" s="646"/>
      <c r="I287" s="627">
        <f>SUM(J287:N287)</f>
        <v>553</v>
      </c>
      <c r="J287" s="647"/>
      <c r="K287" s="647"/>
      <c r="L287" s="647"/>
      <c r="M287" s="647"/>
      <c r="N287" s="648">
        <v>553</v>
      </c>
      <c r="P287" s="635"/>
    </row>
    <row r="288" spans="1:16" s="9" customFormat="1" ht="18" customHeight="1">
      <c r="A288" s="351">
        <v>281</v>
      </c>
      <c r="B288" s="136"/>
      <c r="C288" s="132"/>
      <c r="D288" s="143" t="s">
        <v>102</v>
      </c>
      <c r="E288" s="129">
        <v>553</v>
      </c>
      <c r="F288" s="137">
        <v>553</v>
      </c>
      <c r="G288" s="138">
        <v>553</v>
      </c>
      <c r="H288" s="354"/>
      <c r="I288" s="789"/>
      <c r="J288" s="790"/>
      <c r="K288" s="790"/>
      <c r="L288" s="790"/>
      <c r="M288" s="790"/>
      <c r="N288" s="791"/>
      <c r="P288" s="8"/>
    </row>
    <row r="289" spans="1:16" s="649" customFormat="1" ht="18" customHeight="1">
      <c r="A289" s="351">
        <v>282</v>
      </c>
      <c r="B289" s="642"/>
      <c r="C289" s="630"/>
      <c r="D289" s="643" t="s">
        <v>283</v>
      </c>
      <c r="E289" s="632"/>
      <c r="F289" s="644"/>
      <c r="G289" s="645"/>
      <c r="H289" s="646"/>
      <c r="I289" s="627">
        <f>SUM(J289:N289)</f>
        <v>553</v>
      </c>
      <c r="J289" s="647"/>
      <c r="K289" s="647"/>
      <c r="L289" s="647"/>
      <c r="M289" s="647"/>
      <c r="N289" s="648">
        <v>553</v>
      </c>
      <c r="P289" s="635"/>
    </row>
    <row r="290" spans="1:16" s="9" customFormat="1" ht="18" customHeight="1">
      <c r="A290" s="351">
        <v>283</v>
      </c>
      <c r="B290" s="136"/>
      <c r="C290" s="132"/>
      <c r="D290" s="143" t="s">
        <v>103</v>
      </c>
      <c r="E290" s="129">
        <v>553</v>
      </c>
      <c r="F290" s="137">
        <v>553</v>
      </c>
      <c r="G290" s="138">
        <v>553</v>
      </c>
      <c r="H290" s="354"/>
      <c r="I290" s="789"/>
      <c r="J290" s="790"/>
      <c r="K290" s="790"/>
      <c r="L290" s="790"/>
      <c r="M290" s="790"/>
      <c r="N290" s="791"/>
      <c r="P290" s="8"/>
    </row>
    <row r="291" spans="1:16" s="649" customFormat="1" ht="18" customHeight="1">
      <c r="A291" s="351">
        <v>284</v>
      </c>
      <c r="B291" s="642"/>
      <c r="C291" s="630"/>
      <c r="D291" s="643" t="s">
        <v>283</v>
      </c>
      <c r="E291" s="632"/>
      <c r="F291" s="644"/>
      <c r="G291" s="645"/>
      <c r="H291" s="646"/>
      <c r="I291" s="627">
        <f>SUM(J291:N291)</f>
        <v>553</v>
      </c>
      <c r="J291" s="647"/>
      <c r="K291" s="647"/>
      <c r="L291" s="647"/>
      <c r="M291" s="647"/>
      <c r="N291" s="648">
        <v>553</v>
      </c>
      <c r="P291" s="635"/>
    </row>
    <row r="292" spans="1:16" s="9" customFormat="1" ht="18" customHeight="1">
      <c r="A292" s="351">
        <v>285</v>
      </c>
      <c r="B292" s="136"/>
      <c r="C292" s="132"/>
      <c r="D292" s="143" t="s">
        <v>104</v>
      </c>
      <c r="E292" s="129">
        <v>553</v>
      </c>
      <c r="F292" s="137">
        <v>553</v>
      </c>
      <c r="G292" s="138">
        <v>553</v>
      </c>
      <c r="H292" s="354"/>
      <c r="I292" s="789"/>
      <c r="J292" s="790"/>
      <c r="K292" s="790"/>
      <c r="L292" s="790"/>
      <c r="M292" s="790"/>
      <c r="N292" s="791"/>
      <c r="P292" s="8"/>
    </row>
    <row r="293" spans="1:16" s="649" customFormat="1" ht="18" customHeight="1">
      <c r="A293" s="351">
        <v>286</v>
      </c>
      <c r="B293" s="642"/>
      <c r="C293" s="630"/>
      <c r="D293" s="643" t="s">
        <v>283</v>
      </c>
      <c r="E293" s="632"/>
      <c r="F293" s="644"/>
      <c r="G293" s="645"/>
      <c r="H293" s="646"/>
      <c r="I293" s="627">
        <f>SUM(J293:N293)</f>
        <v>553</v>
      </c>
      <c r="J293" s="647"/>
      <c r="K293" s="647"/>
      <c r="L293" s="647"/>
      <c r="M293" s="647"/>
      <c r="N293" s="648">
        <v>553</v>
      </c>
      <c r="P293" s="635"/>
    </row>
    <row r="294" spans="1:16" s="387" customFormat="1" ht="22.5" customHeight="1">
      <c r="A294" s="351">
        <v>287</v>
      </c>
      <c r="B294" s="386"/>
      <c r="C294" s="127">
        <v>119</v>
      </c>
      <c r="D294" s="347" t="s">
        <v>380</v>
      </c>
      <c r="E294" s="152">
        <v>381</v>
      </c>
      <c r="F294" s="134">
        <v>1600</v>
      </c>
      <c r="G294" s="135">
        <v>3114</v>
      </c>
      <c r="H294" s="355" t="s">
        <v>24</v>
      </c>
      <c r="I294" s="624"/>
      <c r="J294" s="792"/>
      <c r="K294" s="792"/>
      <c r="L294" s="782"/>
      <c r="M294" s="792"/>
      <c r="N294" s="793"/>
      <c r="P294" s="3"/>
    </row>
    <row r="295" spans="1:16" s="649" customFormat="1" ht="18" customHeight="1">
      <c r="A295" s="351">
        <v>288</v>
      </c>
      <c r="B295" s="657"/>
      <c r="C295" s="630"/>
      <c r="D295" s="631" t="s">
        <v>283</v>
      </c>
      <c r="E295" s="636"/>
      <c r="F295" s="658"/>
      <c r="G295" s="659"/>
      <c r="H295" s="662"/>
      <c r="I295" s="624">
        <f>SUM(J295:N295)</f>
        <v>500</v>
      </c>
      <c r="J295" s="660"/>
      <c r="K295" s="660"/>
      <c r="L295" s="639">
        <v>500</v>
      </c>
      <c r="M295" s="660"/>
      <c r="N295" s="661"/>
      <c r="P295" s="635"/>
    </row>
    <row r="296" spans="1:16" s="387" customFormat="1" ht="22.5" customHeight="1">
      <c r="A296" s="351">
        <v>289</v>
      </c>
      <c r="B296" s="386"/>
      <c r="C296" s="127">
        <v>120</v>
      </c>
      <c r="D296" s="347" t="s">
        <v>492</v>
      </c>
      <c r="E296" s="152">
        <v>1704</v>
      </c>
      <c r="F296" s="134">
        <v>0</v>
      </c>
      <c r="G296" s="135">
        <v>0</v>
      </c>
      <c r="H296" s="355" t="s">
        <v>24</v>
      </c>
      <c r="I296" s="624"/>
      <c r="J296" s="792"/>
      <c r="K296" s="792"/>
      <c r="L296" s="782"/>
      <c r="M296" s="792"/>
      <c r="N296" s="793"/>
      <c r="P296" s="3"/>
    </row>
    <row r="297" spans="1:16" s="387" customFormat="1" ht="22.5" customHeight="1">
      <c r="A297" s="351">
        <v>290</v>
      </c>
      <c r="B297" s="386"/>
      <c r="C297" s="127">
        <v>121</v>
      </c>
      <c r="D297" s="347" t="s">
        <v>381</v>
      </c>
      <c r="E297" s="152">
        <v>1800</v>
      </c>
      <c r="F297" s="134">
        <v>2000</v>
      </c>
      <c r="G297" s="135">
        <v>3000</v>
      </c>
      <c r="H297" s="355" t="s">
        <v>24</v>
      </c>
      <c r="I297" s="624"/>
      <c r="J297" s="792"/>
      <c r="K297" s="792"/>
      <c r="L297" s="782"/>
      <c r="M297" s="792"/>
      <c r="N297" s="793"/>
      <c r="P297" s="3"/>
    </row>
    <row r="298" spans="1:16" s="649" customFormat="1" ht="18" customHeight="1">
      <c r="A298" s="351">
        <v>291</v>
      </c>
      <c r="B298" s="657"/>
      <c r="C298" s="630"/>
      <c r="D298" s="631" t="s">
        <v>283</v>
      </c>
      <c r="E298" s="636"/>
      <c r="F298" s="658"/>
      <c r="G298" s="659"/>
      <c r="H298" s="662"/>
      <c r="I298" s="624">
        <f>SUM(J298:N298)</f>
        <v>1000</v>
      </c>
      <c r="J298" s="660"/>
      <c r="K298" s="660"/>
      <c r="L298" s="639">
        <v>1000</v>
      </c>
      <c r="M298" s="660"/>
      <c r="N298" s="661"/>
      <c r="P298" s="635"/>
    </row>
    <row r="299" spans="1:14" s="8" customFormat="1" ht="22.5" customHeight="1">
      <c r="A299" s="351">
        <v>292</v>
      </c>
      <c r="B299" s="145"/>
      <c r="C299" s="127">
        <v>122</v>
      </c>
      <c r="D299" s="346" t="s">
        <v>306</v>
      </c>
      <c r="E299" s="152">
        <v>10738</v>
      </c>
      <c r="F299" s="152">
        <v>12000</v>
      </c>
      <c r="G299" s="153">
        <v>15231</v>
      </c>
      <c r="H299" s="355" t="s">
        <v>24</v>
      </c>
      <c r="I299" s="624"/>
      <c r="J299" s="782"/>
      <c r="K299" s="782"/>
      <c r="L299" s="782"/>
      <c r="M299" s="782"/>
      <c r="N299" s="783"/>
    </row>
    <row r="300" spans="1:14" s="635" customFormat="1" ht="18" customHeight="1">
      <c r="A300" s="351">
        <v>293</v>
      </c>
      <c r="B300" s="663"/>
      <c r="C300" s="664"/>
      <c r="D300" s="631" t="s">
        <v>283</v>
      </c>
      <c r="E300" s="152"/>
      <c r="F300" s="152"/>
      <c r="G300" s="153"/>
      <c r="H300" s="638"/>
      <c r="I300" s="624">
        <f>SUM(J300:N300)</f>
        <v>2700</v>
      </c>
      <c r="J300" s="639"/>
      <c r="K300" s="639"/>
      <c r="L300" s="639"/>
      <c r="M300" s="639"/>
      <c r="N300" s="640">
        <v>2700</v>
      </c>
    </row>
    <row r="301" spans="1:16" s="3" customFormat="1" ht="22.5" customHeight="1">
      <c r="A301" s="351">
        <v>294</v>
      </c>
      <c r="B301" s="144"/>
      <c r="C301" s="127">
        <v>123</v>
      </c>
      <c r="D301" s="346" t="s">
        <v>442</v>
      </c>
      <c r="E301" s="152">
        <v>95</v>
      </c>
      <c r="F301" s="152">
        <v>2000</v>
      </c>
      <c r="G301" s="153">
        <v>1992</v>
      </c>
      <c r="H301" s="355" t="s">
        <v>24</v>
      </c>
      <c r="I301" s="624"/>
      <c r="J301" s="782"/>
      <c r="K301" s="782"/>
      <c r="L301" s="782"/>
      <c r="M301" s="782"/>
      <c r="N301" s="783"/>
      <c r="O301" s="8"/>
      <c r="P301" s="8"/>
    </row>
    <row r="302" spans="1:16" s="641" customFormat="1" ht="18" customHeight="1">
      <c r="A302" s="351">
        <v>295</v>
      </c>
      <c r="B302" s="653"/>
      <c r="C302" s="664"/>
      <c r="D302" s="631" t="s">
        <v>283</v>
      </c>
      <c r="E302" s="152"/>
      <c r="F302" s="152"/>
      <c r="G302" s="153"/>
      <c r="H302" s="638"/>
      <c r="I302" s="624">
        <f>SUM(J302:N302)</f>
        <v>2000</v>
      </c>
      <c r="J302" s="639"/>
      <c r="K302" s="639"/>
      <c r="L302" s="639">
        <v>2000</v>
      </c>
      <c r="M302" s="639"/>
      <c r="N302" s="640"/>
      <c r="O302" s="635"/>
      <c r="P302" s="635"/>
    </row>
    <row r="303" spans="1:16" s="641" customFormat="1" ht="22.5" customHeight="1">
      <c r="A303" s="351">
        <v>296</v>
      </c>
      <c r="B303" s="653"/>
      <c r="C303" s="127">
        <v>124</v>
      </c>
      <c r="D303" s="346" t="s">
        <v>528</v>
      </c>
      <c r="E303" s="152">
        <v>0</v>
      </c>
      <c r="F303" s="152">
        <v>0</v>
      </c>
      <c r="G303" s="153">
        <v>0</v>
      </c>
      <c r="H303" s="355" t="s">
        <v>24</v>
      </c>
      <c r="I303" s="624"/>
      <c r="J303" s="639"/>
      <c r="K303" s="639"/>
      <c r="L303" s="639"/>
      <c r="M303" s="639"/>
      <c r="N303" s="640"/>
      <c r="O303" s="635"/>
      <c r="P303" s="635"/>
    </row>
    <row r="304" spans="1:16" s="641" customFormat="1" ht="18" customHeight="1">
      <c r="A304" s="351">
        <v>297</v>
      </c>
      <c r="B304" s="653"/>
      <c r="C304" s="664"/>
      <c r="D304" s="631" t="s">
        <v>283</v>
      </c>
      <c r="E304" s="636"/>
      <c r="F304" s="636"/>
      <c r="G304" s="637"/>
      <c r="H304" s="638"/>
      <c r="I304" s="624">
        <f>SUM(J304:N304)</f>
        <v>1200</v>
      </c>
      <c r="J304" s="639"/>
      <c r="K304" s="639"/>
      <c r="L304" s="639">
        <v>1200</v>
      </c>
      <c r="M304" s="639"/>
      <c r="N304" s="640"/>
      <c r="O304" s="635"/>
      <c r="P304" s="635"/>
    </row>
    <row r="305" spans="1:16" s="641" customFormat="1" ht="22.5" customHeight="1">
      <c r="A305" s="351">
        <v>298</v>
      </c>
      <c r="B305" s="653"/>
      <c r="C305" s="127">
        <v>125</v>
      </c>
      <c r="D305" s="346" t="s">
        <v>685</v>
      </c>
      <c r="E305" s="152">
        <v>0</v>
      </c>
      <c r="F305" s="152">
        <v>0</v>
      </c>
      <c r="G305" s="153">
        <v>210820</v>
      </c>
      <c r="H305" s="355" t="s">
        <v>24</v>
      </c>
      <c r="I305" s="624"/>
      <c r="J305" s="639"/>
      <c r="K305" s="639"/>
      <c r="L305" s="639"/>
      <c r="M305" s="639"/>
      <c r="N305" s="640"/>
      <c r="O305" s="635"/>
      <c r="P305" s="635"/>
    </row>
    <row r="306" spans="1:16" s="641" customFormat="1" ht="18" customHeight="1">
      <c r="A306" s="351">
        <v>299</v>
      </c>
      <c r="B306" s="653"/>
      <c r="C306" s="127"/>
      <c r="D306" s="631" t="s">
        <v>283</v>
      </c>
      <c r="E306" s="152">
        <v>0</v>
      </c>
      <c r="F306" s="152">
        <v>0</v>
      </c>
      <c r="G306" s="153">
        <v>0</v>
      </c>
      <c r="H306" s="355"/>
      <c r="I306" s="624">
        <f>SUM(J306:N306)</f>
        <v>210820</v>
      </c>
      <c r="J306" s="639"/>
      <c r="K306" s="639"/>
      <c r="L306" s="639">
        <v>210820</v>
      </c>
      <c r="M306" s="639"/>
      <c r="N306" s="640"/>
      <c r="O306" s="635"/>
      <c r="P306" s="635"/>
    </row>
    <row r="307" spans="1:14" s="635" customFormat="1" ht="22.5" customHeight="1">
      <c r="A307" s="351">
        <v>300</v>
      </c>
      <c r="B307" s="629"/>
      <c r="C307" s="127">
        <v>126</v>
      </c>
      <c r="D307" s="346" t="s">
        <v>683</v>
      </c>
      <c r="E307" s="632"/>
      <c r="F307" s="632"/>
      <c r="G307" s="633"/>
      <c r="H307" s="353" t="s">
        <v>24</v>
      </c>
      <c r="I307" s="624"/>
      <c r="J307" s="625"/>
      <c r="K307" s="625"/>
      <c r="L307" s="625"/>
      <c r="M307" s="625"/>
      <c r="N307" s="626"/>
    </row>
    <row r="308" spans="1:14" s="635" customFormat="1" ht="18" customHeight="1">
      <c r="A308" s="351">
        <v>301</v>
      </c>
      <c r="B308" s="629"/>
      <c r="C308" s="630"/>
      <c r="D308" s="631" t="s">
        <v>283</v>
      </c>
      <c r="E308" s="129">
        <v>0</v>
      </c>
      <c r="F308" s="129">
        <v>0</v>
      </c>
      <c r="G308" s="130">
        <v>0</v>
      </c>
      <c r="H308" s="353"/>
      <c r="I308" s="624">
        <f>SUM(J308:N308)</f>
        <v>6300</v>
      </c>
      <c r="J308" s="625"/>
      <c r="K308" s="625"/>
      <c r="L308" s="625">
        <v>6300</v>
      </c>
      <c r="M308" s="625"/>
      <c r="N308" s="626"/>
    </row>
    <row r="309" spans="1:14" s="635" customFormat="1" ht="35.25" customHeight="1">
      <c r="A309" s="351">
        <v>302</v>
      </c>
      <c r="B309" s="629"/>
      <c r="C309" s="330">
        <v>127</v>
      </c>
      <c r="D309" s="346" t="s">
        <v>813</v>
      </c>
      <c r="E309" s="129"/>
      <c r="F309" s="129"/>
      <c r="G309" s="130"/>
      <c r="H309" s="353" t="s">
        <v>24</v>
      </c>
      <c r="I309" s="624"/>
      <c r="J309" s="625"/>
      <c r="K309" s="625"/>
      <c r="L309" s="625"/>
      <c r="M309" s="625"/>
      <c r="N309" s="626"/>
    </row>
    <row r="310" spans="1:14" s="635" customFormat="1" ht="18" customHeight="1">
      <c r="A310" s="351">
        <v>303</v>
      </c>
      <c r="B310" s="629"/>
      <c r="C310" s="630"/>
      <c r="D310" s="631" t="s">
        <v>283</v>
      </c>
      <c r="E310" s="129"/>
      <c r="F310" s="129"/>
      <c r="G310" s="130"/>
      <c r="H310" s="353"/>
      <c r="I310" s="624">
        <f>SUM(J310:N310)</f>
        <v>1000</v>
      </c>
      <c r="J310" s="625"/>
      <c r="K310" s="625"/>
      <c r="L310" s="625">
        <v>1000</v>
      </c>
      <c r="M310" s="625"/>
      <c r="N310" s="626"/>
    </row>
    <row r="311" spans="1:16" s="3" customFormat="1" ht="22.5" customHeight="1">
      <c r="A311" s="351">
        <v>304</v>
      </c>
      <c r="B311" s="131"/>
      <c r="C311" s="127">
        <v>128</v>
      </c>
      <c r="D311" s="133" t="s">
        <v>254</v>
      </c>
      <c r="E311" s="129">
        <v>0</v>
      </c>
      <c r="F311" s="129">
        <v>1210</v>
      </c>
      <c r="G311" s="130">
        <v>1210</v>
      </c>
      <c r="H311" s="353" t="s">
        <v>24</v>
      </c>
      <c r="I311" s="784"/>
      <c r="J311" s="785"/>
      <c r="K311" s="785"/>
      <c r="L311" s="785"/>
      <c r="M311" s="785"/>
      <c r="N311" s="786"/>
      <c r="O311" s="8"/>
      <c r="P311" s="8"/>
    </row>
    <row r="312" spans="1:16" s="3" customFormat="1" ht="22.5" customHeight="1">
      <c r="A312" s="351">
        <v>305</v>
      </c>
      <c r="B312" s="131"/>
      <c r="C312" s="127">
        <v>129</v>
      </c>
      <c r="D312" s="133" t="s">
        <v>255</v>
      </c>
      <c r="E312" s="129">
        <v>0</v>
      </c>
      <c r="F312" s="129">
        <v>1254</v>
      </c>
      <c r="G312" s="130">
        <v>1254</v>
      </c>
      <c r="H312" s="353" t="s">
        <v>24</v>
      </c>
      <c r="I312" s="784"/>
      <c r="J312" s="785"/>
      <c r="K312" s="785"/>
      <c r="L312" s="785"/>
      <c r="M312" s="785"/>
      <c r="N312" s="786"/>
      <c r="O312" s="8"/>
      <c r="P312" s="8"/>
    </row>
    <row r="313" spans="1:14" ht="22.5" customHeight="1">
      <c r="A313" s="351">
        <v>306</v>
      </c>
      <c r="B313" s="775"/>
      <c r="C313" s="127">
        <v>130</v>
      </c>
      <c r="D313" s="128" t="s">
        <v>700</v>
      </c>
      <c r="E313" s="129">
        <v>0</v>
      </c>
      <c r="F313" s="129">
        <v>1500</v>
      </c>
      <c r="G313" s="153">
        <v>1500</v>
      </c>
      <c r="H313" s="776" t="s">
        <v>24</v>
      </c>
      <c r="I313" s="896"/>
      <c r="J313" s="795"/>
      <c r="K313" s="795"/>
      <c r="L313" s="795"/>
      <c r="M313" s="795"/>
      <c r="N313" s="796"/>
    </row>
    <row r="314" spans="1:14" ht="32.25" customHeight="1">
      <c r="A314" s="351">
        <v>307</v>
      </c>
      <c r="B314" s="775"/>
      <c r="C314" s="330">
        <v>131</v>
      </c>
      <c r="D314" s="128" t="s">
        <v>701</v>
      </c>
      <c r="E314" s="129">
        <v>0</v>
      </c>
      <c r="F314" s="129">
        <v>1000</v>
      </c>
      <c r="G314" s="153">
        <v>1000</v>
      </c>
      <c r="H314" s="776" t="s">
        <v>24</v>
      </c>
      <c r="I314" s="896"/>
      <c r="J314" s="795"/>
      <c r="K314" s="795"/>
      <c r="L314" s="795"/>
      <c r="M314" s="795"/>
      <c r="N314" s="796"/>
    </row>
    <row r="315" spans="1:14" ht="22.5" customHeight="1">
      <c r="A315" s="351">
        <v>308</v>
      </c>
      <c r="B315" s="775"/>
      <c r="C315" s="127">
        <v>132</v>
      </c>
      <c r="D315" s="128" t="s">
        <v>702</v>
      </c>
      <c r="E315" s="129">
        <v>0</v>
      </c>
      <c r="F315" s="129">
        <v>1500</v>
      </c>
      <c r="G315" s="153">
        <v>1500</v>
      </c>
      <c r="H315" s="776" t="s">
        <v>23</v>
      </c>
      <c r="I315" s="896"/>
      <c r="J315" s="795"/>
      <c r="K315" s="795"/>
      <c r="L315" s="795"/>
      <c r="M315" s="795"/>
      <c r="N315" s="796"/>
    </row>
    <row r="316" spans="1:14" ht="22.5" customHeight="1">
      <c r="A316" s="351">
        <v>309</v>
      </c>
      <c r="B316" s="775"/>
      <c r="C316" s="127">
        <v>133</v>
      </c>
      <c r="D316" s="128" t="s">
        <v>535</v>
      </c>
      <c r="E316" s="129">
        <v>26352</v>
      </c>
      <c r="F316" s="129">
        <v>2818</v>
      </c>
      <c r="G316" s="152">
        <v>2818</v>
      </c>
      <c r="H316" s="776" t="s">
        <v>24</v>
      </c>
      <c r="I316" s="794"/>
      <c r="J316" s="795"/>
      <c r="K316" s="795"/>
      <c r="L316" s="795"/>
      <c r="M316" s="795"/>
      <c r="N316" s="796"/>
    </row>
    <row r="317" spans="1:16" s="641" customFormat="1" ht="22.5" customHeight="1">
      <c r="A317" s="351">
        <v>310</v>
      </c>
      <c r="B317" s="653"/>
      <c r="C317" s="127">
        <v>134</v>
      </c>
      <c r="D317" s="133" t="s">
        <v>699</v>
      </c>
      <c r="E317" s="152">
        <v>0</v>
      </c>
      <c r="F317" s="152">
        <v>0</v>
      </c>
      <c r="G317" s="153">
        <v>2286</v>
      </c>
      <c r="H317" s="355" t="s">
        <v>24</v>
      </c>
      <c r="I317" s="624"/>
      <c r="J317" s="639"/>
      <c r="K317" s="639"/>
      <c r="L317" s="639"/>
      <c r="M317" s="639"/>
      <c r="N317" s="640"/>
      <c r="O317" s="635"/>
      <c r="P317" s="635"/>
    </row>
    <row r="318" spans="1:14" s="8" customFormat="1" ht="22.5" customHeight="1">
      <c r="A318" s="351">
        <v>311</v>
      </c>
      <c r="B318" s="131"/>
      <c r="C318" s="127">
        <v>135</v>
      </c>
      <c r="D318" s="128" t="s">
        <v>472</v>
      </c>
      <c r="E318" s="129">
        <v>153947</v>
      </c>
      <c r="F318" s="129">
        <v>0</v>
      </c>
      <c r="G318" s="130">
        <v>0</v>
      </c>
      <c r="H318" s="353" t="s">
        <v>23</v>
      </c>
      <c r="I318" s="624"/>
      <c r="J318" s="779"/>
      <c r="K318" s="779"/>
      <c r="L318" s="779"/>
      <c r="M318" s="779"/>
      <c r="N318" s="780"/>
    </row>
    <row r="319" spans="1:14" s="8" customFormat="1" ht="22.5" customHeight="1">
      <c r="A319" s="351">
        <v>312</v>
      </c>
      <c r="B319" s="131"/>
      <c r="C319" s="127">
        <v>136</v>
      </c>
      <c r="D319" s="128" t="s">
        <v>377</v>
      </c>
      <c r="E319" s="129">
        <v>159</v>
      </c>
      <c r="F319" s="129">
        <v>0</v>
      </c>
      <c r="G319" s="130">
        <v>0</v>
      </c>
      <c r="H319" s="353" t="s">
        <v>23</v>
      </c>
      <c r="I319" s="624"/>
      <c r="J319" s="779"/>
      <c r="K319" s="779"/>
      <c r="L319" s="779"/>
      <c r="M319" s="779"/>
      <c r="N319" s="780"/>
    </row>
    <row r="320" spans="1:16" s="146" customFormat="1" ht="22.5" customHeight="1">
      <c r="A320" s="351">
        <v>313</v>
      </c>
      <c r="B320" s="145"/>
      <c r="C320" s="127">
        <v>137</v>
      </c>
      <c r="D320" s="128" t="s">
        <v>105</v>
      </c>
      <c r="E320" s="152">
        <v>49</v>
      </c>
      <c r="F320" s="152">
        <v>0</v>
      </c>
      <c r="G320" s="152">
        <v>0</v>
      </c>
      <c r="H320" s="355" t="s">
        <v>24</v>
      </c>
      <c r="I320" s="624"/>
      <c r="J320" s="782"/>
      <c r="K320" s="782"/>
      <c r="L320" s="782"/>
      <c r="M320" s="782"/>
      <c r="N320" s="783"/>
      <c r="O320" s="123"/>
      <c r="P320" s="8"/>
    </row>
    <row r="321" spans="1:16" s="3" customFormat="1" ht="22.5" customHeight="1">
      <c r="A321" s="351">
        <v>314</v>
      </c>
      <c r="B321" s="126"/>
      <c r="C321" s="127">
        <v>138</v>
      </c>
      <c r="D321" s="827" t="s">
        <v>339</v>
      </c>
      <c r="E321" s="129">
        <v>70760</v>
      </c>
      <c r="F321" s="129">
        <v>0</v>
      </c>
      <c r="G321" s="130">
        <v>0</v>
      </c>
      <c r="H321" s="353" t="s">
        <v>23</v>
      </c>
      <c r="I321" s="624"/>
      <c r="J321" s="779"/>
      <c r="K321" s="779"/>
      <c r="L321" s="779"/>
      <c r="M321" s="779"/>
      <c r="N321" s="780"/>
      <c r="P321" s="8"/>
    </row>
    <row r="322" spans="1:14" s="8" customFormat="1" ht="22.5" customHeight="1">
      <c r="A322" s="351">
        <v>315</v>
      </c>
      <c r="B322" s="145"/>
      <c r="C322" s="127">
        <v>139</v>
      </c>
      <c r="D322" s="133" t="s">
        <v>476</v>
      </c>
      <c r="E322" s="129">
        <v>14960</v>
      </c>
      <c r="F322" s="129">
        <v>0</v>
      </c>
      <c r="G322" s="153">
        <v>0</v>
      </c>
      <c r="H322" s="355" t="s">
        <v>23</v>
      </c>
      <c r="I322" s="624"/>
      <c r="J322" s="782"/>
      <c r="K322" s="782"/>
      <c r="L322" s="782"/>
      <c r="M322" s="782"/>
      <c r="N322" s="783"/>
    </row>
    <row r="323" spans="1:16" s="9" customFormat="1" ht="32.25" customHeight="1">
      <c r="A323" s="351">
        <v>316</v>
      </c>
      <c r="B323" s="372"/>
      <c r="C323" s="330">
        <v>140</v>
      </c>
      <c r="D323" s="128" t="s">
        <v>379</v>
      </c>
      <c r="E323" s="152">
        <v>0</v>
      </c>
      <c r="F323" s="134">
        <v>0</v>
      </c>
      <c r="G323" s="135">
        <v>0</v>
      </c>
      <c r="H323" s="355" t="s">
        <v>24</v>
      </c>
      <c r="I323" s="624"/>
      <c r="J323" s="792"/>
      <c r="K323" s="792"/>
      <c r="L323" s="782"/>
      <c r="M323" s="792"/>
      <c r="N323" s="793"/>
      <c r="P323" s="8"/>
    </row>
    <row r="324" spans="1:16" s="387" customFormat="1" ht="22.5" customHeight="1" thickBot="1">
      <c r="A324" s="351">
        <v>317</v>
      </c>
      <c r="B324" s="386"/>
      <c r="C324" s="127">
        <v>141</v>
      </c>
      <c r="D324" s="128" t="s">
        <v>443</v>
      </c>
      <c r="E324" s="152">
        <v>0</v>
      </c>
      <c r="F324" s="134">
        <v>0</v>
      </c>
      <c r="G324" s="135">
        <v>0</v>
      </c>
      <c r="H324" s="355" t="s">
        <v>24</v>
      </c>
      <c r="I324" s="624"/>
      <c r="J324" s="792"/>
      <c r="K324" s="792"/>
      <c r="L324" s="782"/>
      <c r="M324" s="792"/>
      <c r="N324" s="793"/>
      <c r="P324" s="3"/>
    </row>
    <row r="325" spans="1:16" s="1384" customFormat="1" ht="33.75" customHeight="1" thickBot="1" thickTop="1">
      <c r="A325" s="351">
        <v>318</v>
      </c>
      <c r="B325" s="802"/>
      <c r="C325" s="803"/>
      <c r="D325" s="1511" t="s">
        <v>13</v>
      </c>
      <c r="E325" s="1512"/>
      <c r="F325" s="1512"/>
      <c r="G325" s="1513"/>
      <c r="H325" s="804"/>
      <c r="I325" s="805">
        <f aca="true" t="shared" si="0" ref="I325:N325">SUM(I9:I324)-I283-I133-I116-I64-I25-I108</f>
        <v>7734774</v>
      </c>
      <c r="J325" s="805">
        <f t="shared" si="0"/>
        <v>167101</v>
      </c>
      <c r="K325" s="805">
        <f t="shared" si="0"/>
        <v>21658</v>
      </c>
      <c r="L325" s="805">
        <f t="shared" si="0"/>
        <v>2082744</v>
      </c>
      <c r="M325" s="805">
        <f t="shared" si="0"/>
        <v>40710</v>
      </c>
      <c r="N325" s="893">
        <f t="shared" si="0"/>
        <v>5422561</v>
      </c>
      <c r="O325" s="1385"/>
      <c r="P325" s="8"/>
    </row>
    <row r="326" spans="1:16" s="1384" customFormat="1" ht="22.5" customHeight="1" thickTop="1">
      <c r="A326" s="351">
        <v>319</v>
      </c>
      <c r="B326" s="93"/>
      <c r="C326" s="94"/>
      <c r="D326" s="1516" t="s">
        <v>106</v>
      </c>
      <c r="E326" s="1517"/>
      <c r="F326" s="1517"/>
      <c r="G326" s="1518"/>
      <c r="H326" s="356"/>
      <c r="I326" s="798">
        <f>SUM(J326:N326)</f>
        <v>6532379</v>
      </c>
      <c r="J326" s="797">
        <f>J283+J280+J276+J272+J270+J268+J266+J264+J262+J260+J258+J256+J254+J252+J250+J241+J239+J237+J235+J226+J224+J222+J218+J199+J195+J193+J191+J189+J183+J171+J169+J167+J165+J163+J155+J135+J131+J129+J127+J100+J98+J95+J10+J228+J185+J248+J278+J246+J244+J230</f>
        <v>155727</v>
      </c>
      <c r="K326" s="797">
        <f>K283+K280+K276+K272+K270+K268+K266+K264+K262+K260+K258+K256+K254+K252+K250+K241+K239+K237+K235+K226+K224+K222+K218+K199+K195+K193+K191+K189+K183+K171+K169+K167+K165+K163+K155+K135+K131+K129+K127+K100+K98+K95+K10+K228+K185+K248+K278+K246+K244+K230</f>
        <v>20371</v>
      </c>
      <c r="L326" s="797">
        <f>L283+L280+L276+L272+L270+L268+L266+L264+L262+L260+L258+L256+L254+L252+L250+L241+L239+L237+L235+L226+L224+L222+L218+L199+L195+L193+L191+L189+L183+L171+L169+L167+L165+L163+L155+L135+L131+L129+L127+L100+L98+L95+L10+L228+L185+L248+L278+L246+L244+L230</f>
        <v>1516457</v>
      </c>
      <c r="M326" s="797">
        <f>M283+M280+M276+M272+M270+M268+M266+M264+M262+M260+M258+M256+M254+M252+M250+M241+M239+M237+M235+M226+M224+M222+M218+M199+M195+M193+M191+M189+M183+M171+M169+M167+M165+M163+M155+M135+M131+M129+M127+M100+M98+M95+M10+M228+M185+M248+M278+M246+M244+M230</f>
        <v>10600</v>
      </c>
      <c r="N326" s="825">
        <f>N283+N280+N276+N272+N270+N268+N266+N264+N262+N260+N258+N256+N254+N252+N250+N241+N239+N237+N235+N226+N224+N222+N218+N199+N195+N193+N191+N189+N183+N171+N169+N167+N165+N163+N155+N135+N131+N129+N127+N100+N98+N95+N10+N228+N185+N248+N278+N246+N244+N230</f>
        <v>4829224</v>
      </c>
      <c r="O326" s="892"/>
      <c r="P326" s="8"/>
    </row>
    <row r="327" spans="1:16" s="666" customFormat="1" ht="18" customHeight="1">
      <c r="A327" s="351">
        <v>320</v>
      </c>
      <c r="B327" s="629"/>
      <c r="C327" s="630"/>
      <c r="D327" s="1519" t="s">
        <v>283</v>
      </c>
      <c r="E327" s="1520"/>
      <c r="F327" s="1520"/>
      <c r="G327" s="1521"/>
      <c r="H327" s="634"/>
      <c r="I327" s="665"/>
      <c r="J327" s="625"/>
      <c r="K327" s="625"/>
      <c r="L327" s="625"/>
      <c r="M327" s="625"/>
      <c r="N327" s="626"/>
      <c r="O327" s="635"/>
      <c r="P327" s="635"/>
    </row>
    <row r="328" spans="1:16" s="1384" customFormat="1" ht="22.5" customHeight="1">
      <c r="A328" s="351">
        <v>321</v>
      </c>
      <c r="B328" s="95"/>
      <c r="C328" s="96"/>
      <c r="D328" s="1522" t="s">
        <v>107</v>
      </c>
      <c r="E328" s="1520"/>
      <c r="F328" s="1520"/>
      <c r="G328" s="1521"/>
      <c r="H328" s="357"/>
      <c r="I328" s="799">
        <f>SUM(J328:N328)</f>
        <v>1202395</v>
      </c>
      <c r="J328" s="779">
        <f>J302+J300+J298+J295+J274+J232+J220+J214+J212+J208+J203+J201+J197+J187+J180+J178+J176+J173+J161+J159+J157+J153+J151+J149+J147+J145+J143+J141+J139+J125+J123+J120+J114+J110+J106+J104+J93+J88+J76+J66+J61+J59+J57+J55+J44+J42+J35+J33+J31+J29+J27+J18+J16+J12+J304+J137+J306+J118+J68+J70+J72+J74+J46+J37+J39+J14+J308+J205+J310</f>
        <v>11374</v>
      </c>
      <c r="K328" s="779">
        <f>K302+K300+K298+K295+K274+K232+K220+K214+K212+K208+K203+K201+K197+K187+K180+K178+K176+K173+K161+K159+K157+K153+K151+K149+K147+K145+K143+K141+K139+K125+K123+K120+K114+K110+K106+K104+K93+K88+K76+K66+K61+K59+K57+K55+K44+K42+K35+K33+K31+K29+K27+K18+K16+K12+K304+K137+K306+K118+K68+K70+K72+K74+K46+K37+K39+K14+K308+K205+K310</f>
        <v>1287</v>
      </c>
      <c r="L328" s="779">
        <f>L302+L300+L298+L295+L274+L232+L220+L214+L212+L208+L203+L201+L197+L187+L180+L178+L176+L173+L161+L159+L157+L153+L151+L149+L147+L145+L143+L141+L139+L125+L123+L120+L114+L110+L106+L104+L93+L88+L76+L66+L61+L59+L57+L55+L44+L42+L35+L33+L31+L29+L27+L18+L16+L12+L304+L137+L306+L118+L68+L70+L72+L74+L46+L37+L39+L14+L308+L205+L310</f>
        <v>566287</v>
      </c>
      <c r="M328" s="779">
        <f>M302+M300+M298+M295+M274+M232+M220+M214+M212+M208+M203+M201+M197+M187+M180+M178+M176+M173+M161+M159+M157+M153+M151+M149+M147+M145+M143+M141+M139+M125+M123+M120+M114+M110+M106+M104+M93+M88+M76+M66+M61+M59+M57+M55+M44+M42+M35+M33+M31+M29+M27+M18+M16+M12+M304+M137+M306+M118+M68+M70+M72+M74+M46+M37+M39+M14+M308+M205+M310</f>
        <v>30110</v>
      </c>
      <c r="N328" s="780">
        <f>N302+N300+N298+N295+N274+N232+N220+N214+N212+N208+N203+N201+N197+N187+N180+N178+N176+N173+N161+N159+N157+N153+N151+N149+N147+N145+N143+N141+N139+N125+N123+N120+N114+N110+N106+N104+N93+N88+N76+N66+N61+N59+N57+N55+N44+N42+N35+N33+N31+N29+N27+N18+N16+N12+N304+N137+N306+N118+N68+N70+N72+N74+N46+N37+N39+N14+N308+N205+N310</f>
        <v>593337</v>
      </c>
      <c r="O328" s="1385"/>
      <c r="P328" s="8"/>
    </row>
    <row r="329" spans="1:16" s="674" customFormat="1" ht="18" customHeight="1" thickBot="1">
      <c r="A329" s="351">
        <v>322</v>
      </c>
      <c r="B329" s="667"/>
      <c r="C329" s="668"/>
      <c r="D329" s="1523" t="s">
        <v>283</v>
      </c>
      <c r="E329" s="1524"/>
      <c r="F329" s="1524"/>
      <c r="G329" s="1525"/>
      <c r="H329" s="669"/>
      <c r="I329" s="670"/>
      <c r="J329" s="671"/>
      <c r="K329" s="671"/>
      <c r="L329" s="671"/>
      <c r="M329" s="671"/>
      <c r="N329" s="672"/>
      <c r="O329" s="673"/>
      <c r="P329" s="635"/>
    </row>
    <row r="330" spans="1:14" ht="18" customHeight="1">
      <c r="A330" s="352"/>
      <c r="B330" s="1496" t="s">
        <v>27</v>
      </c>
      <c r="C330" s="1496"/>
      <c r="D330" s="1496"/>
      <c r="E330" s="124"/>
      <c r="F330" s="124"/>
      <c r="G330" s="124"/>
      <c r="H330" s="344"/>
      <c r="I330" s="125"/>
      <c r="J330" s="124"/>
      <c r="K330" s="124"/>
      <c r="L330" s="124"/>
      <c r="M330" s="124"/>
      <c r="N330" s="124"/>
    </row>
    <row r="331" spans="1:14" ht="18" customHeight="1">
      <c r="A331" s="352"/>
      <c r="B331" s="373" t="s">
        <v>28</v>
      </c>
      <c r="C331" s="373"/>
      <c r="D331" s="373"/>
      <c r="E331" s="124"/>
      <c r="F331" s="124"/>
      <c r="G331" s="124"/>
      <c r="H331" s="344"/>
      <c r="I331" s="125"/>
      <c r="J331" s="124"/>
      <c r="K331" s="124"/>
      <c r="L331" s="124"/>
      <c r="M331" s="124"/>
      <c r="N331" s="124"/>
    </row>
    <row r="332" spans="1:14" ht="18" customHeight="1">
      <c r="A332" s="352"/>
      <c r="B332" s="1496" t="s">
        <v>29</v>
      </c>
      <c r="C332" s="1496"/>
      <c r="D332" s="1496"/>
      <c r="E332" s="124"/>
      <c r="F332" s="124"/>
      <c r="G332" s="124"/>
      <c r="H332" s="344"/>
      <c r="I332" s="125"/>
      <c r="J332" s="124"/>
      <c r="K332" s="124"/>
      <c r="L332" s="124"/>
      <c r="M332" s="124"/>
      <c r="N332" s="124"/>
    </row>
    <row r="333" spans="4:9" ht="18" customHeight="1">
      <c r="D333" s="11"/>
      <c r="E333" s="226"/>
      <c r="F333" s="226"/>
      <c r="G333" s="226"/>
      <c r="H333" s="12"/>
      <c r="I333" s="226"/>
    </row>
    <row r="334" spans="4:8" ht="18" customHeight="1">
      <c r="D334" s="11"/>
      <c r="E334" s="226"/>
      <c r="F334" s="226"/>
      <c r="G334" s="226"/>
      <c r="H334" s="12"/>
    </row>
    <row r="335" spans="4:8" ht="18" customHeight="1">
      <c r="D335" s="11"/>
      <c r="E335" s="226"/>
      <c r="F335" s="226"/>
      <c r="G335" s="226"/>
      <c r="H335" s="12"/>
    </row>
    <row r="336" spans="1:15" s="13" customFormat="1" ht="18" customHeight="1">
      <c r="A336" s="351"/>
      <c r="B336" s="3"/>
      <c r="C336" s="7"/>
      <c r="D336" s="11"/>
      <c r="E336" s="226"/>
      <c r="F336" s="226"/>
      <c r="G336" s="226"/>
      <c r="H336" s="12"/>
      <c r="J336" s="226"/>
      <c r="K336" s="226"/>
      <c r="L336" s="226"/>
      <c r="M336" s="226"/>
      <c r="N336" s="226"/>
      <c r="O336" s="4"/>
    </row>
    <row r="337" spans="1:15" s="13" customFormat="1" ht="18" customHeight="1">
      <c r="A337" s="351"/>
      <c r="B337" s="3"/>
      <c r="C337" s="7"/>
      <c r="D337" s="11"/>
      <c r="E337" s="226"/>
      <c r="F337" s="226"/>
      <c r="G337" s="226"/>
      <c r="H337" s="12"/>
      <c r="J337" s="226"/>
      <c r="K337" s="226"/>
      <c r="L337" s="226"/>
      <c r="M337" s="226"/>
      <c r="N337" s="226"/>
      <c r="O337" s="4"/>
    </row>
    <row r="338" spans="1:15" s="13" customFormat="1" ht="18" customHeight="1">
      <c r="A338" s="351"/>
      <c r="B338" s="3"/>
      <c r="C338" s="7"/>
      <c r="D338" s="11"/>
      <c r="E338" s="226"/>
      <c r="F338" s="226"/>
      <c r="G338" s="226"/>
      <c r="H338" s="12"/>
      <c r="J338" s="226"/>
      <c r="K338" s="226"/>
      <c r="L338" s="226"/>
      <c r="M338" s="226"/>
      <c r="N338" s="226"/>
      <c r="O338" s="4"/>
    </row>
    <row r="339" spans="1:15" s="13" customFormat="1" ht="18" customHeight="1">
      <c r="A339" s="351"/>
      <c r="B339" s="3"/>
      <c r="C339" s="7"/>
      <c r="D339" s="11"/>
      <c r="E339" s="226"/>
      <c r="F339" s="226"/>
      <c r="G339" s="226"/>
      <c r="H339" s="12"/>
      <c r="J339" s="226"/>
      <c r="K339" s="226"/>
      <c r="L339" s="226"/>
      <c r="M339" s="226"/>
      <c r="N339" s="226"/>
      <c r="O339" s="4"/>
    </row>
    <row r="340" spans="1:15" s="13" customFormat="1" ht="18" customHeight="1">
      <c r="A340" s="351"/>
      <c r="B340" s="3"/>
      <c r="C340" s="7"/>
      <c r="D340" s="11"/>
      <c r="E340" s="226"/>
      <c r="F340" s="226"/>
      <c r="G340" s="226"/>
      <c r="H340" s="12"/>
      <c r="J340" s="226"/>
      <c r="K340" s="226"/>
      <c r="L340" s="226"/>
      <c r="M340" s="226"/>
      <c r="N340" s="226"/>
      <c r="O340" s="4"/>
    </row>
    <row r="341" spans="1:15" s="13" customFormat="1" ht="18" customHeight="1">
      <c r="A341" s="351"/>
      <c r="B341" s="3"/>
      <c r="C341" s="7"/>
      <c r="D341" s="14"/>
      <c r="E341" s="226"/>
      <c r="F341" s="226"/>
      <c r="G341" s="226"/>
      <c r="H341" s="12"/>
      <c r="J341" s="226"/>
      <c r="K341" s="226"/>
      <c r="L341" s="226"/>
      <c r="M341" s="226"/>
      <c r="N341" s="226"/>
      <c r="O341" s="4"/>
    </row>
    <row r="342" spans="1:15" s="13" customFormat="1" ht="18" customHeight="1">
      <c r="A342" s="351"/>
      <c r="B342" s="3"/>
      <c r="C342" s="7"/>
      <c r="D342" s="14"/>
      <c r="E342" s="226"/>
      <c r="F342" s="226"/>
      <c r="G342" s="226"/>
      <c r="H342" s="12"/>
      <c r="J342" s="226"/>
      <c r="K342" s="226"/>
      <c r="L342" s="226"/>
      <c r="M342" s="226"/>
      <c r="N342" s="226"/>
      <c r="O342" s="4"/>
    </row>
    <row r="343" spans="1:15" s="13" customFormat="1" ht="18" customHeight="1">
      <c r="A343" s="351"/>
      <c r="B343" s="3"/>
      <c r="C343" s="7"/>
      <c r="D343" s="11"/>
      <c r="E343" s="226"/>
      <c r="F343" s="226"/>
      <c r="G343" s="226"/>
      <c r="H343" s="12"/>
      <c r="J343" s="226"/>
      <c r="K343" s="226"/>
      <c r="L343" s="226"/>
      <c r="M343" s="226"/>
      <c r="N343" s="226"/>
      <c r="O343" s="4"/>
    </row>
    <row r="344" spans="1:15" s="13" customFormat="1" ht="18" customHeight="1">
      <c r="A344" s="351"/>
      <c r="B344" s="3"/>
      <c r="C344" s="7"/>
      <c r="D344" s="11"/>
      <c r="E344" s="226"/>
      <c r="F344" s="226"/>
      <c r="G344" s="226"/>
      <c r="H344" s="12"/>
      <c r="J344" s="226"/>
      <c r="K344" s="226"/>
      <c r="L344" s="226"/>
      <c r="M344" s="226"/>
      <c r="N344" s="226"/>
      <c r="O344" s="4"/>
    </row>
    <row r="345" spans="1:15" s="13" customFormat="1" ht="18" customHeight="1">
      <c r="A345" s="351"/>
      <c r="B345" s="3"/>
      <c r="C345" s="7"/>
      <c r="D345" s="16"/>
      <c r="E345" s="4"/>
      <c r="F345" s="4"/>
      <c r="G345" s="4"/>
      <c r="H345" s="3"/>
      <c r="J345" s="226"/>
      <c r="K345" s="226"/>
      <c r="L345" s="226"/>
      <c r="M345" s="226"/>
      <c r="N345" s="226"/>
      <c r="O345" s="4"/>
    </row>
    <row r="346" spans="1:15" s="13" customFormat="1" ht="18" customHeight="1">
      <c r="A346" s="351"/>
      <c r="B346" s="3"/>
      <c r="C346" s="7"/>
      <c r="D346" s="16"/>
      <c r="E346" s="4"/>
      <c r="F346" s="4"/>
      <c r="G346" s="4"/>
      <c r="H346" s="3"/>
      <c r="J346" s="226"/>
      <c r="K346" s="226"/>
      <c r="L346" s="226"/>
      <c r="M346" s="226"/>
      <c r="N346" s="226"/>
      <c r="O346" s="4"/>
    </row>
    <row r="347" spans="1:15" s="13" customFormat="1" ht="18" customHeight="1">
      <c r="A347" s="351"/>
      <c r="B347" s="3"/>
      <c r="C347" s="7"/>
      <c r="D347" s="16"/>
      <c r="E347" s="4"/>
      <c r="F347" s="4"/>
      <c r="G347" s="4"/>
      <c r="H347" s="3"/>
      <c r="J347" s="226"/>
      <c r="K347" s="226"/>
      <c r="L347" s="226"/>
      <c r="M347" s="226"/>
      <c r="N347" s="226"/>
      <c r="O347" s="4"/>
    </row>
    <row r="348" spans="1:15" s="13" customFormat="1" ht="18" customHeight="1">
      <c r="A348" s="351"/>
      <c r="B348" s="3"/>
      <c r="C348" s="7"/>
      <c r="D348" s="16"/>
      <c r="E348" s="4"/>
      <c r="F348" s="4"/>
      <c r="G348" s="4"/>
      <c r="H348" s="3"/>
      <c r="J348" s="226"/>
      <c r="K348" s="226"/>
      <c r="L348" s="226"/>
      <c r="M348" s="226"/>
      <c r="N348" s="226"/>
      <c r="O348" s="4"/>
    </row>
    <row r="349" spans="1:15" s="13" customFormat="1" ht="18" customHeight="1">
      <c r="A349" s="351"/>
      <c r="B349" s="3"/>
      <c r="C349" s="7"/>
      <c r="D349" s="16"/>
      <c r="E349" s="4"/>
      <c r="F349" s="4"/>
      <c r="G349" s="4"/>
      <c r="H349" s="3"/>
      <c r="J349" s="226"/>
      <c r="K349" s="226"/>
      <c r="L349" s="226"/>
      <c r="M349" s="226"/>
      <c r="N349" s="226"/>
      <c r="O349" s="4"/>
    </row>
    <row r="350" spans="1:15" s="13" customFormat="1" ht="18" customHeight="1">
      <c r="A350" s="351"/>
      <c r="B350" s="3"/>
      <c r="C350" s="7"/>
      <c r="D350" s="16"/>
      <c r="E350" s="4"/>
      <c r="F350" s="4"/>
      <c r="G350" s="4"/>
      <c r="H350" s="3"/>
      <c r="J350" s="226"/>
      <c r="K350" s="226"/>
      <c r="L350" s="226"/>
      <c r="M350" s="226"/>
      <c r="N350" s="226"/>
      <c r="O350" s="4"/>
    </row>
    <row r="351" spans="1:15" s="13" customFormat="1" ht="18" customHeight="1">
      <c r="A351" s="351"/>
      <c r="B351" s="3"/>
      <c r="C351" s="7"/>
      <c r="D351" s="16"/>
      <c r="E351" s="4"/>
      <c r="F351" s="4"/>
      <c r="G351" s="4"/>
      <c r="H351" s="3"/>
      <c r="J351" s="226"/>
      <c r="K351" s="226"/>
      <c r="L351" s="226"/>
      <c r="M351" s="226"/>
      <c r="N351" s="226"/>
      <c r="O351" s="4"/>
    </row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spans="4:8" ht="18" customHeight="1">
      <c r="D364" s="11"/>
      <c r="E364" s="226"/>
      <c r="F364" s="226"/>
      <c r="G364" s="226"/>
      <c r="H364" s="12"/>
    </row>
    <row r="365" spans="4:8" ht="18" customHeight="1">
      <c r="D365" s="11"/>
      <c r="E365" s="226"/>
      <c r="F365" s="226"/>
      <c r="G365" s="226"/>
      <c r="H365" s="12"/>
    </row>
    <row r="366" spans="4:8" ht="18" customHeight="1">
      <c r="D366" s="11"/>
      <c r="E366" s="226"/>
      <c r="F366" s="226"/>
      <c r="G366" s="226"/>
      <c r="H366" s="12"/>
    </row>
    <row r="367" spans="4:14" ht="18" customHeight="1">
      <c r="D367" s="17"/>
      <c r="E367" s="12"/>
      <c r="F367" s="12"/>
      <c r="G367" s="12"/>
      <c r="H367" s="12"/>
      <c r="I367" s="15"/>
      <c r="J367" s="12"/>
      <c r="K367" s="12"/>
      <c r="L367" s="12"/>
      <c r="M367" s="12"/>
      <c r="N367" s="12"/>
    </row>
    <row r="368" spans="4:14" ht="18" customHeight="1">
      <c r="D368" s="17"/>
      <c r="E368" s="12"/>
      <c r="F368" s="12"/>
      <c r="G368" s="12"/>
      <c r="H368" s="12"/>
      <c r="I368" s="15"/>
      <c r="J368" s="12"/>
      <c r="K368" s="12"/>
      <c r="L368" s="12"/>
      <c r="M368" s="12"/>
      <c r="N368" s="12"/>
    </row>
    <row r="369" spans="4:14" ht="18" customHeight="1">
      <c r="D369" s="17"/>
      <c r="E369" s="12"/>
      <c r="F369" s="12"/>
      <c r="G369" s="12"/>
      <c r="H369" s="12"/>
      <c r="I369" s="15"/>
      <c r="J369" s="12"/>
      <c r="K369" s="12"/>
      <c r="L369" s="12"/>
      <c r="M369" s="12"/>
      <c r="N369" s="12"/>
    </row>
    <row r="370" spans="4:14" ht="18" customHeight="1">
      <c r="D370" s="17"/>
      <c r="E370" s="12"/>
      <c r="F370" s="12"/>
      <c r="G370" s="12"/>
      <c r="H370" s="12"/>
      <c r="I370" s="15"/>
      <c r="J370" s="12"/>
      <c r="K370" s="12"/>
      <c r="L370" s="12"/>
      <c r="M370" s="12"/>
      <c r="N370" s="12"/>
    </row>
    <row r="371" spans="4:8" ht="18" customHeight="1">
      <c r="D371" s="11"/>
      <c r="E371" s="226"/>
      <c r="F371" s="226"/>
      <c r="G371" s="226"/>
      <c r="H371" s="12"/>
    </row>
    <row r="372" spans="4:8" ht="18" customHeight="1">
      <c r="D372" s="11"/>
      <c r="E372" s="226"/>
      <c r="F372" s="226"/>
      <c r="G372" s="226"/>
      <c r="H372" s="12"/>
    </row>
    <row r="373" spans="4:8" ht="18" customHeight="1">
      <c r="D373" s="11"/>
      <c r="E373" s="226"/>
      <c r="F373" s="226"/>
      <c r="G373" s="226"/>
      <c r="H373" s="12"/>
    </row>
    <row r="374" spans="4:8" ht="18" customHeight="1">
      <c r="D374" s="11"/>
      <c r="E374" s="226"/>
      <c r="F374" s="226"/>
      <c r="G374" s="226"/>
      <c r="H374" s="12"/>
    </row>
    <row r="375" spans="4:8" ht="18" customHeight="1">
      <c r="D375" s="11"/>
      <c r="E375" s="226"/>
      <c r="F375" s="226"/>
      <c r="G375" s="226"/>
      <c r="H375" s="12"/>
    </row>
    <row r="376" spans="4:8" ht="18" customHeight="1">
      <c r="D376" s="14"/>
      <c r="E376" s="226"/>
      <c r="F376" s="226"/>
      <c r="G376" s="226"/>
      <c r="H376" s="12"/>
    </row>
    <row r="377" spans="4:8" ht="18" customHeight="1">
      <c r="D377" s="14"/>
      <c r="E377" s="226"/>
      <c r="F377" s="226"/>
      <c r="G377" s="226"/>
      <c r="H377" s="12"/>
    </row>
    <row r="378" spans="1:14" s="5" customFormat="1" ht="18" customHeight="1">
      <c r="A378" s="351"/>
      <c r="B378" s="3"/>
      <c r="C378" s="7"/>
      <c r="D378" s="18"/>
      <c r="E378" s="4"/>
      <c r="F378" s="4"/>
      <c r="G378" s="4"/>
      <c r="H378" s="3"/>
      <c r="I378" s="13"/>
      <c r="J378" s="226"/>
      <c r="K378" s="226"/>
      <c r="L378" s="226"/>
      <c r="M378" s="226"/>
      <c r="N378" s="226"/>
    </row>
    <row r="379" spans="1:14" s="5" customFormat="1" ht="18" customHeight="1">
      <c r="A379" s="351"/>
      <c r="B379" s="3"/>
      <c r="C379" s="7"/>
      <c r="D379" s="18"/>
      <c r="E379" s="4"/>
      <c r="F379" s="4"/>
      <c r="G379" s="4"/>
      <c r="H379" s="3"/>
      <c r="I379" s="13"/>
      <c r="J379" s="226"/>
      <c r="K379" s="226"/>
      <c r="L379" s="226"/>
      <c r="M379" s="226"/>
      <c r="N379" s="226"/>
    </row>
    <row r="380" spans="1:14" s="5" customFormat="1" ht="18" customHeight="1">
      <c r="A380" s="351"/>
      <c r="B380" s="3"/>
      <c r="C380" s="7"/>
      <c r="D380" s="14"/>
      <c r="E380" s="226"/>
      <c r="F380" s="226"/>
      <c r="G380" s="226"/>
      <c r="H380" s="12"/>
      <c r="I380" s="13"/>
      <c r="J380" s="226"/>
      <c r="K380" s="226"/>
      <c r="L380" s="226"/>
      <c r="M380" s="226"/>
      <c r="N380" s="226"/>
    </row>
    <row r="381" spans="1:14" s="5" customFormat="1" ht="18" customHeight="1">
      <c r="A381" s="351"/>
      <c r="B381" s="3"/>
      <c r="C381" s="7"/>
      <c r="D381" s="14"/>
      <c r="E381" s="226"/>
      <c r="F381" s="226"/>
      <c r="G381" s="226"/>
      <c r="H381" s="12"/>
      <c r="I381" s="13"/>
      <c r="J381" s="226"/>
      <c r="K381" s="226"/>
      <c r="L381" s="226"/>
      <c r="M381" s="226"/>
      <c r="N381" s="226"/>
    </row>
    <row r="382" spans="1:14" s="5" customFormat="1" ht="18" customHeight="1">
      <c r="A382" s="351"/>
      <c r="B382" s="3"/>
      <c r="C382" s="7"/>
      <c r="D382" s="14"/>
      <c r="E382" s="226"/>
      <c r="F382" s="226"/>
      <c r="G382" s="226"/>
      <c r="H382" s="12"/>
      <c r="I382" s="13"/>
      <c r="J382" s="226"/>
      <c r="K382" s="226"/>
      <c r="L382" s="226"/>
      <c r="M382" s="226"/>
      <c r="N382" s="226"/>
    </row>
    <row r="383" spans="1:14" s="5" customFormat="1" ht="18" customHeight="1">
      <c r="A383" s="351"/>
      <c r="B383" s="3"/>
      <c r="C383" s="7"/>
      <c r="D383" s="14"/>
      <c r="E383" s="226"/>
      <c r="F383" s="226"/>
      <c r="G383" s="226"/>
      <c r="H383" s="12"/>
      <c r="I383" s="13"/>
      <c r="J383" s="226"/>
      <c r="K383" s="226"/>
      <c r="L383" s="226"/>
      <c r="M383" s="226"/>
      <c r="N383" s="226"/>
    </row>
    <row r="384" spans="1:14" s="5" customFormat="1" ht="18" customHeight="1">
      <c r="A384" s="351"/>
      <c r="B384" s="3"/>
      <c r="C384" s="7"/>
      <c r="D384" s="14"/>
      <c r="E384" s="226"/>
      <c r="F384" s="226"/>
      <c r="G384" s="226"/>
      <c r="H384" s="12"/>
      <c r="I384" s="13"/>
      <c r="J384" s="226"/>
      <c r="K384" s="226"/>
      <c r="L384" s="226"/>
      <c r="M384" s="226"/>
      <c r="N384" s="226"/>
    </row>
    <row r="385" spans="4:8" ht="18" customHeight="1">
      <c r="D385" s="11"/>
      <c r="E385" s="226"/>
      <c r="F385" s="226"/>
      <c r="G385" s="226"/>
      <c r="H385" s="12"/>
    </row>
    <row r="386" spans="4:8" ht="18" customHeight="1">
      <c r="D386" s="11"/>
      <c r="E386" s="226"/>
      <c r="F386" s="226"/>
      <c r="G386" s="226"/>
      <c r="H386" s="12"/>
    </row>
    <row r="387" spans="4:8" ht="18" customHeight="1">
      <c r="D387" s="11"/>
      <c r="E387" s="226"/>
      <c r="F387" s="226"/>
      <c r="G387" s="226"/>
      <c r="H387" s="12"/>
    </row>
    <row r="388" spans="4:8" ht="18" customHeight="1">
      <c r="D388" s="11"/>
      <c r="E388" s="226"/>
      <c r="F388" s="226"/>
      <c r="G388" s="226"/>
      <c r="H388" s="12"/>
    </row>
    <row r="389" spans="4:8" ht="18" customHeight="1">
      <c r="D389" s="11"/>
      <c r="E389" s="226"/>
      <c r="F389" s="226"/>
      <c r="G389" s="226"/>
      <c r="H389" s="12"/>
    </row>
    <row r="390" spans="4:8" ht="18" customHeight="1">
      <c r="D390" s="11"/>
      <c r="E390" s="226"/>
      <c r="F390" s="226"/>
      <c r="G390" s="226"/>
      <c r="H390" s="12"/>
    </row>
    <row r="391" spans="4:8" ht="18" customHeight="1">
      <c r="D391" s="11"/>
      <c r="E391" s="226"/>
      <c r="F391" s="226"/>
      <c r="G391" s="226"/>
      <c r="H391" s="12"/>
    </row>
    <row r="392" spans="4:8" ht="18" customHeight="1">
      <c r="D392" s="11"/>
      <c r="E392" s="226"/>
      <c r="F392" s="226"/>
      <c r="G392" s="226"/>
      <c r="H392" s="12"/>
    </row>
    <row r="393" spans="4:8" ht="18" customHeight="1">
      <c r="D393" s="11"/>
      <c r="E393" s="226"/>
      <c r="F393" s="226"/>
      <c r="G393" s="226"/>
      <c r="H393" s="12"/>
    </row>
    <row r="394" spans="4:8" ht="18" customHeight="1">
      <c r="D394" s="11"/>
      <c r="E394" s="226"/>
      <c r="F394" s="226"/>
      <c r="G394" s="226"/>
      <c r="H394" s="12"/>
    </row>
    <row r="395" spans="4:8" ht="18" customHeight="1">
      <c r="D395" s="11"/>
      <c r="E395" s="226"/>
      <c r="F395" s="226"/>
      <c r="G395" s="226"/>
      <c r="H395" s="12"/>
    </row>
    <row r="396" spans="4:8" ht="18" customHeight="1">
      <c r="D396" s="11"/>
      <c r="E396" s="226"/>
      <c r="F396" s="226"/>
      <c r="G396" s="226"/>
      <c r="H396" s="12"/>
    </row>
    <row r="397" spans="4:8" ht="18" customHeight="1">
      <c r="D397" s="11"/>
      <c r="E397" s="226"/>
      <c r="F397" s="226"/>
      <c r="G397" s="226"/>
      <c r="H397" s="12"/>
    </row>
    <row r="398" spans="1:14" s="5" customFormat="1" ht="18" customHeight="1">
      <c r="A398" s="351"/>
      <c r="B398" s="3"/>
      <c r="C398" s="7"/>
      <c r="D398" s="14"/>
      <c r="E398" s="226"/>
      <c r="F398" s="226"/>
      <c r="G398" s="226"/>
      <c r="H398" s="12"/>
      <c r="I398" s="13"/>
      <c r="J398" s="226"/>
      <c r="K398" s="226"/>
      <c r="L398" s="226"/>
      <c r="M398" s="226"/>
      <c r="N398" s="226"/>
    </row>
    <row r="399" spans="4:8" ht="18" customHeight="1">
      <c r="D399" s="11"/>
      <c r="E399" s="226"/>
      <c r="F399" s="226"/>
      <c r="G399" s="226"/>
      <c r="H399" s="12"/>
    </row>
    <row r="400" spans="1:15" s="13" customFormat="1" ht="18" customHeight="1">
      <c r="A400" s="351"/>
      <c r="B400" s="3"/>
      <c r="C400" s="7"/>
      <c r="D400" s="11"/>
      <c r="E400" s="226"/>
      <c r="F400" s="226"/>
      <c r="G400" s="226"/>
      <c r="H400" s="12"/>
      <c r="J400" s="226"/>
      <c r="K400" s="226"/>
      <c r="L400" s="226"/>
      <c r="M400" s="226"/>
      <c r="N400" s="226"/>
      <c r="O400" s="4"/>
    </row>
    <row r="401" spans="1:15" s="13" customFormat="1" ht="18" customHeight="1">
      <c r="A401" s="351"/>
      <c r="B401" s="3"/>
      <c r="C401" s="7"/>
      <c r="D401" s="11"/>
      <c r="E401" s="226"/>
      <c r="F401" s="226"/>
      <c r="G401" s="226"/>
      <c r="H401" s="12"/>
      <c r="J401" s="226"/>
      <c r="K401" s="226"/>
      <c r="L401" s="226"/>
      <c r="M401" s="226"/>
      <c r="N401" s="226"/>
      <c r="O401" s="4"/>
    </row>
    <row r="402" spans="1:15" s="13" customFormat="1" ht="17.25">
      <c r="A402" s="351"/>
      <c r="B402" s="3"/>
      <c r="C402" s="7"/>
      <c r="D402" s="11"/>
      <c r="E402" s="226"/>
      <c r="F402" s="226"/>
      <c r="G402" s="226"/>
      <c r="H402" s="12"/>
      <c r="J402" s="226"/>
      <c r="K402" s="226"/>
      <c r="L402" s="226"/>
      <c r="M402" s="226"/>
      <c r="N402" s="226"/>
      <c r="O402" s="4"/>
    </row>
    <row r="403" spans="1:15" s="13" customFormat="1" ht="17.25">
      <c r="A403" s="351"/>
      <c r="B403" s="3"/>
      <c r="C403" s="7"/>
      <c r="D403" s="11"/>
      <c r="E403" s="226"/>
      <c r="F403" s="226"/>
      <c r="G403" s="226"/>
      <c r="H403" s="12"/>
      <c r="J403" s="226"/>
      <c r="K403" s="226"/>
      <c r="L403" s="226"/>
      <c r="M403" s="226"/>
      <c r="N403" s="226"/>
      <c r="O403" s="4"/>
    </row>
    <row r="404" spans="1:15" s="13" customFormat="1" ht="17.25">
      <c r="A404" s="351"/>
      <c r="B404" s="3"/>
      <c r="C404" s="7"/>
      <c r="D404" s="11"/>
      <c r="E404" s="226"/>
      <c r="F404" s="226"/>
      <c r="G404" s="226"/>
      <c r="H404" s="12"/>
      <c r="J404" s="226"/>
      <c r="K404" s="226"/>
      <c r="L404" s="226"/>
      <c r="M404" s="226"/>
      <c r="N404" s="226"/>
      <c r="O404" s="4"/>
    </row>
    <row r="405" spans="1:15" s="13" customFormat="1" ht="17.25">
      <c r="A405" s="351"/>
      <c r="B405" s="3"/>
      <c r="C405" s="7"/>
      <c r="D405" s="11"/>
      <c r="E405" s="226"/>
      <c r="F405" s="226"/>
      <c r="G405" s="226"/>
      <c r="H405" s="12"/>
      <c r="J405" s="226"/>
      <c r="K405" s="226"/>
      <c r="L405" s="226"/>
      <c r="M405" s="226"/>
      <c r="N405" s="226"/>
      <c r="O405" s="4"/>
    </row>
    <row r="406" spans="1:15" s="13" customFormat="1" ht="17.25">
      <c r="A406" s="351"/>
      <c r="B406" s="3"/>
      <c r="C406" s="7"/>
      <c r="D406" s="11"/>
      <c r="E406" s="226"/>
      <c r="F406" s="226"/>
      <c r="G406" s="226"/>
      <c r="H406" s="12"/>
      <c r="J406" s="226"/>
      <c r="K406" s="226"/>
      <c r="L406" s="226"/>
      <c r="M406" s="226"/>
      <c r="N406" s="226"/>
      <c r="O406" s="4"/>
    </row>
    <row r="407" spans="1:15" s="13" customFormat="1" ht="17.25">
      <c r="A407" s="351"/>
      <c r="B407" s="3"/>
      <c r="C407" s="7"/>
      <c r="D407" s="11"/>
      <c r="E407" s="226"/>
      <c r="F407" s="226"/>
      <c r="G407" s="226"/>
      <c r="H407" s="12"/>
      <c r="J407" s="226"/>
      <c r="K407" s="226"/>
      <c r="L407" s="226"/>
      <c r="M407" s="226"/>
      <c r="N407" s="226"/>
      <c r="O407" s="4"/>
    </row>
    <row r="408" spans="1:15" s="13" customFormat="1" ht="17.25">
      <c r="A408" s="351"/>
      <c r="B408" s="3"/>
      <c r="C408" s="7"/>
      <c r="D408" s="11"/>
      <c r="E408" s="226"/>
      <c r="F408" s="226"/>
      <c r="G408" s="226"/>
      <c r="H408" s="12"/>
      <c r="J408" s="226"/>
      <c r="K408" s="226"/>
      <c r="L408" s="226"/>
      <c r="M408" s="226"/>
      <c r="N408" s="226"/>
      <c r="O408" s="4"/>
    </row>
    <row r="409" spans="1:15" s="13" customFormat="1" ht="17.25">
      <c r="A409" s="351"/>
      <c r="B409" s="3"/>
      <c r="C409" s="7"/>
      <c r="D409" s="11"/>
      <c r="E409" s="226"/>
      <c r="F409" s="226"/>
      <c r="G409" s="226"/>
      <c r="H409" s="12"/>
      <c r="J409" s="226"/>
      <c r="K409" s="226"/>
      <c r="L409" s="226"/>
      <c r="M409" s="226"/>
      <c r="N409" s="226"/>
      <c r="O409" s="4"/>
    </row>
    <row r="410" spans="1:15" s="13" customFormat="1" ht="17.25">
      <c r="A410" s="351"/>
      <c r="B410" s="3"/>
      <c r="C410" s="7"/>
      <c r="D410" s="11"/>
      <c r="E410" s="226"/>
      <c r="F410" s="226"/>
      <c r="G410" s="226"/>
      <c r="H410" s="12"/>
      <c r="J410" s="226"/>
      <c r="K410" s="226"/>
      <c r="L410" s="226"/>
      <c r="M410" s="226"/>
      <c r="N410" s="226"/>
      <c r="O410" s="4"/>
    </row>
    <row r="411" spans="1:15" s="13" customFormat="1" ht="17.25">
      <c r="A411" s="351"/>
      <c r="B411" s="3"/>
      <c r="C411" s="7"/>
      <c r="D411" s="11"/>
      <c r="E411" s="226"/>
      <c r="F411" s="226"/>
      <c r="G411" s="226"/>
      <c r="H411" s="12"/>
      <c r="J411" s="226"/>
      <c r="K411" s="226"/>
      <c r="L411" s="226"/>
      <c r="M411" s="226"/>
      <c r="N411" s="226"/>
      <c r="O411" s="4"/>
    </row>
    <row r="412" spans="1:15" s="13" customFormat="1" ht="17.25">
      <c r="A412" s="351"/>
      <c r="B412" s="3"/>
      <c r="C412" s="7"/>
      <c r="D412" s="11"/>
      <c r="E412" s="226"/>
      <c r="F412" s="226"/>
      <c r="G412" s="226"/>
      <c r="H412" s="12"/>
      <c r="J412" s="226"/>
      <c r="K412" s="226"/>
      <c r="L412" s="226"/>
      <c r="M412" s="226"/>
      <c r="N412" s="226"/>
      <c r="O412" s="4"/>
    </row>
    <row r="413" spans="1:15" s="13" customFormat="1" ht="17.25">
      <c r="A413" s="351"/>
      <c r="B413" s="3"/>
      <c r="C413" s="7"/>
      <c r="D413" s="11"/>
      <c r="E413" s="226"/>
      <c r="F413" s="226"/>
      <c r="G413" s="226"/>
      <c r="H413" s="12"/>
      <c r="J413" s="226"/>
      <c r="K413" s="226"/>
      <c r="L413" s="226"/>
      <c r="M413" s="226"/>
      <c r="N413" s="226"/>
      <c r="O413" s="4"/>
    </row>
    <row r="414" spans="1:15" s="13" customFormat="1" ht="17.25">
      <c r="A414" s="351"/>
      <c r="B414" s="3"/>
      <c r="C414" s="7"/>
      <c r="D414" s="11"/>
      <c r="E414" s="226"/>
      <c r="F414" s="226"/>
      <c r="G414" s="226"/>
      <c r="H414" s="12"/>
      <c r="J414" s="226"/>
      <c r="K414" s="226"/>
      <c r="L414" s="226"/>
      <c r="M414" s="226"/>
      <c r="N414" s="226"/>
      <c r="O414" s="4"/>
    </row>
    <row r="415" spans="1:15" s="13" customFormat="1" ht="17.25">
      <c r="A415" s="351"/>
      <c r="B415" s="3"/>
      <c r="C415" s="7"/>
      <c r="D415" s="11"/>
      <c r="E415" s="226"/>
      <c r="F415" s="226"/>
      <c r="G415" s="226"/>
      <c r="H415" s="12"/>
      <c r="J415" s="226"/>
      <c r="K415" s="226"/>
      <c r="L415" s="226"/>
      <c r="M415" s="226"/>
      <c r="N415" s="226"/>
      <c r="O415" s="4"/>
    </row>
    <row r="416" spans="1:15" s="13" customFormat="1" ht="17.25">
      <c r="A416" s="351"/>
      <c r="B416" s="3"/>
      <c r="C416" s="7"/>
      <c r="D416" s="11"/>
      <c r="E416" s="226"/>
      <c r="F416" s="226"/>
      <c r="G416" s="226"/>
      <c r="H416" s="12"/>
      <c r="J416" s="226"/>
      <c r="K416" s="226"/>
      <c r="L416" s="226"/>
      <c r="M416" s="226"/>
      <c r="N416" s="226"/>
      <c r="O416" s="4"/>
    </row>
    <row r="417" spans="1:15" s="13" customFormat="1" ht="17.25">
      <c r="A417" s="351"/>
      <c r="B417" s="3"/>
      <c r="C417" s="7"/>
      <c r="D417" s="11"/>
      <c r="E417" s="226"/>
      <c r="F417" s="226"/>
      <c r="G417" s="226"/>
      <c r="H417" s="12"/>
      <c r="J417" s="226"/>
      <c r="K417" s="226"/>
      <c r="L417" s="226"/>
      <c r="M417" s="226"/>
      <c r="N417" s="226"/>
      <c r="O417" s="4"/>
    </row>
    <row r="418" spans="1:15" s="13" customFormat="1" ht="17.25">
      <c r="A418" s="351"/>
      <c r="B418" s="3"/>
      <c r="C418" s="7"/>
      <c r="D418" s="11"/>
      <c r="E418" s="226"/>
      <c r="F418" s="226"/>
      <c r="G418" s="226"/>
      <c r="H418" s="12"/>
      <c r="J418" s="226"/>
      <c r="K418" s="226"/>
      <c r="L418" s="226"/>
      <c r="M418" s="226"/>
      <c r="N418" s="226"/>
      <c r="O418" s="4"/>
    </row>
    <row r="419" spans="1:15" s="13" customFormat="1" ht="17.25">
      <c r="A419" s="351"/>
      <c r="B419" s="3"/>
      <c r="C419" s="7"/>
      <c r="D419" s="11"/>
      <c r="E419" s="226"/>
      <c r="F419" s="226"/>
      <c r="G419" s="226"/>
      <c r="H419" s="12"/>
      <c r="J419" s="226"/>
      <c r="K419" s="226"/>
      <c r="L419" s="226"/>
      <c r="M419" s="226"/>
      <c r="N419" s="226"/>
      <c r="O419" s="4"/>
    </row>
    <row r="420" spans="1:15" s="13" customFormat="1" ht="17.25">
      <c r="A420" s="351"/>
      <c r="B420" s="3"/>
      <c r="C420" s="7"/>
      <c r="D420" s="11"/>
      <c r="E420" s="226"/>
      <c r="F420" s="226"/>
      <c r="G420" s="226"/>
      <c r="H420" s="12"/>
      <c r="J420" s="226"/>
      <c r="K420" s="226"/>
      <c r="L420" s="226"/>
      <c r="M420" s="226"/>
      <c r="N420" s="226"/>
      <c r="O420" s="4"/>
    </row>
    <row r="421" spans="1:15" s="13" customFormat="1" ht="17.25">
      <c r="A421" s="351"/>
      <c r="B421" s="3"/>
      <c r="C421" s="7"/>
      <c r="D421" s="11"/>
      <c r="E421" s="226"/>
      <c r="F421" s="226"/>
      <c r="G421" s="226"/>
      <c r="H421" s="12"/>
      <c r="J421" s="226"/>
      <c r="K421" s="226"/>
      <c r="L421" s="226"/>
      <c r="M421" s="226"/>
      <c r="N421" s="226"/>
      <c r="O421" s="4"/>
    </row>
    <row r="422" spans="1:15" s="13" customFormat="1" ht="17.25">
      <c r="A422" s="351"/>
      <c r="B422" s="3"/>
      <c r="C422" s="7"/>
      <c r="D422" s="11"/>
      <c r="E422" s="226"/>
      <c r="F422" s="226"/>
      <c r="G422" s="226"/>
      <c r="H422" s="12"/>
      <c r="J422" s="226"/>
      <c r="K422" s="226"/>
      <c r="L422" s="226"/>
      <c r="M422" s="226"/>
      <c r="N422" s="226"/>
      <c r="O422" s="4"/>
    </row>
    <row r="423" spans="1:15" s="13" customFormat="1" ht="17.25">
      <c r="A423" s="351"/>
      <c r="B423" s="3"/>
      <c r="C423" s="7"/>
      <c r="D423" s="11"/>
      <c r="E423" s="226"/>
      <c r="F423" s="226"/>
      <c r="G423" s="226"/>
      <c r="H423" s="12"/>
      <c r="J423" s="226"/>
      <c r="K423" s="226"/>
      <c r="L423" s="226"/>
      <c r="M423" s="226"/>
      <c r="N423" s="226"/>
      <c r="O423" s="4"/>
    </row>
    <row r="424" spans="1:15" s="13" customFormat="1" ht="17.25">
      <c r="A424" s="351"/>
      <c r="B424" s="3"/>
      <c r="C424" s="7"/>
      <c r="D424" s="11"/>
      <c r="E424" s="226"/>
      <c r="F424" s="226"/>
      <c r="G424" s="226"/>
      <c r="H424" s="12"/>
      <c r="J424" s="226"/>
      <c r="K424" s="226"/>
      <c r="L424" s="226"/>
      <c r="M424" s="226"/>
      <c r="N424" s="226"/>
      <c r="O424" s="4"/>
    </row>
    <row r="425" spans="1:15" s="13" customFormat="1" ht="17.25">
      <c r="A425" s="351"/>
      <c r="B425" s="3"/>
      <c r="C425" s="7"/>
      <c r="D425" s="11"/>
      <c r="E425" s="226"/>
      <c r="F425" s="226"/>
      <c r="G425" s="226"/>
      <c r="H425" s="12"/>
      <c r="J425" s="226"/>
      <c r="K425" s="226"/>
      <c r="L425" s="226"/>
      <c r="M425" s="226"/>
      <c r="N425" s="226"/>
      <c r="O425" s="4"/>
    </row>
    <row r="426" spans="1:15" s="13" customFormat="1" ht="17.25">
      <c r="A426" s="351"/>
      <c r="B426" s="3"/>
      <c r="C426" s="7"/>
      <c r="D426" s="11"/>
      <c r="E426" s="226"/>
      <c r="F426" s="226"/>
      <c r="G426" s="226"/>
      <c r="H426" s="12"/>
      <c r="J426" s="226"/>
      <c r="K426" s="226"/>
      <c r="L426" s="226"/>
      <c r="M426" s="226"/>
      <c r="N426" s="226"/>
      <c r="O426" s="4"/>
    </row>
    <row r="427" spans="1:15" s="13" customFormat="1" ht="17.25">
      <c r="A427" s="351"/>
      <c r="B427" s="3"/>
      <c r="C427" s="7"/>
      <c r="D427" s="11"/>
      <c r="E427" s="226"/>
      <c r="F427" s="226"/>
      <c r="G427" s="226"/>
      <c r="H427" s="12"/>
      <c r="J427" s="226"/>
      <c r="K427" s="226"/>
      <c r="L427" s="226"/>
      <c r="M427" s="226"/>
      <c r="N427" s="226"/>
      <c r="O427" s="4"/>
    </row>
    <row r="428" spans="1:15" s="13" customFormat="1" ht="17.25">
      <c r="A428" s="351"/>
      <c r="B428" s="3"/>
      <c r="C428" s="7"/>
      <c r="D428" s="11"/>
      <c r="E428" s="226"/>
      <c r="F428" s="226"/>
      <c r="G428" s="226"/>
      <c r="H428" s="12"/>
      <c r="J428" s="226"/>
      <c r="K428" s="226"/>
      <c r="L428" s="226"/>
      <c r="M428" s="226"/>
      <c r="N428" s="226"/>
      <c r="O428" s="4"/>
    </row>
    <row r="429" spans="1:15" s="13" customFormat="1" ht="17.25">
      <c r="A429" s="351"/>
      <c r="B429" s="3"/>
      <c r="C429" s="7"/>
      <c r="D429" s="11"/>
      <c r="E429" s="226"/>
      <c r="F429" s="226"/>
      <c r="G429" s="226"/>
      <c r="H429" s="12"/>
      <c r="J429" s="226"/>
      <c r="K429" s="226"/>
      <c r="L429" s="226"/>
      <c r="M429" s="226"/>
      <c r="N429" s="226"/>
      <c r="O429" s="4"/>
    </row>
    <row r="430" spans="1:15" s="13" customFormat="1" ht="17.25">
      <c r="A430" s="351"/>
      <c r="B430" s="3"/>
      <c r="C430" s="7"/>
      <c r="D430" s="11"/>
      <c r="E430" s="226"/>
      <c r="F430" s="226"/>
      <c r="G430" s="226"/>
      <c r="H430" s="12"/>
      <c r="J430" s="226"/>
      <c r="K430" s="226"/>
      <c r="L430" s="226"/>
      <c r="M430" s="226"/>
      <c r="N430" s="226"/>
      <c r="O430" s="4"/>
    </row>
    <row r="431" spans="1:15" s="13" customFormat="1" ht="17.25">
      <c r="A431" s="351"/>
      <c r="B431" s="3"/>
      <c r="C431" s="7"/>
      <c r="D431" s="11"/>
      <c r="E431" s="226"/>
      <c r="F431" s="226"/>
      <c r="G431" s="226"/>
      <c r="H431" s="12"/>
      <c r="J431" s="226"/>
      <c r="K431" s="226"/>
      <c r="L431" s="226"/>
      <c r="M431" s="226"/>
      <c r="N431" s="226"/>
      <c r="O431" s="4"/>
    </row>
    <row r="432" spans="1:15" s="13" customFormat="1" ht="17.25">
      <c r="A432" s="351"/>
      <c r="B432" s="3"/>
      <c r="C432" s="7"/>
      <c r="D432" s="11"/>
      <c r="E432" s="226"/>
      <c r="F432" s="226"/>
      <c r="G432" s="226"/>
      <c r="H432" s="12"/>
      <c r="J432" s="226"/>
      <c r="K432" s="226"/>
      <c r="L432" s="226"/>
      <c r="M432" s="226"/>
      <c r="N432" s="226"/>
      <c r="O432" s="4"/>
    </row>
    <row r="433" spans="1:15" s="13" customFormat="1" ht="17.25">
      <c r="A433" s="351"/>
      <c r="B433" s="3"/>
      <c r="C433" s="7"/>
      <c r="D433" s="11"/>
      <c r="E433" s="226"/>
      <c r="F433" s="226"/>
      <c r="G433" s="226"/>
      <c r="H433" s="12"/>
      <c r="J433" s="226"/>
      <c r="K433" s="226"/>
      <c r="L433" s="226"/>
      <c r="M433" s="226"/>
      <c r="N433" s="226"/>
      <c r="O433" s="4"/>
    </row>
    <row r="434" spans="1:15" s="13" customFormat="1" ht="17.25">
      <c r="A434" s="351"/>
      <c r="B434" s="3"/>
      <c r="C434" s="7"/>
      <c r="D434" s="11"/>
      <c r="E434" s="226"/>
      <c r="F434" s="226"/>
      <c r="G434" s="226"/>
      <c r="H434" s="12"/>
      <c r="J434" s="226"/>
      <c r="K434" s="226"/>
      <c r="L434" s="226"/>
      <c r="M434" s="226"/>
      <c r="N434" s="226"/>
      <c r="O434" s="4"/>
    </row>
    <row r="435" spans="1:15" s="13" customFormat="1" ht="17.25">
      <c r="A435" s="351"/>
      <c r="B435" s="3"/>
      <c r="C435" s="7"/>
      <c r="D435" s="11"/>
      <c r="E435" s="226"/>
      <c r="F435" s="226"/>
      <c r="G435" s="226"/>
      <c r="H435" s="12"/>
      <c r="J435" s="226"/>
      <c r="K435" s="226"/>
      <c r="L435" s="226"/>
      <c r="M435" s="226"/>
      <c r="N435" s="226"/>
      <c r="O435" s="4"/>
    </row>
    <row r="436" spans="1:15" s="13" customFormat="1" ht="17.25">
      <c r="A436" s="351"/>
      <c r="B436" s="3"/>
      <c r="C436" s="7"/>
      <c r="D436" s="11"/>
      <c r="E436" s="226"/>
      <c r="F436" s="226"/>
      <c r="G436" s="226"/>
      <c r="H436" s="12"/>
      <c r="J436" s="226"/>
      <c r="K436" s="226"/>
      <c r="L436" s="226"/>
      <c r="M436" s="226"/>
      <c r="N436" s="226"/>
      <c r="O436" s="4"/>
    </row>
    <row r="437" spans="1:15" s="13" customFormat="1" ht="17.25">
      <c r="A437" s="351"/>
      <c r="B437" s="3"/>
      <c r="C437" s="7"/>
      <c r="D437" s="11"/>
      <c r="E437" s="226"/>
      <c r="F437" s="226"/>
      <c r="G437" s="226"/>
      <c r="H437" s="12"/>
      <c r="J437" s="226"/>
      <c r="K437" s="226"/>
      <c r="L437" s="226"/>
      <c r="M437" s="226"/>
      <c r="N437" s="226"/>
      <c r="O437" s="4"/>
    </row>
    <row r="438" spans="1:15" s="13" customFormat="1" ht="17.25">
      <c r="A438" s="351"/>
      <c r="B438" s="3"/>
      <c r="C438" s="7"/>
      <c r="D438" s="11"/>
      <c r="E438" s="226"/>
      <c r="F438" s="226"/>
      <c r="G438" s="226"/>
      <c r="H438" s="12"/>
      <c r="J438" s="226"/>
      <c r="K438" s="226"/>
      <c r="L438" s="226"/>
      <c r="M438" s="226"/>
      <c r="N438" s="226"/>
      <c r="O438" s="4"/>
    </row>
    <row r="439" spans="1:15" s="13" customFormat="1" ht="17.25">
      <c r="A439" s="351"/>
      <c r="B439" s="3"/>
      <c r="C439" s="7"/>
      <c r="D439" s="11"/>
      <c r="E439" s="226"/>
      <c r="F439" s="226"/>
      <c r="G439" s="226"/>
      <c r="H439" s="12"/>
      <c r="J439" s="226"/>
      <c r="K439" s="226"/>
      <c r="L439" s="226"/>
      <c r="M439" s="226"/>
      <c r="N439" s="226"/>
      <c r="O439" s="4"/>
    </row>
    <row r="440" spans="1:15" s="13" customFormat="1" ht="17.25">
      <c r="A440" s="351"/>
      <c r="B440" s="3"/>
      <c r="C440" s="7"/>
      <c r="D440" s="11"/>
      <c r="E440" s="226"/>
      <c r="F440" s="226"/>
      <c r="G440" s="226"/>
      <c r="H440" s="12"/>
      <c r="J440" s="226"/>
      <c r="K440" s="226"/>
      <c r="L440" s="226"/>
      <c r="M440" s="226"/>
      <c r="N440" s="226"/>
      <c r="O440" s="4"/>
    </row>
    <row r="441" spans="1:15" s="13" customFormat="1" ht="17.25">
      <c r="A441" s="351"/>
      <c r="B441" s="3"/>
      <c r="C441" s="7"/>
      <c r="D441" s="11"/>
      <c r="E441" s="226"/>
      <c r="F441" s="226"/>
      <c r="G441" s="226"/>
      <c r="H441" s="12"/>
      <c r="J441" s="226"/>
      <c r="K441" s="226"/>
      <c r="L441" s="226"/>
      <c r="M441" s="226"/>
      <c r="N441" s="226"/>
      <c r="O441" s="4"/>
    </row>
    <row r="442" spans="1:15" s="13" customFormat="1" ht="17.25">
      <c r="A442" s="351"/>
      <c r="B442" s="3"/>
      <c r="C442" s="7"/>
      <c r="D442" s="11"/>
      <c r="E442" s="226"/>
      <c r="F442" s="226"/>
      <c r="G442" s="226"/>
      <c r="H442" s="12"/>
      <c r="J442" s="226"/>
      <c r="K442" s="226"/>
      <c r="L442" s="226"/>
      <c r="M442" s="226"/>
      <c r="N442" s="226"/>
      <c r="O442" s="4"/>
    </row>
    <row r="443" spans="1:15" s="13" customFormat="1" ht="17.25">
      <c r="A443" s="351"/>
      <c r="B443" s="3"/>
      <c r="C443" s="7"/>
      <c r="D443" s="16"/>
      <c r="E443" s="4"/>
      <c r="F443" s="4"/>
      <c r="G443" s="4"/>
      <c r="H443" s="3"/>
      <c r="J443" s="226"/>
      <c r="K443" s="226"/>
      <c r="L443" s="226"/>
      <c r="M443" s="226"/>
      <c r="N443" s="226"/>
      <c r="O443" s="4"/>
    </row>
    <row r="444" spans="1:15" s="13" customFormat="1" ht="17.25">
      <c r="A444" s="351"/>
      <c r="B444" s="3"/>
      <c r="C444" s="7"/>
      <c r="D444" s="16"/>
      <c r="E444" s="4"/>
      <c r="F444" s="4"/>
      <c r="G444" s="4"/>
      <c r="H444" s="3"/>
      <c r="J444" s="226"/>
      <c r="K444" s="226"/>
      <c r="L444" s="226"/>
      <c r="M444" s="226"/>
      <c r="N444" s="226"/>
      <c r="O444" s="4"/>
    </row>
    <row r="445" spans="1:15" s="13" customFormat="1" ht="17.25">
      <c r="A445" s="351"/>
      <c r="B445" s="3"/>
      <c r="C445" s="7"/>
      <c r="D445" s="16"/>
      <c r="E445" s="4"/>
      <c r="F445" s="4"/>
      <c r="G445" s="4"/>
      <c r="H445" s="3"/>
      <c r="J445" s="226"/>
      <c r="K445" s="226"/>
      <c r="L445" s="226"/>
      <c r="M445" s="226"/>
      <c r="N445" s="226"/>
      <c r="O445" s="4"/>
    </row>
    <row r="446" spans="1:15" s="13" customFormat="1" ht="17.25">
      <c r="A446" s="351"/>
      <c r="B446" s="3"/>
      <c r="C446" s="7"/>
      <c r="D446" s="16"/>
      <c r="E446" s="4"/>
      <c r="F446" s="4"/>
      <c r="G446" s="4"/>
      <c r="H446" s="3"/>
      <c r="J446" s="226"/>
      <c r="K446" s="226"/>
      <c r="L446" s="226"/>
      <c r="M446" s="226"/>
      <c r="N446" s="226"/>
      <c r="O446" s="4"/>
    </row>
    <row r="447" spans="1:15" s="13" customFormat="1" ht="17.25">
      <c r="A447" s="351"/>
      <c r="B447" s="3"/>
      <c r="C447" s="7"/>
      <c r="D447" s="16"/>
      <c r="E447" s="4"/>
      <c r="F447" s="4"/>
      <c r="G447" s="4"/>
      <c r="H447" s="3"/>
      <c r="J447" s="226"/>
      <c r="K447" s="226"/>
      <c r="L447" s="226"/>
      <c r="M447" s="226"/>
      <c r="N447" s="226"/>
      <c r="O447" s="4"/>
    </row>
    <row r="448" spans="1:15" s="13" customFormat="1" ht="17.25">
      <c r="A448" s="351"/>
      <c r="B448" s="3"/>
      <c r="C448" s="7"/>
      <c r="D448" s="16"/>
      <c r="E448" s="4"/>
      <c r="F448" s="4"/>
      <c r="G448" s="4"/>
      <c r="H448" s="3"/>
      <c r="J448" s="226"/>
      <c r="K448" s="226"/>
      <c r="L448" s="226"/>
      <c r="M448" s="226"/>
      <c r="N448" s="226"/>
      <c r="O448" s="4"/>
    </row>
    <row r="449" spans="1:15" s="13" customFormat="1" ht="17.25">
      <c r="A449" s="351"/>
      <c r="B449" s="3"/>
      <c r="C449" s="7"/>
      <c r="D449" s="16"/>
      <c r="E449" s="4"/>
      <c r="F449" s="4"/>
      <c r="G449" s="4"/>
      <c r="H449" s="3"/>
      <c r="J449" s="226"/>
      <c r="K449" s="226"/>
      <c r="L449" s="226"/>
      <c r="M449" s="226"/>
      <c r="N449" s="226"/>
      <c r="O449" s="4"/>
    </row>
    <row r="450" spans="1:15" s="13" customFormat="1" ht="17.25">
      <c r="A450" s="351"/>
      <c r="B450" s="3"/>
      <c r="C450" s="7"/>
      <c r="D450" s="16"/>
      <c r="E450" s="4"/>
      <c r="F450" s="4"/>
      <c r="G450" s="4"/>
      <c r="H450" s="3"/>
      <c r="J450" s="226"/>
      <c r="K450" s="226"/>
      <c r="L450" s="226"/>
      <c r="M450" s="226"/>
      <c r="N450" s="226"/>
      <c r="O450" s="4"/>
    </row>
    <row r="451" spans="1:15" s="13" customFormat="1" ht="17.25">
      <c r="A451" s="351"/>
      <c r="B451" s="3"/>
      <c r="C451" s="7"/>
      <c r="D451" s="16"/>
      <c r="E451" s="4"/>
      <c r="F451" s="4"/>
      <c r="G451" s="4"/>
      <c r="H451" s="3"/>
      <c r="J451" s="226"/>
      <c r="K451" s="226"/>
      <c r="L451" s="226"/>
      <c r="M451" s="226"/>
      <c r="N451" s="226"/>
      <c r="O451" s="4"/>
    </row>
    <row r="452" spans="1:15" s="13" customFormat="1" ht="17.25">
      <c r="A452" s="351"/>
      <c r="B452" s="3"/>
      <c r="C452" s="7"/>
      <c r="D452" s="16"/>
      <c r="E452" s="4"/>
      <c r="F452" s="4"/>
      <c r="G452" s="4"/>
      <c r="H452" s="3"/>
      <c r="J452" s="226"/>
      <c r="K452" s="226"/>
      <c r="L452" s="226"/>
      <c r="M452" s="226"/>
      <c r="N452" s="226"/>
      <c r="O452" s="4"/>
    </row>
  </sheetData>
  <sheetProtection/>
  <mergeCells count="21">
    <mergeCell ref="B1:D1"/>
    <mergeCell ref="G1:I1"/>
    <mergeCell ref="B2:N2"/>
    <mergeCell ref="B3:N3"/>
    <mergeCell ref="M4:N4"/>
    <mergeCell ref="B332:D332"/>
    <mergeCell ref="I6:I7"/>
    <mergeCell ref="J6:N6"/>
    <mergeCell ref="E6:E7"/>
    <mergeCell ref="B6:B7"/>
    <mergeCell ref="C6:C7"/>
    <mergeCell ref="G6:G7"/>
    <mergeCell ref="D6:D7"/>
    <mergeCell ref="F6:F7"/>
    <mergeCell ref="D325:G325"/>
    <mergeCell ref="H6:H7"/>
    <mergeCell ref="D326:G326"/>
    <mergeCell ref="D327:G327"/>
    <mergeCell ref="D328:G328"/>
    <mergeCell ref="D329:G329"/>
    <mergeCell ref="B330:D330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landscape" paperSize="9" scale="66" r:id="rId1"/>
  <headerFooter alignWithMargins="0">
    <oddFooter>&amp;C- &amp;P -</oddFooter>
  </headerFooter>
  <rowBreaks count="2" manualBreakCount="2">
    <brk id="74" max="13" man="1"/>
    <brk id="141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5"/>
  <sheetViews>
    <sheetView view="pageBreakPreview" zoomScaleSheetLayoutView="100" zoomScalePageLayoutView="0" workbookViewId="0" topLeftCell="A1">
      <pane ySplit="8" topLeftCell="A9" activePane="bottomLeft" state="frozen"/>
      <selection pane="topLeft" activeCell="B1" sqref="B1:F1"/>
      <selection pane="bottomLeft" activeCell="B1" sqref="B1:D1"/>
    </sheetView>
  </sheetViews>
  <sheetFormatPr defaultColWidth="9.00390625" defaultRowHeight="12.75"/>
  <cols>
    <col min="1" max="1" width="3.75390625" style="405" customWidth="1"/>
    <col min="2" max="2" width="5.75390625" style="393" customWidth="1"/>
    <col min="3" max="3" width="5.75390625" style="394" customWidth="1"/>
    <col min="4" max="4" width="59.75390625" style="395" customWidth="1"/>
    <col min="5" max="7" width="10.75390625" style="391" customWidth="1"/>
    <col min="8" max="8" width="6.75390625" style="396" customWidth="1"/>
    <col min="9" max="11" width="14.875" style="391" customWidth="1"/>
    <col min="12" max="12" width="15.75390625" style="391" customWidth="1"/>
    <col min="13" max="13" width="13.75390625" style="403" customWidth="1"/>
    <col min="14" max="16384" width="9.125" style="392" customWidth="1"/>
  </cols>
  <sheetData>
    <row r="1" spans="1:251" s="266" customFormat="1" ht="18" customHeight="1">
      <c r="A1" s="404"/>
      <c r="B1" s="1531" t="s">
        <v>815</v>
      </c>
      <c r="C1" s="1531"/>
      <c r="D1" s="1531"/>
      <c r="E1" s="376"/>
      <c r="F1" s="376"/>
      <c r="G1" s="376"/>
      <c r="H1" s="375"/>
      <c r="I1" s="1535"/>
      <c r="J1" s="1535"/>
      <c r="K1" s="1535"/>
      <c r="L1" s="1535"/>
      <c r="M1" s="1535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377"/>
      <c r="AO1" s="377"/>
      <c r="AP1" s="377"/>
      <c r="AQ1" s="377"/>
      <c r="AR1" s="377"/>
      <c r="AS1" s="377"/>
      <c r="AT1" s="377"/>
      <c r="AU1" s="377"/>
      <c r="AV1" s="377"/>
      <c r="AW1" s="377"/>
      <c r="AX1" s="377"/>
      <c r="AY1" s="377"/>
      <c r="AZ1" s="377"/>
      <c r="BA1" s="377"/>
      <c r="BB1" s="377"/>
      <c r="BC1" s="377"/>
      <c r="BD1" s="377"/>
      <c r="BE1" s="377"/>
      <c r="BF1" s="377"/>
      <c r="BG1" s="377"/>
      <c r="BH1" s="377"/>
      <c r="BI1" s="377"/>
      <c r="BJ1" s="377"/>
      <c r="BK1" s="377"/>
      <c r="BL1" s="377"/>
      <c r="BM1" s="377"/>
      <c r="BN1" s="377"/>
      <c r="BO1" s="377"/>
      <c r="BP1" s="377"/>
      <c r="BQ1" s="377"/>
      <c r="BR1" s="377"/>
      <c r="BS1" s="377"/>
      <c r="BT1" s="377"/>
      <c r="BU1" s="377"/>
      <c r="BV1" s="377"/>
      <c r="BW1" s="377"/>
      <c r="BX1" s="377"/>
      <c r="BY1" s="377"/>
      <c r="BZ1" s="377"/>
      <c r="CA1" s="377"/>
      <c r="CB1" s="377"/>
      <c r="CC1" s="377"/>
      <c r="CD1" s="377"/>
      <c r="CE1" s="377"/>
      <c r="CF1" s="377"/>
      <c r="CG1" s="377"/>
      <c r="CH1" s="377"/>
      <c r="CI1" s="377"/>
      <c r="CJ1" s="377"/>
      <c r="CK1" s="377"/>
      <c r="CL1" s="377"/>
      <c r="CM1" s="377"/>
      <c r="CN1" s="377"/>
      <c r="CO1" s="377"/>
      <c r="CP1" s="377"/>
      <c r="CQ1" s="377"/>
      <c r="CR1" s="377"/>
      <c r="CS1" s="377"/>
      <c r="CT1" s="377"/>
      <c r="CU1" s="377"/>
      <c r="CV1" s="377"/>
      <c r="CW1" s="377"/>
      <c r="CX1" s="377"/>
      <c r="CY1" s="377"/>
      <c r="CZ1" s="377"/>
      <c r="DA1" s="377"/>
      <c r="DB1" s="377"/>
      <c r="DC1" s="377"/>
      <c r="DD1" s="377"/>
      <c r="DE1" s="377"/>
      <c r="DF1" s="377"/>
      <c r="DG1" s="377"/>
      <c r="DH1" s="377"/>
      <c r="DI1" s="377"/>
      <c r="DJ1" s="377"/>
      <c r="DK1" s="377"/>
      <c r="DL1" s="377"/>
      <c r="DM1" s="377"/>
      <c r="DN1" s="377"/>
      <c r="DO1" s="377"/>
      <c r="DP1" s="377"/>
      <c r="DQ1" s="377"/>
      <c r="DR1" s="377"/>
      <c r="DS1" s="377"/>
      <c r="DT1" s="377"/>
      <c r="DU1" s="377"/>
      <c r="DV1" s="377"/>
      <c r="DW1" s="377"/>
      <c r="DX1" s="377"/>
      <c r="DY1" s="377"/>
      <c r="DZ1" s="377"/>
      <c r="EA1" s="377"/>
      <c r="EB1" s="377"/>
      <c r="EC1" s="377"/>
      <c r="ED1" s="377"/>
      <c r="EE1" s="377"/>
      <c r="EF1" s="377"/>
      <c r="EG1" s="377"/>
      <c r="EH1" s="377"/>
      <c r="EI1" s="377"/>
      <c r="EJ1" s="377"/>
      <c r="EK1" s="377"/>
      <c r="EL1" s="377"/>
      <c r="EM1" s="377"/>
      <c r="EN1" s="377"/>
      <c r="EO1" s="377"/>
      <c r="EP1" s="377"/>
      <c r="EQ1" s="377"/>
      <c r="ER1" s="377"/>
      <c r="ES1" s="377"/>
      <c r="ET1" s="377"/>
      <c r="EU1" s="377"/>
      <c r="EV1" s="377"/>
      <c r="EW1" s="377"/>
      <c r="EX1" s="377"/>
      <c r="EY1" s="377"/>
      <c r="EZ1" s="377"/>
      <c r="FA1" s="377"/>
      <c r="FB1" s="377"/>
      <c r="FC1" s="377"/>
      <c r="FD1" s="377"/>
      <c r="FE1" s="377"/>
      <c r="FF1" s="377"/>
      <c r="FG1" s="377"/>
      <c r="FH1" s="377"/>
      <c r="FI1" s="377"/>
      <c r="FJ1" s="377"/>
      <c r="FK1" s="377"/>
      <c r="FL1" s="377"/>
      <c r="FM1" s="377"/>
      <c r="FN1" s="377"/>
      <c r="FO1" s="377"/>
      <c r="FP1" s="377"/>
      <c r="FQ1" s="377"/>
      <c r="FR1" s="377"/>
      <c r="FS1" s="377"/>
      <c r="FT1" s="377"/>
      <c r="FU1" s="377"/>
      <c r="FV1" s="377"/>
      <c r="FW1" s="377"/>
      <c r="FX1" s="377"/>
      <c r="FY1" s="377"/>
      <c r="FZ1" s="377"/>
      <c r="GA1" s="377"/>
      <c r="GB1" s="377"/>
      <c r="GC1" s="377"/>
      <c r="GD1" s="377"/>
      <c r="GE1" s="377"/>
      <c r="GF1" s="377"/>
      <c r="GG1" s="377"/>
      <c r="GH1" s="377"/>
      <c r="GI1" s="377"/>
      <c r="GJ1" s="377"/>
      <c r="GK1" s="377"/>
      <c r="GL1" s="377"/>
      <c r="GM1" s="377"/>
      <c r="GN1" s="377"/>
      <c r="GO1" s="377"/>
      <c r="GP1" s="377"/>
      <c r="GQ1" s="377"/>
      <c r="GR1" s="377"/>
      <c r="GS1" s="377"/>
      <c r="GT1" s="377"/>
      <c r="GU1" s="377"/>
      <c r="GV1" s="377"/>
      <c r="GW1" s="377"/>
      <c r="GX1" s="377"/>
      <c r="GY1" s="377"/>
      <c r="GZ1" s="377"/>
      <c r="HA1" s="377"/>
      <c r="HB1" s="377"/>
      <c r="HC1" s="377"/>
      <c r="HD1" s="377"/>
      <c r="HE1" s="377"/>
      <c r="HF1" s="377"/>
      <c r="HG1" s="377"/>
      <c r="HH1" s="377"/>
      <c r="HI1" s="377"/>
      <c r="HJ1" s="377"/>
      <c r="HK1" s="377"/>
      <c r="HL1" s="377"/>
      <c r="HM1" s="377"/>
      <c r="HN1" s="377"/>
      <c r="HO1" s="377"/>
      <c r="HP1" s="377"/>
      <c r="HQ1" s="377"/>
      <c r="HR1" s="377"/>
      <c r="HS1" s="377"/>
      <c r="HT1" s="377"/>
      <c r="HU1" s="377"/>
      <c r="HV1" s="377"/>
      <c r="HW1" s="377"/>
      <c r="HX1" s="377"/>
      <c r="HY1" s="377"/>
      <c r="HZ1" s="377"/>
      <c r="IA1" s="377"/>
      <c r="IB1" s="377"/>
      <c r="IC1" s="377"/>
      <c r="ID1" s="377"/>
      <c r="IE1" s="377"/>
      <c r="IF1" s="377"/>
      <c r="IG1" s="377"/>
      <c r="IH1" s="377"/>
      <c r="II1" s="377"/>
      <c r="IJ1" s="377"/>
      <c r="IK1" s="377"/>
      <c r="IL1" s="377"/>
      <c r="IM1" s="377"/>
      <c r="IN1" s="377"/>
      <c r="IO1" s="377"/>
      <c r="IP1" s="377"/>
      <c r="IQ1" s="377"/>
    </row>
    <row r="2" spans="1:13" s="266" customFormat="1" ht="18" customHeight="1">
      <c r="A2" s="405"/>
      <c r="B2" s="1536" t="s">
        <v>14</v>
      </c>
      <c r="C2" s="1536"/>
      <c r="D2" s="1536"/>
      <c r="E2" s="1536"/>
      <c r="F2" s="1536"/>
      <c r="G2" s="1536"/>
      <c r="H2" s="1536"/>
      <c r="I2" s="1536"/>
      <c r="J2" s="1536"/>
      <c r="K2" s="1536"/>
      <c r="L2" s="1536"/>
      <c r="M2" s="1536"/>
    </row>
    <row r="3" spans="1:13" s="266" customFormat="1" ht="18" customHeight="1">
      <c r="A3" s="405"/>
      <c r="B3" s="1537" t="s">
        <v>575</v>
      </c>
      <c r="C3" s="1537"/>
      <c r="D3" s="1537"/>
      <c r="E3" s="1537"/>
      <c r="F3" s="1537"/>
      <c r="G3" s="1537"/>
      <c r="H3" s="1537"/>
      <c r="I3" s="1537"/>
      <c r="J3" s="1537"/>
      <c r="K3" s="1537"/>
      <c r="L3" s="1537"/>
      <c r="M3" s="1537"/>
    </row>
    <row r="4" ht="18" customHeight="1">
      <c r="M4" s="397" t="s">
        <v>0</v>
      </c>
    </row>
    <row r="5" spans="1:251" s="107" customFormat="1" ht="18" customHeight="1" thickBot="1">
      <c r="A5" s="405"/>
      <c r="B5" s="417" t="s">
        <v>1</v>
      </c>
      <c r="C5" s="418" t="s">
        <v>3</v>
      </c>
      <c r="D5" s="418" t="s">
        <v>2</v>
      </c>
      <c r="E5" s="418" t="s">
        <v>4</v>
      </c>
      <c r="F5" s="418" t="s">
        <v>5</v>
      </c>
      <c r="G5" s="418" t="s">
        <v>15</v>
      </c>
      <c r="H5" s="418" t="s">
        <v>16</v>
      </c>
      <c r="I5" s="418" t="s">
        <v>17</v>
      </c>
      <c r="J5" s="418" t="s">
        <v>34</v>
      </c>
      <c r="K5" s="418" t="s">
        <v>30</v>
      </c>
      <c r="L5" s="418" t="s">
        <v>23</v>
      </c>
      <c r="M5" s="418" t="s">
        <v>35</v>
      </c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5"/>
      <c r="AK5" s="405"/>
      <c r="AL5" s="405"/>
      <c r="AM5" s="405"/>
      <c r="AN5" s="405"/>
      <c r="AO5" s="405"/>
      <c r="AP5" s="405"/>
      <c r="AQ5" s="405"/>
      <c r="AR5" s="405"/>
      <c r="AS5" s="405"/>
      <c r="AT5" s="405"/>
      <c r="AU5" s="405"/>
      <c r="AV5" s="405"/>
      <c r="AW5" s="405"/>
      <c r="AX5" s="405"/>
      <c r="AY5" s="405"/>
      <c r="AZ5" s="405"/>
      <c r="BA5" s="405"/>
      <c r="BB5" s="405"/>
      <c r="BC5" s="405"/>
      <c r="BD5" s="405"/>
      <c r="BE5" s="405"/>
      <c r="BF5" s="405"/>
      <c r="BG5" s="405"/>
      <c r="BH5" s="405"/>
      <c r="BI5" s="405"/>
      <c r="BJ5" s="405"/>
      <c r="BK5" s="405"/>
      <c r="BL5" s="405"/>
      <c r="BM5" s="405"/>
      <c r="BN5" s="405"/>
      <c r="BO5" s="405"/>
      <c r="BP5" s="405"/>
      <c r="BQ5" s="405"/>
      <c r="BR5" s="405"/>
      <c r="BS5" s="405"/>
      <c r="BT5" s="405"/>
      <c r="BU5" s="405"/>
      <c r="BV5" s="405"/>
      <c r="BW5" s="405"/>
      <c r="BX5" s="405"/>
      <c r="BY5" s="405"/>
      <c r="BZ5" s="405"/>
      <c r="CA5" s="405"/>
      <c r="CB5" s="405"/>
      <c r="CC5" s="405"/>
      <c r="CD5" s="405"/>
      <c r="CE5" s="405"/>
      <c r="CF5" s="405"/>
      <c r="CG5" s="405"/>
      <c r="CH5" s="405"/>
      <c r="CI5" s="405"/>
      <c r="CJ5" s="405"/>
      <c r="CK5" s="405"/>
      <c r="CL5" s="405"/>
      <c r="CM5" s="405"/>
      <c r="CN5" s="405"/>
      <c r="CO5" s="405"/>
      <c r="CP5" s="405"/>
      <c r="CQ5" s="405"/>
      <c r="CR5" s="405"/>
      <c r="CS5" s="405"/>
      <c r="CT5" s="405"/>
      <c r="CU5" s="405"/>
      <c r="CV5" s="405"/>
      <c r="CW5" s="405"/>
      <c r="CX5" s="405"/>
      <c r="CY5" s="405"/>
      <c r="CZ5" s="405"/>
      <c r="DA5" s="405"/>
      <c r="DB5" s="405"/>
      <c r="DC5" s="405"/>
      <c r="DD5" s="405"/>
      <c r="DE5" s="405"/>
      <c r="DF5" s="405"/>
      <c r="DG5" s="405"/>
      <c r="DH5" s="405"/>
      <c r="DI5" s="405"/>
      <c r="DJ5" s="405"/>
      <c r="DK5" s="405"/>
      <c r="DL5" s="405"/>
      <c r="DM5" s="405"/>
      <c r="DN5" s="405"/>
      <c r="DO5" s="405"/>
      <c r="DP5" s="405"/>
      <c r="DQ5" s="405"/>
      <c r="DR5" s="405"/>
      <c r="DS5" s="405"/>
      <c r="DT5" s="405"/>
      <c r="DU5" s="405"/>
      <c r="DV5" s="405"/>
      <c r="DW5" s="405"/>
      <c r="DX5" s="405"/>
      <c r="DY5" s="405"/>
      <c r="DZ5" s="405"/>
      <c r="EA5" s="405"/>
      <c r="EB5" s="405"/>
      <c r="EC5" s="405"/>
      <c r="ED5" s="405"/>
      <c r="EE5" s="405"/>
      <c r="EF5" s="405"/>
      <c r="EG5" s="405"/>
      <c r="EH5" s="405"/>
      <c r="EI5" s="405"/>
      <c r="EJ5" s="405"/>
      <c r="EK5" s="405"/>
      <c r="EL5" s="405"/>
      <c r="EM5" s="405"/>
      <c r="EN5" s="405"/>
      <c r="EO5" s="405"/>
      <c r="EP5" s="405"/>
      <c r="EQ5" s="405"/>
      <c r="ER5" s="405"/>
      <c r="ES5" s="405"/>
      <c r="ET5" s="405"/>
      <c r="EU5" s="405"/>
      <c r="EV5" s="405"/>
      <c r="EW5" s="405"/>
      <c r="EX5" s="405"/>
      <c r="EY5" s="405"/>
      <c r="EZ5" s="405"/>
      <c r="FA5" s="405"/>
      <c r="FB5" s="405"/>
      <c r="FC5" s="405"/>
      <c r="FD5" s="405"/>
      <c r="FE5" s="405"/>
      <c r="FF5" s="405"/>
      <c r="FG5" s="405"/>
      <c r="FH5" s="405"/>
      <c r="FI5" s="405"/>
      <c r="FJ5" s="405"/>
      <c r="FK5" s="405"/>
      <c r="FL5" s="405"/>
      <c r="FM5" s="405"/>
      <c r="FN5" s="405"/>
      <c r="FO5" s="405"/>
      <c r="FP5" s="405"/>
      <c r="FQ5" s="405"/>
      <c r="FR5" s="405"/>
      <c r="FS5" s="405"/>
      <c r="FT5" s="405"/>
      <c r="FU5" s="405"/>
      <c r="FV5" s="405"/>
      <c r="FW5" s="405"/>
      <c r="FX5" s="405"/>
      <c r="FY5" s="405"/>
      <c r="FZ5" s="405"/>
      <c r="GA5" s="405"/>
      <c r="GB5" s="405"/>
      <c r="GC5" s="405"/>
      <c r="GD5" s="405"/>
      <c r="GE5" s="405"/>
      <c r="GF5" s="405"/>
      <c r="GG5" s="405"/>
      <c r="GH5" s="405"/>
      <c r="GI5" s="405"/>
      <c r="GJ5" s="405"/>
      <c r="GK5" s="405"/>
      <c r="GL5" s="405"/>
      <c r="GM5" s="405"/>
      <c r="GN5" s="405"/>
      <c r="GO5" s="405"/>
      <c r="GP5" s="405"/>
      <c r="GQ5" s="405"/>
      <c r="GR5" s="405"/>
      <c r="GS5" s="405"/>
      <c r="GT5" s="405"/>
      <c r="GU5" s="405"/>
      <c r="GV5" s="405"/>
      <c r="GW5" s="405"/>
      <c r="GX5" s="405"/>
      <c r="GY5" s="405"/>
      <c r="GZ5" s="405"/>
      <c r="HA5" s="405"/>
      <c r="HB5" s="405"/>
      <c r="HC5" s="405"/>
      <c r="HD5" s="405"/>
      <c r="HE5" s="405"/>
      <c r="HF5" s="405"/>
      <c r="HG5" s="405"/>
      <c r="HH5" s="405"/>
      <c r="HI5" s="405"/>
      <c r="HJ5" s="405"/>
      <c r="HK5" s="405"/>
      <c r="HL5" s="405"/>
      <c r="HM5" s="405"/>
      <c r="HN5" s="405"/>
      <c r="HO5" s="405"/>
      <c r="HP5" s="405"/>
      <c r="HQ5" s="405"/>
      <c r="HR5" s="405"/>
      <c r="HS5" s="405"/>
      <c r="HT5" s="405"/>
      <c r="HU5" s="405"/>
      <c r="HV5" s="405"/>
      <c r="HW5" s="405"/>
      <c r="HX5" s="405"/>
      <c r="HY5" s="405"/>
      <c r="HZ5" s="405"/>
      <c r="IA5" s="405"/>
      <c r="IB5" s="405"/>
      <c r="IC5" s="405"/>
      <c r="ID5" s="405"/>
      <c r="IE5" s="405"/>
      <c r="IF5" s="405"/>
      <c r="IG5" s="405"/>
      <c r="IH5" s="405"/>
      <c r="II5" s="405"/>
      <c r="IJ5" s="405"/>
      <c r="IK5" s="405"/>
      <c r="IL5" s="405"/>
      <c r="IM5" s="405"/>
      <c r="IN5" s="405"/>
      <c r="IO5" s="405"/>
      <c r="IP5" s="405"/>
      <c r="IQ5" s="405"/>
    </row>
    <row r="6" spans="2:13" ht="30" customHeight="1">
      <c r="B6" s="1547" t="s">
        <v>18</v>
      </c>
      <c r="C6" s="1550" t="s">
        <v>19</v>
      </c>
      <c r="D6" s="1553" t="s">
        <v>6</v>
      </c>
      <c r="E6" s="1544" t="s">
        <v>21</v>
      </c>
      <c r="F6" s="1544" t="s">
        <v>785</v>
      </c>
      <c r="G6" s="1562" t="s">
        <v>618</v>
      </c>
      <c r="H6" s="1559" t="s">
        <v>276</v>
      </c>
      <c r="I6" s="1538" t="s">
        <v>569</v>
      </c>
      <c r="J6" s="1539"/>
      <c r="K6" s="1539"/>
      <c r="L6" s="1540"/>
      <c r="M6" s="1541" t="s">
        <v>579</v>
      </c>
    </row>
    <row r="7" spans="2:13" ht="45.75" customHeight="1">
      <c r="B7" s="1548"/>
      <c r="C7" s="1551"/>
      <c r="D7" s="1554"/>
      <c r="E7" s="1545"/>
      <c r="F7" s="1545"/>
      <c r="G7" s="1563"/>
      <c r="H7" s="1560"/>
      <c r="I7" s="396" t="s">
        <v>37</v>
      </c>
      <c r="J7" s="1556" t="s">
        <v>148</v>
      </c>
      <c r="K7" s="1556"/>
      <c r="L7" s="1557" t="s">
        <v>115</v>
      </c>
      <c r="M7" s="1542"/>
    </row>
    <row r="8" spans="2:13" ht="53.25" customHeight="1" thickBot="1">
      <c r="B8" s="1549"/>
      <c r="C8" s="1552"/>
      <c r="D8" s="1555"/>
      <c r="E8" s="1546"/>
      <c r="F8" s="1546"/>
      <c r="G8" s="1564"/>
      <c r="H8" s="1561"/>
      <c r="I8" s="491" t="s">
        <v>40</v>
      </c>
      <c r="J8" s="419" t="s">
        <v>213</v>
      </c>
      <c r="K8" s="419" t="s">
        <v>149</v>
      </c>
      <c r="L8" s="1558"/>
      <c r="M8" s="1543"/>
    </row>
    <row r="9" spans="1:13" ht="23.25" customHeight="1">
      <c r="A9" s="406">
        <v>1</v>
      </c>
      <c r="B9" s="490">
        <v>18</v>
      </c>
      <c r="C9" s="482" t="s">
        <v>31</v>
      </c>
      <c r="D9" s="1387"/>
      <c r="E9" s="398"/>
      <c r="F9" s="408"/>
      <c r="G9" s="399"/>
      <c r="H9" s="506"/>
      <c r="I9" s="492"/>
      <c r="J9" s="420"/>
      <c r="K9" s="420"/>
      <c r="L9" s="421"/>
      <c r="M9" s="409"/>
    </row>
    <row r="10" spans="1:13" ht="32.25" customHeight="1">
      <c r="A10" s="406">
        <v>2</v>
      </c>
      <c r="B10" s="410"/>
      <c r="C10" s="416">
        <v>1</v>
      </c>
      <c r="D10" s="756" t="s">
        <v>577</v>
      </c>
      <c r="E10" s="412">
        <f>F10+G10+L10+M10</f>
        <v>34906</v>
      </c>
      <c r="F10" s="413">
        <f>5652+4318</f>
        <v>9970</v>
      </c>
      <c r="G10" s="414">
        <v>8001</v>
      </c>
      <c r="H10" s="507" t="s">
        <v>24</v>
      </c>
      <c r="I10" s="493"/>
      <c r="J10" s="422">
        <v>16935</v>
      </c>
      <c r="K10" s="422"/>
      <c r="L10" s="423">
        <f aca="true" t="shared" si="0" ref="L10:L42">SUM(I10:K10)</f>
        <v>16935</v>
      </c>
      <c r="M10" s="415"/>
    </row>
    <row r="11" spans="1:13" ht="32.25" customHeight="1">
      <c r="A11" s="406">
        <v>3</v>
      </c>
      <c r="B11" s="410"/>
      <c r="C11" s="416">
        <v>2</v>
      </c>
      <c r="D11" s="756" t="s">
        <v>576</v>
      </c>
      <c r="E11" s="412">
        <f>F11+G11+L11+M11</f>
        <v>1000</v>
      </c>
      <c r="F11" s="413"/>
      <c r="G11" s="414"/>
      <c r="H11" s="507" t="s">
        <v>24</v>
      </c>
      <c r="I11" s="493"/>
      <c r="J11" s="422">
        <v>1000</v>
      </c>
      <c r="K11" s="422"/>
      <c r="L11" s="423">
        <f t="shared" si="0"/>
        <v>1000</v>
      </c>
      <c r="M11" s="415"/>
    </row>
    <row r="12" spans="1:13" ht="22.5" customHeight="1">
      <c r="A12" s="406">
        <v>4</v>
      </c>
      <c r="B12" s="410"/>
      <c r="C12" s="411">
        <v>3</v>
      </c>
      <c r="D12" s="551" t="s">
        <v>452</v>
      </c>
      <c r="E12" s="412">
        <f aca="true" t="shared" si="1" ref="E12:E51">F12+G12+L12+M12</f>
        <v>3730</v>
      </c>
      <c r="F12" s="413">
        <f>3210+110+100+100+100</f>
        <v>3620</v>
      </c>
      <c r="G12" s="414">
        <v>10</v>
      </c>
      <c r="H12" s="507" t="s">
        <v>24</v>
      </c>
      <c r="I12" s="493"/>
      <c r="J12" s="422">
        <v>100</v>
      </c>
      <c r="K12" s="422"/>
      <c r="L12" s="423">
        <f t="shared" si="0"/>
        <v>100</v>
      </c>
      <c r="M12" s="415"/>
    </row>
    <row r="13" spans="1:13" ht="22.5" customHeight="1">
      <c r="A13" s="406">
        <v>5</v>
      </c>
      <c r="B13" s="410"/>
      <c r="C13" s="411">
        <v>4</v>
      </c>
      <c r="D13" s="551" t="s">
        <v>453</v>
      </c>
      <c r="E13" s="412">
        <f t="shared" si="1"/>
        <v>211670</v>
      </c>
      <c r="F13" s="413">
        <f>84090+35890+22900+22900</f>
        <v>165780</v>
      </c>
      <c r="G13" s="414">
        <v>22990</v>
      </c>
      <c r="H13" s="507" t="s">
        <v>24</v>
      </c>
      <c r="I13" s="493"/>
      <c r="J13" s="422">
        <v>22900</v>
      </c>
      <c r="K13" s="422"/>
      <c r="L13" s="423">
        <f t="shared" si="0"/>
        <v>22900</v>
      </c>
      <c r="M13" s="415"/>
    </row>
    <row r="14" spans="1:13" ht="22.5" customHeight="1">
      <c r="A14" s="406">
        <v>6</v>
      </c>
      <c r="B14" s="410"/>
      <c r="C14" s="411">
        <v>5</v>
      </c>
      <c r="D14" s="551" t="s">
        <v>454</v>
      </c>
      <c r="E14" s="412">
        <f t="shared" si="1"/>
        <v>5600</v>
      </c>
      <c r="F14" s="413">
        <f>100+1500+2000</f>
        <v>3600</v>
      </c>
      <c r="G14" s="414">
        <v>1000</v>
      </c>
      <c r="H14" s="507" t="s">
        <v>24</v>
      </c>
      <c r="I14" s="493"/>
      <c r="J14" s="422">
        <v>1000</v>
      </c>
      <c r="K14" s="422"/>
      <c r="L14" s="423">
        <f t="shared" si="0"/>
        <v>1000</v>
      </c>
      <c r="M14" s="415"/>
    </row>
    <row r="15" spans="1:13" ht="22.5" customHeight="1">
      <c r="A15" s="406">
        <v>7</v>
      </c>
      <c r="B15" s="410"/>
      <c r="C15" s="411">
        <v>6</v>
      </c>
      <c r="D15" s="551" t="s">
        <v>455</v>
      </c>
      <c r="E15" s="412">
        <f t="shared" si="1"/>
        <v>574100</v>
      </c>
      <c r="F15" s="413">
        <f>82900+195200+98000</f>
        <v>376100</v>
      </c>
      <c r="G15" s="414">
        <v>99000</v>
      </c>
      <c r="H15" s="507" t="s">
        <v>24</v>
      </c>
      <c r="I15" s="493"/>
      <c r="J15" s="422">
        <v>99000</v>
      </c>
      <c r="K15" s="422"/>
      <c r="L15" s="423">
        <f t="shared" si="0"/>
        <v>99000</v>
      </c>
      <c r="M15" s="415"/>
    </row>
    <row r="16" spans="1:13" ht="22.5" customHeight="1">
      <c r="A16" s="406">
        <v>8</v>
      </c>
      <c r="B16" s="410"/>
      <c r="C16" s="411">
        <v>7</v>
      </c>
      <c r="D16" s="269" t="s">
        <v>382</v>
      </c>
      <c r="E16" s="412">
        <f t="shared" si="1"/>
        <v>78778</v>
      </c>
      <c r="F16" s="413">
        <f>8127+11064+7643</f>
        <v>26834</v>
      </c>
      <c r="G16" s="414">
        <v>7255</v>
      </c>
      <c r="H16" s="507" t="s">
        <v>24</v>
      </c>
      <c r="I16" s="493">
        <v>391</v>
      </c>
      <c r="J16" s="422">
        <v>44298</v>
      </c>
      <c r="K16" s="422"/>
      <c r="L16" s="423">
        <f t="shared" si="0"/>
        <v>44689</v>
      </c>
      <c r="M16" s="415"/>
    </row>
    <row r="17" spans="1:13" ht="32.25" customHeight="1">
      <c r="A17" s="406">
        <v>9</v>
      </c>
      <c r="B17" s="410"/>
      <c r="C17" s="416">
        <v>8</v>
      </c>
      <c r="D17" s="756" t="s">
        <v>522</v>
      </c>
      <c r="E17" s="412">
        <f t="shared" si="1"/>
        <v>18048</v>
      </c>
      <c r="F17" s="413"/>
      <c r="G17" s="414">
        <v>9028</v>
      </c>
      <c r="H17" s="507" t="s">
        <v>24</v>
      </c>
      <c r="I17" s="493"/>
      <c r="J17" s="422">
        <v>9020</v>
      </c>
      <c r="K17" s="422"/>
      <c r="L17" s="423">
        <f t="shared" si="0"/>
        <v>9020</v>
      </c>
      <c r="M17" s="415"/>
    </row>
    <row r="18" spans="1:13" ht="50.25" customHeight="1">
      <c r="A18" s="406">
        <v>10</v>
      </c>
      <c r="B18" s="410"/>
      <c r="C18" s="416">
        <v>9</v>
      </c>
      <c r="D18" s="269" t="s">
        <v>578</v>
      </c>
      <c r="E18" s="412">
        <f t="shared" si="1"/>
        <v>27813</v>
      </c>
      <c r="F18" s="413"/>
      <c r="G18" s="414"/>
      <c r="H18" s="507" t="s">
        <v>24</v>
      </c>
      <c r="I18" s="493"/>
      <c r="J18" s="422">
        <v>27813</v>
      </c>
      <c r="K18" s="422"/>
      <c r="L18" s="423">
        <f t="shared" si="0"/>
        <v>27813</v>
      </c>
      <c r="M18" s="415"/>
    </row>
    <row r="19" spans="1:13" ht="22.5" customHeight="1">
      <c r="A19" s="406">
        <v>11</v>
      </c>
      <c r="B19" s="410"/>
      <c r="C19" s="411">
        <v>10</v>
      </c>
      <c r="D19" s="269" t="s">
        <v>580</v>
      </c>
      <c r="E19" s="412">
        <f t="shared" si="1"/>
        <v>27265</v>
      </c>
      <c r="F19" s="413"/>
      <c r="G19" s="414"/>
      <c r="H19" s="507" t="s">
        <v>24</v>
      </c>
      <c r="I19" s="493"/>
      <c r="J19" s="422">
        <v>27265</v>
      </c>
      <c r="K19" s="422"/>
      <c r="L19" s="423">
        <f t="shared" si="0"/>
        <v>27265</v>
      </c>
      <c r="M19" s="415"/>
    </row>
    <row r="20" spans="1:13" ht="32.25" customHeight="1">
      <c r="A20" s="406">
        <v>12</v>
      </c>
      <c r="B20" s="410"/>
      <c r="C20" s="416">
        <v>11</v>
      </c>
      <c r="D20" s="269" t="s">
        <v>581</v>
      </c>
      <c r="E20" s="412">
        <f t="shared" si="1"/>
        <v>5500</v>
      </c>
      <c r="F20" s="413"/>
      <c r="G20" s="414"/>
      <c r="H20" s="507" t="s">
        <v>24</v>
      </c>
      <c r="I20" s="493"/>
      <c r="J20" s="422">
        <v>5500</v>
      </c>
      <c r="K20" s="422"/>
      <c r="L20" s="423">
        <f t="shared" si="0"/>
        <v>5500</v>
      </c>
      <c r="M20" s="415"/>
    </row>
    <row r="21" spans="1:13" ht="22.5" customHeight="1">
      <c r="A21" s="406">
        <v>13</v>
      </c>
      <c r="B21" s="410"/>
      <c r="C21" s="411">
        <v>12</v>
      </c>
      <c r="D21" s="269" t="s">
        <v>582</v>
      </c>
      <c r="E21" s="412">
        <f t="shared" si="1"/>
        <v>1500</v>
      </c>
      <c r="F21" s="413"/>
      <c r="G21" s="414"/>
      <c r="H21" s="507" t="s">
        <v>24</v>
      </c>
      <c r="I21" s="493"/>
      <c r="J21" s="422">
        <v>1500</v>
      </c>
      <c r="K21" s="422"/>
      <c r="L21" s="423">
        <f t="shared" si="0"/>
        <v>1500</v>
      </c>
      <c r="M21" s="415"/>
    </row>
    <row r="22" spans="1:13" ht="63" customHeight="1">
      <c r="A22" s="406">
        <v>14</v>
      </c>
      <c r="B22" s="410"/>
      <c r="C22" s="416"/>
      <c r="D22" s="756" t="s">
        <v>583</v>
      </c>
      <c r="E22" s="412"/>
      <c r="F22" s="413"/>
      <c r="G22" s="414"/>
      <c r="H22" s="507" t="s">
        <v>23</v>
      </c>
      <c r="I22" s="493"/>
      <c r="J22" s="422"/>
      <c r="K22" s="422"/>
      <c r="L22" s="423"/>
      <c r="M22" s="415"/>
    </row>
    <row r="23" spans="1:13" ht="18" customHeight="1">
      <c r="A23" s="406">
        <v>15</v>
      </c>
      <c r="B23" s="410"/>
      <c r="C23" s="411">
        <v>13</v>
      </c>
      <c r="D23" s="1306" t="s">
        <v>584</v>
      </c>
      <c r="E23" s="412">
        <f t="shared" si="1"/>
        <v>206114</v>
      </c>
      <c r="F23" s="413"/>
      <c r="G23" s="414"/>
      <c r="H23" s="507"/>
      <c r="I23" s="493"/>
      <c r="J23" s="422">
        <v>206114</v>
      </c>
      <c r="K23" s="422"/>
      <c r="L23" s="423">
        <f t="shared" si="0"/>
        <v>206114</v>
      </c>
      <c r="M23" s="415"/>
    </row>
    <row r="24" spans="1:13" ht="18" customHeight="1">
      <c r="A24" s="406">
        <v>16</v>
      </c>
      <c r="B24" s="410"/>
      <c r="C24" s="411">
        <v>14</v>
      </c>
      <c r="D24" s="1306" t="s">
        <v>585</v>
      </c>
      <c r="E24" s="412">
        <f t="shared" si="1"/>
        <v>28183</v>
      </c>
      <c r="F24" s="413"/>
      <c r="G24" s="414"/>
      <c r="H24" s="507"/>
      <c r="I24" s="493"/>
      <c r="J24" s="422">
        <v>28183</v>
      </c>
      <c r="K24" s="422"/>
      <c r="L24" s="423">
        <f t="shared" si="0"/>
        <v>28183</v>
      </c>
      <c r="M24" s="415"/>
    </row>
    <row r="25" spans="1:13" ht="32.25" customHeight="1">
      <c r="A25" s="406">
        <v>17</v>
      </c>
      <c r="B25" s="410"/>
      <c r="C25" s="416">
        <v>15</v>
      </c>
      <c r="D25" s="756" t="s">
        <v>456</v>
      </c>
      <c r="E25" s="412">
        <f t="shared" si="1"/>
        <v>21891</v>
      </c>
      <c r="F25" s="413"/>
      <c r="G25" s="414"/>
      <c r="H25" s="507" t="s">
        <v>23</v>
      </c>
      <c r="I25" s="493"/>
      <c r="J25" s="422">
        <v>21891</v>
      </c>
      <c r="K25" s="422"/>
      <c r="L25" s="423">
        <f t="shared" si="0"/>
        <v>21891</v>
      </c>
      <c r="M25" s="415"/>
    </row>
    <row r="26" spans="1:13" ht="32.25" customHeight="1">
      <c r="A26" s="406">
        <v>18</v>
      </c>
      <c r="B26" s="410"/>
      <c r="C26" s="416">
        <v>16</v>
      </c>
      <c r="D26" s="756" t="s">
        <v>457</v>
      </c>
      <c r="E26" s="412">
        <f t="shared" si="1"/>
        <v>22860</v>
      </c>
      <c r="F26" s="413"/>
      <c r="G26" s="414">
        <v>996</v>
      </c>
      <c r="H26" s="507" t="s">
        <v>23</v>
      </c>
      <c r="I26" s="493"/>
      <c r="J26" s="422">
        <v>21864</v>
      </c>
      <c r="K26" s="422"/>
      <c r="L26" s="423">
        <f t="shared" si="0"/>
        <v>21864</v>
      </c>
      <c r="M26" s="415"/>
    </row>
    <row r="27" spans="1:13" ht="51.75" customHeight="1">
      <c r="A27" s="406">
        <v>19</v>
      </c>
      <c r="B27" s="410"/>
      <c r="C27" s="416">
        <v>17</v>
      </c>
      <c r="D27" s="756" t="s">
        <v>458</v>
      </c>
      <c r="E27" s="412">
        <f t="shared" si="1"/>
        <v>20955</v>
      </c>
      <c r="F27" s="413"/>
      <c r="G27" s="414">
        <v>767</v>
      </c>
      <c r="H27" s="507" t="s">
        <v>23</v>
      </c>
      <c r="I27" s="493"/>
      <c r="J27" s="422">
        <v>20188</v>
      </c>
      <c r="K27" s="422"/>
      <c r="L27" s="423">
        <f t="shared" si="0"/>
        <v>20188</v>
      </c>
      <c r="M27" s="415"/>
    </row>
    <row r="28" spans="1:13" ht="80.25" customHeight="1">
      <c r="A28" s="406">
        <v>20</v>
      </c>
      <c r="B28" s="410"/>
      <c r="C28" s="416">
        <v>18</v>
      </c>
      <c r="D28" s="756" t="s">
        <v>516</v>
      </c>
      <c r="E28" s="412">
        <f t="shared" si="1"/>
        <v>3175</v>
      </c>
      <c r="F28" s="413"/>
      <c r="G28" s="414"/>
      <c r="H28" s="507" t="s">
        <v>23</v>
      </c>
      <c r="I28" s="493"/>
      <c r="J28" s="422">
        <v>3175</v>
      </c>
      <c r="K28" s="422"/>
      <c r="L28" s="423">
        <f t="shared" si="0"/>
        <v>3175</v>
      </c>
      <c r="M28" s="415"/>
    </row>
    <row r="29" spans="1:13" ht="51.75" customHeight="1">
      <c r="A29" s="406">
        <v>21</v>
      </c>
      <c r="B29" s="410"/>
      <c r="C29" s="416">
        <v>19</v>
      </c>
      <c r="D29" s="756" t="s">
        <v>517</v>
      </c>
      <c r="E29" s="412">
        <f t="shared" si="1"/>
        <v>6350</v>
      </c>
      <c r="F29" s="413"/>
      <c r="G29" s="414"/>
      <c r="H29" s="507" t="s">
        <v>23</v>
      </c>
      <c r="I29" s="493"/>
      <c r="J29" s="422">
        <v>6350</v>
      </c>
      <c r="K29" s="422"/>
      <c r="L29" s="423">
        <f t="shared" si="0"/>
        <v>6350</v>
      </c>
      <c r="M29" s="415"/>
    </row>
    <row r="30" spans="1:13" ht="42.75" customHeight="1">
      <c r="A30" s="406">
        <v>22</v>
      </c>
      <c r="B30" s="410"/>
      <c r="C30" s="416">
        <v>20</v>
      </c>
      <c r="D30" s="756" t="s">
        <v>518</v>
      </c>
      <c r="E30" s="412">
        <f t="shared" si="1"/>
        <v>104775</v>
      </c>
      <c r="F30" s="413"/>
      <c r="G30" s="414"/>
      <c r="H30" s="507" t="s">
        <v>23</v>
      </c>
      <c r="I30" s="493"/>
      <c r="J30" s="422">
        <f>72082+32693</f>
        <v>104775</v>
      </c>
      <c r="K30" s="422"/>
      <c r="L30" s="423">
        <f t="shared" si="0"/>
        <v>104775</v>
      </c>
      <c r="M30" s="415"/>
    </row>
    <row r="31" spans="1:13" ht="51.75" customHeight="1">
      <c r="A31" s="406">
        <v>23</v>
      </c>
      <c r="B31" s="410"/>
      <c r="C31" s="416">
        <v>21</v>
      </c>
      <c r="D31" s="756" t="s">
        <v>519</v>
      </c>
      <c r="E31" s="412">
        <f t="shared" si="1"/>
        <v>12700</v>
      </c>
      <c r="F31" s="413"/>
      <c r="G31" s="414"/>
      <c r="H31" s="507" t="s">
        <v>23</v>
      </c>
      <c r="I31" s="493"/>
      <c r="J31" s="422">
        <v>12700</v>
      </c>
      <c r="K31" s="422"/>
      <c r="L31" s="423">
        <f t="shared" si="0"/>
        <v>12700</v>
      </c>
      <c r="M31" s="415"/>
    </row>
    <row r="32" spans="1:13" ht="22.5" customHeight="1">
      <c r="A32" s="406">
        <v>24</v>
      </c>
      <c r="B32" s="410"/>
      <c r="C32" s="411">
        <v>22</v>
      </c>
      <c r="D32" s="269" t="s">
        <v>768</v>
      </c>
      <c r="E32" s="412">
        <f t="shared" si="1"/>
        <v>4496</v>
      </c>
      <c r="F32" s="413"/>
      <c r="G32" s="414"/>
      <c r="H32" s="507" t="s">
        <v>24</v>
      </c>
      <c r="I32" s="493"/>
      <c r="J32" s="422">
        <v>2015</v>
      </c>
      <c r="K32" s="422"/>
      <c r="L32" s="423">
        <f t="shared" si="0"/>
        <v>2015</v>
      </c>
      <c r="M32" s="415">
        <v>2481</v>
      </c>
    </row>
    <row r="33" spans="1:13" ht="22.5" customHeight="1">
      <c r="A33" s="406">
        <v>25</v>
      </c>
      <c r="B33" s="410"/>
      <c r="C33" s="411">
        <v>23</v>
      </c>
      <c r="D33" s="269" t="s">
        <v>520</v>
      </c>
      <c r="E33" s="412">
        <f t="shared" si="1"/>
        <v>54805</v>
      </c>
      <c r="F33" s="413"/>
      <c r="G33" s="414">
        <v>50041</v>
      </c>
      <c r="H33" s="507" t="s">
        <v>23</v>
      </c>
      <c r="I33" s="493"/>
      <c r="J33" s="422">
        <v>4764</v>
      </c>
      <c r="K33" s="422"/>
      <c r="L33" s="423">
        <f t="shared" si="0"/>
        <v>4764</v>
      </c>
      <c r="M33" s="415"/>
    </row>
    <row r="34" spans="1:23" ht="22.5" customHeight="1">
      <c r="A34" s="406">
        <v>26</v>
      </c>
      <c r="B34" s="410"/>
      <c r="C34" s="411">
        <v>24</v>
      </c>
      <c r="D34" s="1300" t="s">
        <v>358</v>
      </c>
      <c r="E34" s="412">
        <f t="shared" si="1"/>
        <v>2687</v>
      </c>
      <c r="F34" s="413">
        <v>858</v>
      </c>
      <c r="G34" s="414"/>
      <c r="H34" s="507" t="s">
        <v>24</v>
      </c>
      <c r="I34" s="493">
        <v>29</v>
      </c>
      <c r="J34" s="422">
        <v>1800</v>
      </c>
      <c r="K34" s="422"/>
      <c r="L34" s="423">
        <f t="shared" si="0"/>
        <v>1829</v>
      </c>
      <c r="M34" s="415"/>
      <c r="N34" s="407"/>
      <c r="O34" s="407"/>
      <c r="P34" s="407"/>
      <c r="Q34" s="407"/>
      <c r="R34" s="407"/>
      <c r="S34" s="407"/>
      <c r="T34" s="407"/>
      <c r="U34" s="407"/>
      <c r="V34" s="407"/>
      <c r="W34" s="407"/>
    </row>
    <row r="35" spans="1:13" ht="22.5" customHeight="1">
      <c r="A35" s="406">
        <v>27</v>
      </c>
      <c r="B35" s="410"/>
      <c r="C35" s="411">
        <v>25</v>
      </c>
      <c r="D35" s="1300" t="s">
        <v>447</v>
      </c>
      <c r="E35" s="412">
        <f t="shared" si="1"/>
        <v>4886</v>
      </c>
      <c r="F35" s="413">
        <v>1753</v>
      </c>
      <c r="G35" s="414">
        <v>950</v>
      </c>
      <c r="H35" s="507" t="s">
        <v>24</v>
      </c>
      <c r="I35" s="493"/>
      <c r="J35" s="422">
        <v>2183</v>
      </c>
      <c r="K35" s="422"/>
      <c r="L35" s="423">
        <f t="shared" si="0"/>
        <v>2183</v>
      </c>
      <c r="M35" s="415"/>
    </row>
    <row r="36" spans="1:13" ht="22.5" customHeight="1">
      <c r="A36" s="406">
        <v>28</v>
      </c>
      <c r="B36" s="410"/>
      <c r="C36" s="411">
        <v>26</v>
      </c>
      <c r="D36" s="269" t="s">
        <v>450</v>
      </c>
      <c r="E36" s="412">
        <f t="shared" si="1"/>
        <v>500</v>
      </c>
      <c r="F36" s="413"/>
      <c r="G36" s="414"/>
      <c r="H36" s="507" t="s">
        <v>24</v>
      </c>
      <c r="I36" s="493"/>
      <c r="J36" s="422">
        <v>500</v>
      </c>
      <c r="K36" s="422"/>
      <c r="L36" s="423">
        <f t="shared" si="0"/>
        <v>500</v>
      </c>
      <c r="M36" s="415"/>
    </row>
    <row r="37" spans="1:13" ht="32.25" customHeight="1">
      <c r="A37" s="406">
        <v>29</v>
      </c>
      <c r="B37" s="410"/>
      <c r="C37" s="416">
        <v>27</v>
      </c>
      <c r="D37" s="756" t="s">
        <v>521</v>
      </c>
      <c r="E37" s="412">
        <f t="shared" si="1"/>
        <v>230</v>
      </c>
      <c r="F37" s="413"/>
      <c r="G37" s="414">
        <v>50</v>
      </c>
      <c r="H37" s="507" t="s">
        <v>24</v>
      </c>
      <c r="I37" s="493"/>
      <c r="J37" s="422">
        <v>180</v>
      </c>
      <c r="K37" s="422"/>
      <c r="L37" s="423">
        <f t="shared" si="0"/>
        <v>180</v>
      </c>
      <c r="M37" s="415"/>
    </row>
    <row r="38" spans="1:251" ht="32.25" customHeight="1">
      <c r="A38" s="406">
        <v>30</v>
      </c>
      <c r="B38" s="410"/>
      <c r="C38" s="416">
        <v>28</v>
      </c>
      <c r="D38" s="756" t="s">
        <v>448</v>
      </c>
      <c r="E38" s="412">
        <f t="shared" si="1"/>
        <v>6096</v>
      </c>
      <c r="F38" s="413"/>
      <c r="G38" s="414"/>
      <c r="H38" s="507" t="s">
        <v>24</v>
      </c>
      <c r="I38" s="494"/>
      <c r="J38" s="412">
        <v>6096</v>
      </c>
      <c r="K38" s="412"/>
      <c r="L38" s="424">
        <f t="shared" si="0"/>
        <v>6096</v>
      </c>
      <c r="M38" s="415"/>
      <c r="N38" s="407"/>
      <c r="O38" s="407"/>
      <c r="P38" s="407"/>
      <c r="Q38" s="407"/>
      <c r="R38" s="407"/>
      <c r="S38" s="407"/>
      <c r="T38" s="407"/>
      <c r="U38" s="407"/>
      <c r="V38" s="407"/>
      <c r="W38" s="407"/>
      <c r="X38" s="407"/>
      <c r="Y38" s="407"/>
      <c r="Z38" s="407"/>
      <c r="AA38" s="407"/>
      <c r="AB38" s="407"/>
      <c r="AC38" s="407"/>
      <c r="AD38" s="407"/>
      <c r="AE38" s="407"/>
      <c r="AF38" s="407"/>
      <c r="AG38" s="407"/>
      <c r="AH38" s="407"/>
      <c r="AI38" s="407"/>
      <c r="AJ38" s="407"/>
      <c r="AK38" s="407"/>
      <c r="AL38" s="407"/>
      <c r="AM38" s="407"/>
      <c r="AN38" s="407"/>
      <c r="AO38" s="407"/>
      <c r="AP38" s="407"/>
      <c r="AQ38" s="407"/>
      <c r="AR38" s="407"/>
      <c r="AS38" s="407"/>
      <c r="AT38" s="407"/>
      <c r="AU38" s="407"/>
      <c r="AV38" s="407"/>
      <c r="AW38" s="407"/>
      <c r="AX38" s="407"/>
      <c r="AY38" s="407"/>
      <c r="AZ38" s="407"/>
      <c r="BA38" s="407"/>
      <c r="BB38" s="407"/>
      <c r="BC38" s="407"/>
      <c r="BD38" s="407"/>
      <c r="BE38" s="407"/>
      <c r="BF38" s="407"/>
      <c r="BG38" s="407"/>
      <c r="BH38" s="407"/>
      <c r="BI38" s="407"/>
      <c r="BJ38" s="407"/>
      <c r="BK38" s="407"/>
      <c r="BL38" s="407"/>
      <c r="BM38" s="407"/>
      <c r="BN38" s="407"/>
      <c r="BO38" s="407"/>
      <c r="BP38" s="407"/>
      <c r="BQ38" s="407"/>
      <c r="BR38" s="407"/>
      <c r="BS38" s="407"/>
      <c r="BT38" s="407"/>
      <c r="BU38" s="407"/>
      <c r="BV38" s="407"/>
      <c r="BW38" s="407"/>
      <c r="BX38" s="407"/>
      <c r="BY38" s="407"/>
      <c r="BZ38" s="407"/>
      <c r="CA38" s="407"/>
      <c r="CB38" s="407"/>
      <c r="CC38" s="407"/>
      <c r="CD38" s="407"/>
      <c r="CE38" s="407"/>
      <c r="CF38" s="407"/>
      <c r="CG38" s="407"/>
      <c r="CH38" s="407"/>
      <c r="CI38" s="407"/>
      <c r="CJ38" s="407"/>
      <c r="CK38" s="407"/>
      <c r="CL38" s="407"/>
      <c r="CM38" s="407"/>
      <c r="CN38" s="407"/>
      <c r="CO38" s="407"/>
      <c r="CP38" s="407"/>
      <c r="CQ38" s="407"/>
      <c r="CR38" s="407"/>
      <c r="CS38" s="407"/>
      <c r="CT38" s="407"/>
      <c r="CU38" s="407"/>
      <c r="CV38" s="407"/>
      <c r="CW38" s="407"/>
      <c r="CX38" s="407"/>
      <c r="CY38" s="407"/>
      <c r="CZ38" s="407"/>
      <c r="DA38" s="407"/>
      <c r="DB38" s="407"/>
      <c r="DC38" s="407"/>
      <c r="DD38" s="407"/>
      <c r="DE38" s="407"/>
      <c r="DF38" s="407"/>
      <c r="DG38" s="407"/>
      <c r="DH38" s="407"/>
      <c r="DI38" s="407"/>
      <c r="DJ38" s="407"/>
      <c r="DK38" s="407"/>
      <c r="DL38" s="407"/>
      <c r="DM38" s="407"/>
      <c r="DN38" s="407"/>
      <c r="DO38" s="407"/>
      <c r="DP38" s="407"/>
      <c r="DQ38" s="407"/>
      <c r="DR38" s="407"/>
      <c r="DS38" s="407"/>
      <c r="DT38" s="407"/>
      <c r="DU38" s="407"/>
      <c r="DV38" s="407"/>
      <c r="DW38" s="407"/>
      <c r="DX38" s="407"/>
      <c r="DY38" s="407"/>
      <c r="DZ38" s="407"/>
      <c r="EA38" s="407"/>
      <c r="EB38" s="407"/>
      <c r="EC38" s="407"/>
      <c r="ED38" s="407"/>
      <c r="EE38" s="407"/>
      <c r="EF38" s="407"/>
      <c r="EG38" s="407"/>
      <c r="EH38" s="407"/>
      <c r="EI38" s="407"/>
      <c r="EJ38" s="407"/>
      <c r="EK38" s="407"/>
      <c r="EL38" s="407"/>
      <c r="EM38" s="407"/>
      <c r="EN38" s="407"/>
      <c r="EO38" s="407"/>
      <c r="EP38" s="407"/>
      <c r="EQ38" s="407"/>
      <c r="ER38" s="407"/>
      <c r="ES38" s="407"/>
      <c r="ET38" s="407"/>
      <c r="EU38" s="407"/>
      <c r="EV38" s="407"/>
      <c r="EW38" s="407"/>
      <c r="EX38" s="407"/>
      <c r="EY38" s="407"/>
      <c r="EZ38" s="407"/>
      <c r="FA38" s="407"/>
      <c r="FB38" s="407"/>
      <c r="FC38" s="407"/>
      <c r="FD38" s="407"/>
      <c r="FE38" s="407"/>
      <c r="FF38" s="407"/>
      <c r="FG38" s="407"/>
      <c r="FH38" s="407"/>
      <c r="FI38" s="407"/>
      <c r="FJ38" s="407"/>
      <c r="FK38" s="407"/>
      <c r="FL38" s="407"/>
      <c r="FM38" s="407"/>
      <c r="FN38" s="407"/>
      <c r="FO38" s="407"/>
      <c r="FP38" s="407"/>
      <c r="FQ38" s="407"/>
      <c r="FR38" s="407"/>
      <c r="FS38" s="407"/>
      <c r="FT38" s="407"/>
      <c r="FU38" s="407"/>
      <c r="FV38" s="407"/>
      <c r="FW38" s="407"/>
      <c r="FX38" s="407"/>
      <c r="FY38" s="407"/>
      <c r="FZ38" s="407"/>
      <c r="GA38" s="407"/>
      <c r="GB38" s="407"/>
      <c r="GC38" s="407"/>
      <c r="GD38" s="407"/>
      <c r="GE38" s="407"/>
      <c r="GF38" s="407"/>
      <c r="GG38" s="407"/>
      <c r="GH38" s="407"/>
      <c r="GI38" s="407"/>
      <c r="GJ38" s="407"/>
      <c r="GK38" s="407"/>
      <c r="GL38" s="407"/>
      <c r="GM38" s="407"/>
      <c r="GN38" s="407"/>
      <c r="GO38" s="407"/>
      <c r="GP38" s="407"/>
      <c r="GQ38" s="407"/>
      <c r="GR38" s="407"/>
      <c r="GS38" s="407"/>
      <c r="GT38" s="407"/>
      <c r="GU38" s="407"/>
      <c r="GV38" s="407"/>
      <c r="GW38" s="407"/>
      <c r="GX38" s="407"/>
      <c r="GY38" s="407"/>
      <c r="GZ38" s="407"/>
      <c r="HA38" s="407"/>
      <c r="HB38" s="407"/>
      <c r="HC38" s="407"/>
      <c r="HD38" s="407"/>
      <c r="HE38" s="407"/>
      <c r="HF38" s="407"/>
      <c r="HG38" s="407"/>
      <c r="HH38" s="407"/>
      <c r="HI38" s="407"/>
      <c r="HJ38" s="407"/>
      <c r="HK38" s="407"/>
      <c r="HL38" s="407"/>
      <c r="HM38" s="407"/>
      <c r="HN38" s="407"/>
      <c r="HO38" s="407"/>
      <c r="HP38" s="407"/>
      <c r="HQ38" s="407"/>
      <c r="HR38" s="407"/>
      <c r="HS38" s="407"/>
      <c r="HT38" s="407"/>
      <c r="HU38" s="407"/>
      <c r="HV38" s="407"/>
      <c r="HW38" s="407"/>
      <c r="HX38" s="407"/>
      <c r="HY38" s="407"/>
      <c r="HZ38" s="407"/>
      <c r="IA38" s="407"/>
      <c r="IB38" s="407"/>
      <c r="IC38" s="407"/>
      <c r="ID38" s="407"/>
      <c r="IE38" s="407"/>
      <c r="IF38" s="407"/>
      <c r="IG38" s="407"/>
      <c r="IH38" s="407"/>
      <c r="II38" s="407"/>
      <c r="IJ38" s="407"/>
      <c r="IK38" s="407"/>
      <c r="IL38" s="407"/>
      <c r="IM38" s="407"/>
      <c r="IN38" s="407"/>
      <c r="IO38" s="407"/>
      <c r="IP38" s="407"/>
      <c r="IQ38" s="407"/>
    </row>
    <row r="39" spans="1:251" ht="52.5" customHeight="1">
      <c r="A39" s="406">
        <v>31</v>
      </c>
      <c r="B39" s="410"/>
      <c r="C39" s="416">
        <v>29</v>
      </c>
      <c r="D39" s="756" t="s">
        <v>586</v>
      </c>
      <c r="E39" s="412">
        <f t="shared" si="1"/>
        <v>100</v>
      </c>
      <c r="F39" s="413">
        <v>10</v>
      </c>
      <c r="G39" s="414"/>
      <c r="H39" s="507" t="s">
        <v>24</v>
      </c>
      <c r="I39" s="494"/>
      <c r="J39" s="412">
        <v>90</v>
      </c>
      <c r="K39" s="412"/>
      <c r="L39" s="424">
        <f t="shared" si="0"/>
        <v>90</v>
      </c>
      <c r="M39" s="415"/>
      <c r="N39" s="407"/>
      <c r="O39" s="407"/>
      <c r="P39" s="407"/>
      <c r="Q39" s="407"/>
      <c r="R39" s="407"/>
      <c r="S39" s="407"/>
      <c r="T39" s="407"/>
      <c r="U39" s="407"/>
      <c r="V39" s="407"/>
      <c r="W39" s="407"/>
      <c r="X39" s="407"/>
      <c r="Y39" s="407"/>
      <c r="Z39" s="407"/>
      <c r="AA39" s="407"/>
      <c r="AB39" s="407"/>
      <c r="AC39" s="407"/>
      <c r="AD39" s="407"/>
      <c r="AE39" s="407"/>
      <c r="AF39" s="407"/>
      <c r="AG39" s="407"/>
      <c r="AH39" s="407"/>
      <c r="AI39" s="407"/>
      <c r="AJ39" s="407"/>
      <c r="AK39" s="407"/>
      <c r="AL39" s="407"/>
      <c r="AM39" s="407"/>
      <c r="AN39" s="407"/>
      <c r="AO39" s="407"/>
      <c r="AP39" s="407"/>
      <c r="AQ39" s="407"/>
      <c r="AR39" s="407"/>
      <c r="AS39" s="407"/>
      <c r="AT39" s="407"/>
      <c r="AU39" s="407"/>
      <c r="AV39" s="407"/>
      <c r="AW39" s="407"/>
      <c r="AX39" s="407"/>
      <c r="AY39" s="407"/>
      <c r="AZ39" s="407"/>
      <c r="BA39" s="407"/>
      <c r="BB39" s="407"/>
      <c r="BC39" s="407"/>
      <c r="BD39" s="407"/>
      <c r="BE39" s="407"/>
      <c r="BF39" s="407"/>
      <c r="BG39" s="407"/>
      <c r="BH39" s="407"/>
      <c r="BI39" s="407"/>
      <c r="BJ39" s="407"/>
      <c r="BK39" s="407"/>
      <c r="BL39" s="407"/>
      <c r="BM39" s="407"/>
      <c r="BN39" s="407"/>
      <c r="BO39" s="407"/>
      <c r="BP39" s="407"/>
      <c r="BQ39" s="407"/>
      <c r="BR39" s="407"/>
      <c r="BS39" s="407"/>
      <c r="BT39" s="407"/>
      <c r="BU39" s="407"/>
      <c r="BV39" s="407"/>
      <c r="BW39" s="407"/>
      <c r="BX39" s="407"/>
      <c r="BY39" s="407"/>
      <c r="BZ39" s="407"/>
      <c r="CA39" s="407"/>
      <c r="CB39" s="407"/>
      <c r="CC39" s="407"/>
      <c r="CD39" s="407"/>
      <c r="CE39" s="407"/>
      <c r="CF39" s="407"/>
      <c r="CG39" s="407"/>
      <c r="CH39" s="407"/>
      <c r="CI39" s="407"/>
      <c r="CJ39" s="407"/>
      <c r="CK39" s="407"/>
      <c r="CL39" s="407"/>
      <c r="CM39" s="407"/>
      <c r="CN39" s="407"/>
      <c r="CO39" s="407"/>
      <c r="CP39" s="407"/>
      <c r="CQ39" s="407"/>
      <c r="CR39" s="407"/>
      <c r="CS39" s="407"/>
      <c r="CT39" s="407"/>
      <c r="CU39" s="407"/>
      <c r="CV39" s="407"/>
      <c r="CW39" s="407"/>
      <c r="CX39" s="407"/>
      <c r="CY39" s="407"/>
      <c r="CZ39" s="407"/>
      <c r="DA39" s="407"/>
      <c r="DB39" s="407"/>
      <c r="DC39" s="407"/>
      <c r="DD39" s="407"/>
      <c r="DE39" s="407"/>
      <c r="DF39" s="407"/>
      <c r="DG39" s="407"/>
      <c r="DH39" s="407"/>
      <c r="DI39" s="407"/>
      <c r="DJ39" s="407"/>
      <c r="DK39" s="407"/>
      <c r="DL39" s="407"/>
      <c r="DM39" s="407"/>
      <c r="DN39" s="407"/>
      <c r="DO39" s="407"/>
      <c r="DP39" s="407"/>
      <c r="DQ39" s="407"/>
      <c r="DR39" s="407"/>
      <c r="DS39" s="407"/>
      <c r="DT39" s="407"/>
      <c r="DU39" s="407"/>
      <c r="DV39" s="407"/>
      <c r="DW39" s="407"/>
      <c r="DX39" s="407"/>
      <c r="DY39" s="407"/>
      <c r="DZ39" s="407"/>
      <c r="EA39" s="407"/>
      <c r="EB39" s="407"/>
      <c r="EC39" s="407"/>
      <c r="ED39" s="407"/>
      <c r="EE39" s="407"/>
      <c r="EF39" s="407"/>
      <c r="EG39" s="407"/>
      <c r="EH39" s="407"/>
      <c r="EI39" s="407"/>
      <c r="EJ39" s="407"/>
      <c r="EK39" s="407"/>
      <c r="EL39" s="407"/>
      <c r="EM39" s="407"/>
      <c r="EN39" s="407"/>
      <c r="EO39" s="407"/>
      <c r="EP39" s="407"/>
      <c r="EQ39" s="407"/>
      <c r="ER39" s="407"/>
      <c r="ES39" s="407"/>
      <c r="ET39" s="407"/>
      <c r="EU39" s="407"/>
      <c r="EV39" s="407"/>
      <c r="EW39" s="407"/>
      <c r="EX39" s="407"/>
      <c r="EY39" s="407"/>
      <c r="EZ39" s="407"/>
      <c r="FA39" s="407"/>
      <c r="FB39" s="407"/>
      <c r="FC39" s="407"/>
      <c r="FD39" s="407"/>
      <c r="FE39" s="407"/>
      <c r="FF39" s="407"/>
      <c r="FG39" s="407"/>
      <c r="FH39" s="407"/>
      <c r="FI39" s="407"/>
      <c r="FJ39" s="407"/>
      <c r="FK39" s="407"/>
      <c r="FL39" s="407"/>
      <c r="FM39" s="407"/>
      <c r="FN39" s="407"/>
      <c r="FO39" s="407"/>
      <c r="FP39" s="407"/>
      <c r="FQ39" s="407"/>
      <c r="FR39" s="407"/>
      <c r="FS39" s="407"/>
      <c r="FT39" s="407"/>
      <c r="FU39" s="407"/>
      <c r="FV39" s="407"/>
      <c r="FW39" s="407"/>
      <c r="FX39" s="407"/>
      <c r="FY39" s="407"/>
      <c r="FZ39" s="407"/>
      <c r="GA39" s="407"/>
      <c r="GB39" s="407"/>
      <c r="GC39" s="407"/>
      <c r="GD39" s="407"/>
      <c r="GE39" s="407"/>
      <c r="GF39" s="407"/>
      <c r="GG39" s="407"/>
      <c r="GH39" s="407"/>
      <c r="GI39" s="407"/>
      <c r="GJ39" s="407"/>
      <c r="GK39" s="407"/>
      <c r="GL39" s="407"/>
      <c r="GM39" s="407"/>
      <c r="GN39" s="407"/>
      <c r="GO39" s="407"/>
      <c r="GP39" s="407"/>
      <c r="GQ39" s="407"/>
      <c r="GR39" s="407"/>
      <c r="GS39" s="407"/>
      <c r="GT39" s="407"/>
      <c r="GU39" s="407"/>
      <c r="GV39" s="407"/>
      <c r="GW39" s="407"/>
      <c r="GX39" s="407"/>
      <c r="GY39" s="407"/>
      <c r="GZ39" s="407"/>
      <c r="HA39" s="407"/>
      <c r="HB39" s="407"/>
      <c r="HC39" s="407"/>
      <c r="HD39" s="407"/>
      <c r="HE39" s="407"/>
      <c r="HF39" s="407"/>
      <c r="HG39" s="407"/>
      <c r="HH39" s="407"/>
      <c r="HI39" s="407"/>
      <c r="HJ39" s="407"/>
      <c r="HK39" s="407"/>
      <c r="HL39" s="407"/>
      <c r="HM39" s="407"/>
      <c r="HN39" s="407"/>
      <c r="HO39" s="407"/>
      <c r="HP39" s="407"/>
      <c r="HQ39" s="407"/>
      <c r="HR39" s="407"/>
      <c r="HS39" s="407"/>
      <c r="HT39" s="407"/>
      <c r="HU39" s="407"/>
      <c r="HV39" s="407"/>
      <c r="HW39" s="407"/>
      <c r="HX39" s="407"/>
      <c r="HY39" s="407"/>
      <c r="HZ39" s="407"/>
      <c r="IA39" s="407"/>
      <c r="IB39" s="407"/>
      <c r="IC39" s="407"/>
      <c r="ID39" s="407"/>
      <c r="IE39" s="407"/>
      <c r="IF39" s="407"/>
      <c r="IG39" s="407"/>
      <c r="IH39" s="407"/>
      <c r="II39" s="407"/>
      <c r="IJ39" s="407"/>
      <c r="IK39" s="407"/>
      <c r="IL39" s="407"/>
      <c r="IM39" s="407"/>
      <c r="IN39" s="407"/>
      <c r="IO39" s="407"/>
      <c r="IP39" s="407"/>
      <c r="IQ39" s="407"/>
    </row>
    <row r="40" spans="1:251" ht="33.75" customHeight="1">
      <c r="A40" s="406">
        <v>32</v>
      </c>
      <c r="B40" s="410"/>
      <c r="C40" s="416">
        <v>30</v>
      </c>
      <c r="D40" s="756" t="s">
        <v>587</v>
      </c>
      <c r="E40" s="412">
        <f t="shared" si="1"/>
        <v>4130</v>
      </c>
      <c r="F40" s="413"/>
      <c r="G40" s="414"/>
      <c r="H40" s="507" t="s">
        <v>24</v>
      </c>
      <c r="I40" s="494">
        <v>902</v>
      </c>
      <c r="J40" s="412">
        <v>3228</v>
      </c>
      <c r="K40" s="412"/>
      <c r="L40" s="424">
        <f t="shared" si="0"/>
        <v>4130</v>
      </c>
      <c r="M40" s="415"/>
      <c r="N40" s="407"/>
      <c r="O40" s="407"/>
      <c r="P40" s="407"/>
      <c r="Q40" s="407"/>
      <c r="R40" s="407"/>
      <c r="S40" s="407"/>
      <c r="T40" s="407"/>
      <c r="U40" s="407"/>
      <c r="V40" s="407"/>
      <c r="W40" s="407"/>
      <c r="X40" s="407"/>
      <c r="Y40" s="407"/>
      <c r="Z40" s="407"/>
      <c r="AA40" s="407"/>
      <c r="AB40" s="407"/>
      <c r="AC40" s="407"/>
      <c r="AD40" s="407"/>
      <c r="AE40" s="407"/>
      <c r="AF40" s="407"/>
      <c r="AG40" s="407"/>
      <c r="AH40" s="407"/>
      <c r="AI40" s="407"/>
      <c r="AJ40" s="407"/>
      <c r="AK40" s="407"/>
      <c r="AL40" s="407"/>
      <c r="AM40" s="407"/>
      <c r="AN40" s="407"/>
      <c r="AO40" s="407"/>
      <c r="AP40" s="407"/>
      <c r="AQ40" s="407"/>
      <c r="AR40" s="407"/>
      <c r="AS40" s="407"/>
      <c r="AT40" s="407"/>
      <c r="AU40" s="407"/>
      <c r="AV40" s="407"/>
      <c r="AW40" s="407"/>
      <c r="AX40" s="407"/>
      <c r="AY40" s="407"/>
      <c r="AZ40" s="407"/>
      <c r="BA40" s="407"/>
      <c r="BB40" s="407"/>
      <c r="BC40" s="407"/>
      <c r="BD40" s="407"/>
      <c r="BE40" s="407"/>
      <c r="BF40" s="407"/>
      <c r="BG40" s="407"/>
      <c r="BH40" s="407"/>
      <c r="BI40" s="407"/>
      <c r="BJ40" s="407"/>
      <c r="BK40" s="407"/>
      <c r="BL40" s="407"/>
      <c r="BM40" s="407"/>
      <c r="BN40" s="407"/>
      <c r="BO40" s="407"/>
      <c r="BP40" s="407"/>
      <c r="BQ40" s="407"/>
      <c r="BR40" s="407"/>
      <c r="BS40" s="407"/>
      <c r="BT40" s="407"/>
      <c r="BU40" s="407"/>
      <c r="BV40" s="407"/>
      <c r="BW40" s="407"/>
      <c r="BX40" s="407"/>
      <c r="BY40" s="407"/>
      <c r="BZ40" s="407"/>
      <c r="CA40" s="407"/>
      <c r="CB40" s="407"/>
      <c r="CC40" s="407"/>
      <c r="CD40" s="407"/>
      <c r="CE40" s="407"/>
      <c r="CF40" s="407"/>
      <c r="CG40" s="407"/>
      <c r="CH40" s="407"/>
      <c r="CI40" s="407"/>
      <c r="CJ40" s="407"/>
      <c r="CK40" s="407"/>
      <c r="CL40" s="407"/>
      <c r="CM40" s="407"/>
      <c r="CN40" s="407"/>
      <c r="CO40" s="407"/>
      <c r="CP40" s="407"/>
      <c r="CQ40" s="407"/>
      <c r="CR40" s="407"/>
      <c r="CS40" s="407"/>
      <c r="CT40" s="407"/>
      <c r="CU40" s="407"/>
      <c r="CV40" s="407"/>
      <c r="CW40" s="407"/>
      <c r="CX40" s="407"/>
      <c r="CY40" s="407"/>
      <c r="CZ40" s="407"/>
      <c r="DA40" s="407"/>
      <c r="DB40" s="407"/>
      <c r="DC40" s="407"/>
      <c r="DD40" s="407"/>
      <c r="DE40" s="407"/>
      <c r="DF40" s="407"/>
      <c r="DG40" s="407"/>
      <c r="DH40" s="407"/>
      <c r="DI40" s="407"/>
      <c r="DJ40" s="407"/>
      <c r="DK40" s="407"/>
      <c r="DL40" s="407"/>
      <c r="DM40" s="407"/>
      <c r="DN40" s="407"/>
      <c r="DO40" s="407"/>
      <c r="DP40" s="407"/>
      <c r="DQ40" s="407"/>
      <c r="DR40" s="407"/>
      <c r="DS40" s="407"/>
      <c r="DT40" s="407"/>
      <c r="DU40" s="407"/>
      <c r="DV40" s="407"/>
      <c r="DW40" s="407"/>
      <c r="DX40" s="407"/>
      <c r="DY40" s="407"/>
      <c r="DZ40" s="407"/>
      <c r="EA40" s="407"/>
      <c r="EB40" s="407"/>
      <c r="EC40" s="407"/>
      <c r="ED40" s="407"/>
      <c r="EE40" s="407"/>
      <c r="EF40" s="407"/>
      <c r="EG40" s="407"/>
      <c r="EH40" s="407"/>
      <c r="EI40" s="407"/>
      <c r="EJ40" s="407"/>
      <c r="EK40" s="407"/>
      <c r="EL40" s="407"/>
      <c r="EM40" s="407"/>
      <c r="EN40" s="407"/>
      <c r="EO40" s="407"/>
      <c r="EP40" s="407"/>
      <c r="EQ40" s="407"/>
      <c r="ER40" s="407"/>
      <c r="ES40" s="407"/>
      <c r="ET40" s="407"/>
      <c r="EU40" s="407"/>
      <c r="EV40" s="407"/>
      <c r="EW40" s="407"/>
      <c r="EX40" s="407"/>
      <c r="EY40" s="407"/>
      <c r="EZ40" s="407"/>
      <c r="FA40" s="407"/>
      <c r="FB40" s="407"/>
      <c r="FC40" s="407"/>
      <c r="FD40" s="407"/>
      <c r="FE40" s="407"/>
      <c r="FF40" s="407"/>
      <c r="FG40" s="407"/>
      <c r="FH40" s="407"/>
      <c r="FI40" s="407"/>
      <c r="FJ40" s="407"/>
      <c r="FK40" s="407"/>
      <c r="FL40" s="407"/>
      <c r="FM40" s="407"/>
      <c r="FN40" s="407"/>
      <c r="FO40" s="407"/>
      <c r="FP40" s="407"/>
      <c r="FQ40" s="407"/>
      <c r="FR40" s="407"/>
      <c r="FS40" s="407"/>
      <c r="FT40" s="407"/>
      <c r="FU40" s="407"/>
      <c r="FV40" s="407"/>
      <c r="FW40" s="407"/>
      <c r="FX40" s="407"/>
      <c r="FY40" s="407"/>
      <c r="FZ40" s="407"/>
      <c r="GA40" s="407"/>
      <c r="GB40" s="407"/>
      <c r="GC40" s="407"/>
      <c r="GD40" s="407"/>
      <c r="GE40" s="407"/>
      <c r="GF40" s="407"/>
      <c r="GG40" s="407"/>
      <c r="GH40" s="407"/>
      <c r="GI40" s="407"/>
      <c r="GJ40" s="407"/>
      <c r="GK40" s="407"/>
      <c r="GL40" s="407"/>
      <c r="GM40" s="407"/>
      <c r="GN40" s="407"/>
      <c r="GO40" s="407"/>
      <c r="GP40" s="407"/>
      <c r="GQ40" s="407"/>
      <c r="GR40" s="407"/>
      <c r="GS40" s="407"/>
      <c r="GT40" s="407"/>
      <c r="GU40" s="407"/>
      <c r="GV40" s="407"/>
      <c r="GW40" s="407"/>
      <c r="GX40" s="407"/>
      <c r="GY40" s="407"/>
      <c r="GZ40" s="407"/>
      <c r="HA40" s="407"/>
      <c r="HB40" s="407"/>
      <c r="HC40" s="407"/>
      <c r="HD40" s="407"/>
      <c r="HE40" s="407"/>
      <c r="HF40" s="407"/>
      <c r="HG40" s="407"/>
      <c r="HH40" s="407"/>
      <c r="HI40" s="407"/>
      <c r="HJ40" s="407"/>
      <c r="HK40" s="407"/>
      <c r="HL40" s="407"/>
      <c r="HM40" s="407"/>
      <c r="HN40" s="407"/>
      <c r="HO40" s="407"/>
      <c r="HP40" s="407"/>
      <c r="HQ40" s="407"/>
      <c r="HR40" s="407"/>
      <c r="HS40" s="407"/>
      <c r="HT40" s="407"/>
      <c r="HU40" s="407"/>
      <c r="HV40" s="407"/>
      <c r="HW40" s="407"/>
      <c r="HX40" s="407"/>
      <c r="HY40" s="407"/>
      <c r="HZ40" s="407"/>
      <c r="IA40" s="407"/>
      <c r="IB40" s="407"/>
      <c r="IC40" s="407"/>
      <c r="ID40" s="407"/>
      <c r="IE40" s="407"/>
      <c r="IF40" s="407"/>
      <c r="IG40" s="407"/>
      <c r="IH40" s="407"/>
      <c r="II40" s="407"/>
      <c r="IJ40" s="407"/>
      <c r="IK40" s="407"/>
      <c r="IL40" s="407"/>
      <c r="IM40" s="407"/>
      <c r="IN40" s="407"/>
      <c r="IO40" s="407"/>
      <c r="IP40" s="407"/>
      <c r="IQ40" s="407"/>
    </row>
    <row r="41" spans="1:251" ht="22.5" customHeight="1">
      <c r="A41" s="406">
        <v>33</v>
      </c>
      <c r="B41" s="410"/>
      <c r="C41" s="411">
        <v>31</v>
      </c>
      <c r="D41" s="269" t="s">
        <v>588</v>
      </c>
      <c r="E41" s="412">
        <f t="shared" si="1"/>
        <v>22987</v>
      </c>
      <c r="F41" s="413"/>
      <c r="G41" s="414">
        <v>19538</v>
      </c>
      <c r="H41" s="507" t="s">
        <v>24</v>
      </c>
      <c r="I41" s="494"/>
      <c r="J41" s="412">
        <v>3449</v>
      </c>
      <c r="K41" s="412"/>
      <c r="L41" s="424">
        <f t="shared" si="0"/>
        <v>3449</v>
      </c>
      <c r="M41" s="415"/>
      <c r="N41" s="407"/>
      <c r="O41" s="407"/>
      <c r="P41" s="407"/>
      <c r="Q41" s="407"/>
      <c r="R41" s="407"/>
      <c r="S41" s="407"/>
      <c r="T41" s="407"/>
      <c r="U41" s="407"/>
      <c r="V41" s="407"/>
      <c r="W41" s="407"/>
      <c r="X41" s="407"/>
      <c r="Y41" s="407"/>
      <c r="Z41" s="407"/>
      <c r="AA41" s="407"/>
      <c r="AB41" s="407"/>
      <c r="AC41" s="407"/>
      <c r="AD41" s="407"/>
      <c r="AE41" s="407"/>
      <c r="AF41" s="407"/>
      <c r="AG41" s="407"/>
      <c r="AH41" s="407"/>
      <c r="AI41" s="407"/>
      <c r="AJ41" s="407"/>
      <c r="AK41" s="407"/>
      <c r="AL41" s="407"/>
      <c r="AM41" s="407"/>
      <c r="AN41" s="407"/>
      <c r="AO41" s="407"/>
      <c r="AP41" s="407"/>
      <c r="AQ41" s="407"/>
      <c r="AR41" s="407"/>
      <c r="AS41" s="407"/>
      <c r="AT41" s="407"/>
      <c r="AU41" s="407"/>
      <c r="AV41" s="407"/>
      <c r="AW41" s="407"/>
      <c r="AX41" s="407"/>
      <c r="AY41" s="407"/>
      <c r="AZ41" s="407"/>
      <c r="BA41" s="407"/>
      <c r="BB41" s="407"/>
      <c r="BC41" s="407"/>
      <c r="BD41" s="407"/>
      <c r="BE41" s="407"/>
      <c r="BF41" s="407"/>
      <c r="BG41" s="407"/>
      <c r="BH41" s="407"/>
      <c r="BI41" s="407"/>
      <c r="BJ41" s="407"/>
      <c r="BK41" s="407"/>
      <c r="BL41" s="407"/>
      <c r="BM41" s="407"/>
      <c r="BN41" s="407"/>
      <c r="BO41" s="407"/>
      <c r="BP41" s="407"/>
      <c r="BQ41" s="407"/>
      <c r="BR41" s="407"/>
      <c r="BS41" s="407"/>
      <c r="BT41" s="407"/>
      <c r="BU41" s="407"/>
      <c r="BV41" s="407"/>
      <c r="BW41" s="407"/>
      <c r="BX41" s="407"/>
      <c r="BY41" s="407"/>
      <c r="BZ41" s="407"/>
      <c r="CA41" s="407"/>
      <c r="CB41" s="407"/>
      <c r="CC41" s="407"/>
      <c r="CD41" s="407"/>
      <c r="CE41" s="407"/>
      <c r="CF41" s="407"/>
      <c r="CG41" s="407"/>
      <c r="CH41" s="407"/>
      <c r="CI41" s="407"/>
      <c r="CJ41" s="407"/>
      <c r="CK41" s="407"/>
      <c r="CL41" s="407"/>
      <c r="CM41" s="407"/>
      <c r="CN41" s="407"/>
      <c r="CO41" s="407"/>
      <c r="CP41" s="407"/>
      <c r="CQ41" s="407"/>
      <c r="CR41" s="407"/>
      <c r="CS41" s="407"/>
      <c r="CT41" s="407"/>
      <c r="CU41" s="407"/>
      <c r="CV41" s="407"/>
      <c r="CW41" s="407"/>
      <c r="CX41" s="407"/>
      <c r="CY41" s="407"/>
      <c r="CZ41" s="407"/>
      <c r="DA41" s="407"/>
      <c r="DB41" s="407"/>
      <c r="DC41" s="407"/>
      <c r="DD41" s="407"/>
      <c r="DE41" s="407"/>
      <c r="DF41" s="407"/>
      <c r="DG41" s="407"/>
      <c r="DH41" s="407"/>
      <c r="DI41" s="407"/>
      <c r="DJ41" s="407"/>
      <c r="DK41" s="407"/>
      <c r="DL41" s="407"/>
      <c r="DM41" s="407"/>
      <c r="DN41" s="407"/>
      <c r="DO41" s="407"/>
      <c r="DP41" s="407"/>
      <c r="DQ41" s="407"/>
      <c r="DR41" s="407"/>
      <c r="DS41" s="407"/>
      <c r="DT41" s="407"/>
      <c r="DU41" s="407"/>
      <c r="DV41" s="407"/>
      <c r="DW41" s="407"/>
      <c r="DX41" s="407"/>
      <c r="DY41" s="407"/>
      <c r="DZ41" s="407"/>
      <c r="EA41" s="407"/>
      <c r="EB41" s="407"/>
      <c r="EC41" s="407"/>
      <c r="ED41" s="407"/>
      <c r="EE41" s="407"/>
      <c r="EF41" s="407"/>
      <c r="EG41" s="407"/>
      <c r="EH41" s="407"/>
      <c r="EI41" s="407"/>
      <c r="EJ41" s="407"/>
      <c r="EK41" s="407"/>
      <c r="EL41" s="407"/>
      <c r="EM41" s="407"/>
      <c r="EN41" s="407"/>
      <c r="EO41" s="407"/>
      <c r="EP41" s="407"/>
      <c r="EQ41" s="407"/>
      <c r="ER41" s="407"/>
      <c r="ES41" s="407"/>
      <c r="ET41" s="407"/>
      <c r="EU41" s="407"/>
      <c r="EV41" s="407"/>
      <c r="EW41" s="407"/>
      <c r="EX41" s="407"/>
      <c r="EY41" s="407"/>
      <c r="EZ41" s="407"/>
      <c r="FA41" s="407"/>
      <c r="FB41" s="407"/>
      <c r="FC41" s="407"/>
      <c r="FD41" s="407"/>
      <c r="FE41" s="407"/>
      <c r="FF41" s="407"/>
      <c r="FG41" s="407"/>
      <c r="FH41" s="407"/>
      <c r="FI41" s="407"/>
      <c r="FJ41" s="407"/>
      <c r="FK41" s="407"/>
      <c r="FL41" s="407"/>
      <c r="FM41" s="407"/>
      <c r="FN41" s="407"/>
      <c r="FO41" s="407"/>
      <c r="FP41" s="407"/>
      <c r="FQ41" s="407"/>
      <c r="FR41" s="407"/>
      <c r="FS41" s="407"/>
      <c r="FT41" s="407"/>
      <c r="FU41" s="407"/>
      <c r="FV41" s="407"/>
      <c r="FW41" s="407"/>
      <c r="FX41" s="407"/>
      <c r="FY41" s="407"/>
      <c r="FZ41" s="407"/>
      <c r="GA41" s="407"/>
      <c r="GB41" s="407"/>
      <c r="GC41" s="407"/>
      <c r="GD41" s="407"/>
      <c r="GE41" s="407"/>
      <c r="GF41" s="407"/>
      <c r="GG41" s="407"/>
      <c r="GH41" s="407"/>
      <c r="GI41" s="407"/>
      <c r="GJ41" s="407"/>
      <c r="GK41" s="407"/>
      <c r="GL41" s="407"/>
      <c r="GM41" s="407"/>
      <c r="GN41" s="407"/>
      <c r="GO41" s="407"/>
      <c r="GP41" s="407"/>
      <c r="GQ41" s="407"/>
      <c r="GR41" s="407"/>
      <c r="GS41" s="407"/>
      <c r="GT41" s="407"/>
      <c r="GU41" s="407"/>
      <c r="GV41" s="407"/>
      <c r="GW41" s="407"/>
      <c r="GX41" s="407"/>
      <c r="GY41" s="407"/>
      <c r="GZ41" s="407"/>
      <c r="HA41" s="407"/>
      <c r="HB41" s="407"/>
      <c r="HC41" s="407"/>
      <c r="HD41" s="407"/>
      <c r="HE41" s="407"/>
      <c r="HF41" s="407"/>
      <c r="HG41" s="407"/>
      <c r="HH41" s="407"/>
      <c r="HI41" s="407"/>
      <c r="HJ41" s="407"/>
      <c r="HK41" s="407"/>
      <c r="HL41" s="407"/>
      <c r="HM41" s="407"/>
      <c r="HN41" s="407"/>
      <c r="HO41" s="407"/>
      <c r="HP41" s="407"/>
      <c r="HQ41" s="407"/>
      <c r="HR41" s="407"/>
      <c r="HS41" s="407"/>
      <c r="HT41" s="407"/>
      <c r="HU41" s="407"/>
      <c r="HV41" s="407"/>
      <c r="HW41" s="407"/>
      <c r="HX41" s="407"/>
      <c r="HY41" s="407"/>
      <c r="HZ41" s="407"/>
      <c r="IA41" s="407"/>
      <c r="IB41" s="407"/>
      <c r="IC41" s="407"/>
      <c r="ID41" s="407"/>
      <c r="IE41" s="407"/>
      <c r="IF41" s="407"/>
      <c r="IG41" s="407"/>
      <c r="IH41" s="407"/>
      <c r="II41" s="407"/>
      <c r="IJ41" s="407"/>
      <c r="IK41" s="407"/>
      <c r="IL41" s="407"/>
      <c r="IM41" s="407"/>
      <c r="IN41" s="407"/>
      <c r="IO41" s="407"/>
      <c r="IP41" s="407"/>
      <c r="IQ41" s="407"/>
    </row>
    <row r="42" spans="1:251" ht="36" customHeight="1">
      <c r="A42" s="406"/>
      <c r="B42" s="410"/>
      <c r="C42" s="416">
        <v>32</v>
      </c>
      <c r="D42" s="269" t="s">
        <v>772</v>
      </c>
      <c r="E42" s="412">
        <f t="shared" si="1"/>
        <v>1500</v>
      </c>
      <c r="F42" s="413"/>
      <c r="G42" s="414"/>
      <c r="H42" s="507" t="s">
        <v>24</v>
      </c>
      <c r="I42" s="494"/>
      <c r="J42" s="412">
        <v>1500</v>
      </c>
      <c r="K42" s="412"/>
      <c r="L42" s="424">
        <f t="shared" si="0"/>
        <v>1500</v>
      </c>
      <c r="M42" s="415"/>
      <c r="N42" s="407"/>
      <c r="O42" s="407"/>
      <c r="P42" s="407"/>
      <c r="Q42" s="407"/>
      <c r="R42" s="407"/>
      <c r="S42" s="407"/>
      <c r="T42" s="407"/>
      <c r="U42" s="407"/>
      <c r="V42" s="407"/>
      <c r="W42" s="407"/>
      <c r="X42" s="407"/>
      <c r="Y42" s="407"/>
      <c r="Z42" s="407"/>
      <c r="AA42" s="407"/>
      <c r="AB42" s="407"/>
      <c r="AC42" s="407"/>
      <c r="AD42" s="407"/>
      <c r="AE42" s="407"/>
      <c r="AF42" s="407"/>
      <c r="AG42" s="407"/>
      <c r="AH42" s="407"/>
      <c r="AI42" s="407"/>
      <c r="AJ42" s="407"/>
      <c r="AK42" s="407"/>
      <c r="AL42" s="407"/>
      <c r="AM42" s="407"/>
      <c r="AN42" s="407"/>
      <c r="AO42" s="407"/>
      <c r="AP42" s="407"/>
      <c r="AQ42" s="407"/>
      <c r="AR42" s="407"/>
      <c r="AS42" s="407"/>
      <c r="AT42" s="407"/>
      <c r="AU42" s="407"/>
      <c r="AV42" s="407"/>
      <c r="AW42" s="407"/>
      <c r="AX42" s="407"/>
      <c r="AY42" s="407"/>
      <c r="AZ42" s="407"/>
      <c r="BA42" s="407"/>
      <c r="BB42" s="407"/>
      <c r="BC42" s="407"/>
      <c r="BD42" s="407"/>
      <c r="BE42" s="407"/>
      <c r="BF42" s="407"/>
      <c r="BG42" s="407"/>
      <c r="BH42" s="407"/>
      <c r="BI42" s="407"/>
      <c r="BJ42" s="407"/>
      <c r="BK42" s="407"/>
      <c r="BL42" s="407"/>
      <c r="BM42" s="407"/>
      <c r="BN42" s="407"/>
      <c r="BO42" s="407"/>
      <c r="BP42" s="407"/>
      <c r="BQ42" s="407"/>
      <c r="BR42" s="407"/>
      <c r="BS42" s="407"/>
      <c r="BT42" s="407"/>
      <c r="BU42" s="407"/>
      <c r="BV42" s="407"/>
      <c r="BW42" s="407"/>
      <c r="BX42" s="407"/>
      <c r="BY42" s="407"/>
      <c r="BZ42" s="407"/>
      <c r="CA42" s="407"/>
      <c r="CB42" s="407"/>
      <c r="CC42" s="407"/>
      <c r="CD42" s="407"/>
      <c r="CE42" s="407"/>
      <c r="CF42" s="407"/>
      <c r="CG42" s="407"/>
      <c r="CH42" s="407"/>
      <c r="CI42" s="407"/>
      <c r="CJ42" s="407"/>
      <c r="CK42" s="407"/>
      <c r="CL42" s="407"/>
      <c r="CM42" s="407"/>
      <c r="CN42" s="407"/>
      <c r="CO42" s="407"/>
      <c r="CP42" s="407"/>
      <c r="CQ42" s="407"/>
      <c r="CR42" s="407"/>
      <c r="CS42" s="407"/>
      <c r="CT42" s="407"/>
      <c r="CU42" s="407"/>
      <c r="CV42" s="407"/>
      <c r="CW42" s="407"/>
      <c r="CX42" s="407"/>
      <c r="CY42" s="407"/>
      <c r="CZ42" s="407"/>
      <c r="DA42" s="407"/>
      <c r="DB42" s="407"/>
      <c r="DC42" s="407"/>
      <c r="DD42" s="407"/>
      <c r="DE42" s="407"/>
      <c r="DF42" s="407"/>
      <c r="DG42" s="407"/>
      <c r="DH42" s="407"/>
      <c r="DI42" s="407"/>
      <c r="DJ42" s="407"/>
      <c r="DK42" s="407"/>
      <c r="DL42" s="407"/>
      <c r="DM42" s="407"/>
      <c r="DN42" s="407"/>
      <c r="DO42" s="407"/>
      <c r="DP42" s="407"/>
      <c r="DQ42" s="407"/>
      <c r="DR42" s="407"/>
      <c r="DS42" s="407"/>
      <c r="DT42" s="407"/>
      <c r="DU42" s="407"/>
      <c r="DV42" s="407"/>
      <c r="DW42" s="407"/>
      <c r="DX42" s="407"/>
      <c r="DY42" s="407"/>
      <c r="DZ42" s="407"/>
      <c r="EA42" s="407"/>
      <c r="EB42" s="407"/>
      <c r="EC42" s="407"/>
      <c r="ED42" s="407"/>
      <c r="EE42" s="407"/>
      <c r="EF42" s="407"/>
      <c r="EG42" s="407"/>
      <c r="EH42" s="407"/>
      <c r="EI42" s="407"/>
      <c r="EJ42" s="407"/>
      <c r="EK42" s="407"/>
      <c r="EL42" s="407"/>
      <c r="EM42" s="407"/>
      <c r="EN42" s="407"/>
      <c r="EO42" s="407"/>
      <c r="EP42" s="407"/>
      <c r="EQ42" s="407"/>
      <c r="ER42" s="407"/>
      <c r="ES42" s="407"/>
      <c r="ET42" s="407"/>
      <c r="EU42" s="407"/>
      <c r="EV42" s="407"/>
      <c r="EW42" s="407"/>
      <c r="EX42" s="407"/>
      <c r="EY42" s="407"/>
      <c r="EZ42" s="407"/>
      <c r="FA42" s="407"/>
      <c r="FB42" s="407"/>
      <c r="FC42" s="407"/>
      <c r="FD42" s="407"/>
      <c r="FE42" s="407"/>
      <c r="FF42" s="407"/>
      <c r="FG42" s="407"/>
      <c r="FH42" s="407"/>
      <c r="FI42" s="407"/>
      <c r="FJ42" s="407"/>
      <c r="FK42" s="407"/>
      <c r="FL42" s="407"/>
      <c r="FM42" s="407"/>
      <c r="FN42" s="407"/>
      <c r="FO42" s="407"/>
      <c r="FP42" s="407"/>
      <c r="FQ42" s="407"/>
      <c r="FR42" s="407"/>
      <c r="FS42" s="407"/>
      <c r="FT42" s="407"/>
      <c r="FU42" s="407"/>
      <c r="FV42" s="407"/>
      <c r="FW42" s="407"/>
      <c r="FX42" s="407"/>
      <c r="FY42" s="407"/>
      <c r="FZ42" s="407"/>
      <c r="GA42" s="407"/>
      <c r="GB42" s="407"/>
      <c r="GC42" s="407"/>
      <c r="GD42" s="407"/>
      <c r="GE42" s="407"/>
      <c r="GF42" s="407"/>
      <c r="GG42" s="407"/>
      <c r="GH42" s="407"/>
      <c r="GI42" s="407"/>
      <c r="GJ42" s="407"/>
      <c r="GK42" s="407"/>
      <c r="GL42" s="407"/>
      <c r="GM42" s="407"/>
      <c r="GN42" s="407"/>
      <c r="GO42" s="407"/>
      <c r="GP42" s="407"/>
      <c r="GQ42" s="407"/>
      <c r="GR42" s="407"/>
      <c r="GS42" s="407"/>
      <c r="GT42" s="407"/>
      <c r="GU42" s="407"/>
      <c r="GV42" s="407"/>
      <c r="GW42" s="407"/>
      <c r="GX42" s="407"/>
      <c r="GY42" s="407"/>
      <c r="GZ42" s="407"/>
      <c r="HA42" s="407"/>
      <c r="HB42" s="407"/>
      <c r="HC42" s="407"/>
      <c r="HD42" s="407"/>
      <c r="HE42" s="407"/>
      <c r="HF42" s="407"/>
      <c r="HG42" s="407"/>
      <c r="HH42" s="407"/>
      <c r="HI42" s="407"/>
      <c r="HJ42" s="407"/>
      <c r="HK42" s="407"/>
      <c r="HL42" s="407"/>
      <c r="HM42" s="407"/>
      <c r="HN42" s="407"/>
      <c r="HO42" s="407"/>
      <c r="HP42" s="407"/>
      <c r="HQ42" s="407"/>
      <c r="HR42" s="407"/>
      <c r="HS42" s="407"/>
      <c r="HT42" s="407"/>
      <c r="HU42" s="407"/>
      <c r="HV42" s="407"/>
      <c r="HW42" s="407"/>
      <c r="HX42" s="407"/>
      <c r="HY42" s="407"/>
      <c r="HZ42" s="407"/>
      <c r="IA42" s="407"/>
      <c r="IB42" s="407"/>
      <c r="IC42" s="407"/>
      <c r="ID42" s="407"/>
      <c r="IE42" s="407"/>
      <c r="IF42" s="407"/>
      <c r="IG42" s="407"/>
      <c r="IH42" s="407"/>
      <c r="II42" s="407"/>
      <c r="IJ42" s="407"/>
      <c r="IK42" s="407"/>
      <c r="IL42" s="407"/>
      <c r="IM42" s="407"/>
      <c r="IN42" s="407"/>
      <c r="IO42" s="407"/>
      <c r="IP42" s="407"/>
      <c r="IQ42" s="407"/>
    </row>
    <row r="43" spans="1:13" ht="35.25" customHeight="1">
      <c r="A43" s="406">
        <v>34</v>
      </c>
      <c r="B43" s="410"/>
      <c r="C43" s="416">
        <v>33</v>
      </c>
      <c r="D43" s="269" t="s">
        <v>814</v>
      </c>
      <c r="E43" s="412">
        <f t="shared" si="1"/>
        <v>242000</v>
      </c>
      <c r="F43" s="413"/>
      <c r="G43" s="414"/>
      <c r="H43" s="507" t="s">
        <v>23</v>
      </c>
      <c r="I43" s="494"/>
      <c r="J43" s="412"/>
      <c r="K43" s="412">
        <v>242000</v>
      </c>
      <c r="L43" s="424">
        <f>SUM(I43:K43)</f>
        <v>242000</v>
      </c>
      <c r="M43" s="415"/>
    </row>
    <row r="44" spans="1:13" ht="32.25" customHeight="1">
      <c r="A44" s="406">
        <v>35</v>
      </c>
      <c r="B44" s="410"/>
      <c r="C44" s="416">
        <v>34</v>
      </c>
      <c r="D44" s="756" t="s">
        <v>590</v>
      </c>
      <c r="E44" s="412">
        <f t="shared" si="1"/>
        <v>100000</v>
      </c>
      <c r="F44" s="413"/>
      <c r="G44" s="414">
        <v>50000</v>
      </c>
      <c r="H44" s="507" t="s">
        <v>24</v>
      </c>
      <c r="I44" s="494"/>
      <c r="J44" s="412"/>
      <c r="K44" s="412">
        <v>50000</v>
      </c>
      <c r="L44" s="424">
        <f>SUM(I44:K44)</f>
        <v>50000</v>
      </c>
      <c r="M44" s="778"/>
    </row>
    <row r="45" spans="1:13" ht="19.5" customHeight="1">
      <c r="A45" s="406">
        <v>36</v>
      </c>
      <c r="B45" s="410"/>
      <c r="C45" s="416">
        <v>35</v>
      </c>
      <c r="D45" s="756" t="s">
        <v>767</v>
      </c>
      <c r="E45" s="412">
        <f t="shared" si="1"/>
        <v>5000</v>
      </c>
      <c r="F45" s="413"/>
      <c r="G45" s="414"/>
      <c r="H45" s="507" t="s">
        <v>24</v>
      </c>
      <c r="I45" s="494"/>
      <c r="J45" s="412"/>
      <c r="K45" s="412">
        <v>5000</v>
      </c>
      <c r="L45" s="424">
        <f>SUM(I45:K45)</f>
        <v>5000</v>
      </c>
      <c r="M45" s="778"/>
    </row>
    <row r="46" spans="1:13" ht="22.5" customHeight="1">
      <c r="A46" s="406">
        <v>37</v>
      </c>
      <c r="B46" s="410"/>
      <c r="C46" s="416"/>
      <c r="D46" s="777" t="s">
        <v>250</v>
      </c>
      <c r="E46" s="412"/>
      <c r="F46" s="413"/>
      <c r="G46" s="414"/>
      <c r="H46" s="507" t="s">
        <v>23</v>
      </c>
      <c r="I46" s="494"/>
      <c r="J46" s="412"/>
      <c r="K46" s="412"/>
      <c r="L46" s="424"/>
      <c r="M46" s="778"/>
    </row>
    <row r="47" spans="1:13" ht="22.5" customHeight="1">
      <c r="A47" s="406">
        <v>38</v>
      </c>
      <c r="B47" s="410"/>
      <c r="C47" s="411">
        <v>36</v>
      </c>
      <c r="D47" s="269" t="s">
        <v>589</v>
      </c>
      <c r="E47" s="412"/>
      <c r="F47" s="413"/>
      <c r="G47" s="414"/>
      <c r="H47" s="507"/>
      <c r="I47" s="494"/>
      <c r="J47" s="412">
        <v>5000</v>
      </c>
      <c r="K47" s="412"/>
      <c r="L47" s="424">
        <f>SUM(I47:K47)</f>
        <v>5000</v>
      </c>
      <c r="M47" s="778"/>
    </row>
    <row r="48" spans="1:13" ht="22.5" customHeight="1">
      <c r="A48" s="406">
        <v>39</v>
      </c>
      <c r="B48" s="410"/>
      <c r="C48" s="416"/>
      <c r="D48" s="777" t="s">
        <v>536</v>
      </c>
      <c r="E48" s="412"/>
      <c r="F48" s="413"/>
      <c r="G48" s="414"/>
      <c r="H48" s="507" t="s">
        <v>23</v>
      </c>
      <c r="I48" s="412"/>
      <c r="J48" s="412"/>
      <c r="K48" s="412"/>
      <c r="L48" s="424"/>
      <c r="M48" s="778"/>
    </row>
    <row r="49" spans="1:13" ht="18" customHeight="1">
      <c r="A49" s="406">
        <v>40</v>
      </c>
      <c r="B49" s="410"/>
      <c r="C49" s="416"/>
      <c r="D49" s="1249" t="s">
        <v>727</v>
      </c>
      <c r="E49" s="412"/>
      <c r="F49" s="413"/>
      <c r="G49" s="414"/>
      <c r="H49" s="507"/>
      <c r="I49" s="412"/>
      <c r="J49" s="412"/>
      <c r="K49" s="412"/>
      <c r="L49" s="424"/>
      <c r="M49" s="778"/>
    </row>
    <row r="50" spans="1:13" ht="53.25" customHeight="1">
      <c r="A50" s="406">
        <v>41</v>
      </c>
      <c r="B50" s="410"/>
      <c r="C50" s="416">
        <v>37</v>
      </c>
      <c r="D50" s="756" t="s">
        <v>770</v>
      </c>
      <c r="E50" s="412">
        <f t="shared" si="1"/>
        <v>96000</v>
      </c>
      <c r="F50" s="413"/>
      <c r="G50" s="414">
        <v>57799</v>
      </c>
      <c r="H50" s="507"/>
      <c r="I50" s="412">
        <v>197</v>
      </c>
      <c r="J50" s="412">
        <v>38004</v>
      </c>
      <c r="K50" s="412"/>
      <c r="L50" s="424">
        <f>SUM(I50:K50)</f>
        <v>38201</v>
      </c>
      <c r="M50" s="778"/>
    </row>
    <row r="51" spans="1:13" ht="37.5" customHeight="1" thickBot="1">
      <c r="A51" s="406">
        <v>42</v>
      </c>
      <c r="B51" s="410"/>
      <c r="C51" s="416">
        <v>38</v>
      </c>
      <c r="D51" s="756" t="s">
        <v>771</v>
      </c>
      <c r="E51" s="412">
        <f t="shared" si="1"/>
        <v>80000</v>
      </c>
      <c r="F51" s="413"/>
      <c r="G51" s="414"/>
      <c r="H51" s="507"/>
      <c r="I51" s="412"/>
      <c r="J51" s="412">
        <v>80000</v>
      </c>
      <c r="K51" s="412"/>
      <c r="L51" s="424">
        <f>SUM(I51:K51)</f>
        <v>80000</v>
      </c>
      <c r="M51" s="778"/>
    </row>
    <row r="52" spans="1:13" ht="36" customHeight="1" thickBot="1">
      <c r="A52" s="406">
        <v>43</v>
      </c>
      <c r="B52" s="1532" t="s">
        <v>13</v>
      </c>
      <c r="C52" s="1533"/>
      <c r="D52" s="1533"/>
      <c r="E52" s="1533"/>
      <c r="F52" s="1533"/>
      <c r="G52" s="1534"/>
      <c r="H52" s="498"/>
      <c r="I52" s="495">
        <f>SUM(I10:I51)</f>
        <v>1519</v>
      </c>
      <c r="J52" s="495">
        <f>SUM(J10:J51)</f>
        <v>830380</v>
      </c>
      <c r="K52" s="495">
        <f>SUM(K10:K51)</f>
        <v>297000</v>
      </c>
      <c r="L52" s="495">
        <f>SUM(L10:L51)</f>
        <v>1128899</v>
      </c>
      <c r="M52" s="497"/>
    </row>
    <row r="53" spans="2:12" ht="18" customHeight="1">
      <c r="B53" s="400" t="s">
        <v>27</v>
      </c>
      <c r="C53" s="400"/>
      <c r="D53" s="400"/>
      <c r="E53" s="401"/>
      <c r="F53" s="402"/>
      <c r="G53" s="401"/>
      <c r="H53" s="389"/>
      <c r="I53" s="401"/>
      <c r="J53" s="401"/>
      <c r="K53" s="401"/>
      <c r="L53" s="401"/>
    </row>
    <row r="54" spans="2:12" ht="18" customHeight="1">
      <c r="B54" s="400" t="s">
        <v>28</v>
      </c>
      <c r="C54" s="400"/>
      <c r="D54" s="400"/>
      <c r="E54" s="390"/>
      <c r="F54" s="402"/>
      <c r="G54" s="401"/>
      <c r="H54" s="389"/>
      <c r="I54" s="401"/>
      <c r="J54" s="401"/>
      <c r="K54" s="401"/>
      <c r="L54" s="401"/>
    </row>
    <row r="55" spans="2:12" ht="18" customHeight="1">
      <c r="B55" s="400" t="s">
        <v>29</v>
      </c>
      <c r="C55" s="400"/>
      <c r="D55" s="400"/>
      <c r="E55" s="390"/>
      <c r="F55" s="402"/>
      <c r="G55" s="401"/>
      <c r="H55" s="389"/>
      <c r="I55" s="401"/>
      <c r="J55" s="401"/>
      <c r="K55" s="401"/>
      <c r="L55" s="401"/>
    </row>
  </sheetData>
  <sheetProtection/>
  <mergeCells count="16">
    <mergeCell ref="B1:D1"/>
    <mergeCell ref="B52:G52"/>
    <mergeCell ref="I1:M1"/>
    <mergeCell ref="B2:M2"/>
    <mergeCell ref="B3:M3"/>
    <mergeCell ref="I6:L6"/>
    <mergeCell ref="M6:M8"/>
    <mergeCell ref="E6:E8"/>
    <mergeCell ref="B6:B8"/>
    <mergeCell ref="C6:C8"/>
    <mergeCell ref="D6:D8"/>
    <mergeCell ref="J7:K7"/>
    <mergeCell ref="L7:L8"/>
    <mergeCell ref="H6:H8"/>
    <mergeCell ref="G6:G8"/>
    <mergeCell ref="F6:F8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portrait" paperSize="9" scale="53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0"/>
  <sheetViews>
    <sheetView view="pageBreakPreview" zoomScaleSheetLayoutView="100" zoomScalePageLayoutView="0" workbookViewId="0" topLeftCell="A1">
      <pane ySplit="8" topLeftCell="A9" activePane="bottomLeft" state="frozen"/>
      <selection pane="topLeft" activeCell="B1" sqref="B1:F1"/>
      <selection pane="bottomLeft" activeCell="B1" sqref="B1:D1"/>
    </sheetView>
  </sheetViews>
  <sheetFormatPr defaultColWidth="9.00390625" defaultRowHeight="12.75"/>
  <cols>
    <col min="1" max="1" width="3.625" style="405" customWidth="1"/>
    <col min="2" max="2" width="5.75390625" style="393" customWidth="1"/>
    <col min="3" max="3" width="5.75390625" style="394" customWidth="1"/>
    <col min="4" max="4" width="59.75390625" style="395" customWidth="1"/>
    <col min="5" max="7" width="10.75390625" style="391" customWidth="1"/>
    <col min="8" max="8" width="6.75390625" style="396" customWidth="1"/>
    <col min="9" max="10" width="14.875" style="391" customWidth="1"/>
    <col min="11" max="11" width="15.75390625" style="391" customWidth="1"/>
    <col min="12" max="12" width="13.75390625" style="403" customWidth="1"/>
    <col min="13" max="16384" width="9.125" style="392" customWidth="1"/>
  </cols>
  <sheetData>
    <row r="1" spans="1:250" s="266" customFormat="1" ht="18" customHeight="1">
      <c r="A1" s="404"/>
      <c r="B1" s="1531" t="s">
        <v>822</v>
      </c>
      <c r="C1" s="1531"/>
      <c r="D1" s="1531"/>
      <c r="E1" s="376"/>
      <c r="F1" s="376"/>
      <c r="G1" s="376"/>
      <c r="H1" s="375"/>
      <c r="I1" s="1535"/>
      <c r="J1" s="1535"/>
      <c r="K1" s="1535"/>
      <c r="L1" s="1535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377"/>
      <c r="AO1" s="377"/>
      <c r="AP1" s="377"/>
      <c r="AQ1" s="377"/>
      <c r="AR1" s="377"/>
      <c r="AS1" s="377"/>
      <c r="AT1" s="377"/>
      <c r="AU1" s="377"/>
      <c r="AV1" s="377"/>
      <c r="AW1" s="377"/>
      <c r="AX1" s="377"/>
      <c r="AY1" s="377"/>
      <c r="AZ1" s="377"/>
      <c r="BA1" s="377"/>
      <c r="BB1" s="377"/>
      <c r="BC1" s="377"/>
      <c r="BD1" s="377"/>
      <c r="BE1" s="377"/>
      <c r="BF1" s="377"/>
      <c r="BG1" s="377"/>
      <c r="BH1" s="377"/>
      <c r="BI1" s="377"/>
      <c r="BJ1" s="377"/>
      <c r="BK1" s="377"/>
      <c r="BL1" s="377"/>
      <c r="BM1" s="377"/>
      <c r="BN1" s="377"/>
      <c r="BO1" s="377"/>
      <c r="BP1" s="377"/>
      <c r="BQ1" s="377"/>
      <c r="BR1" s="377"/>
      <c r="BS1" s="377"/>
      <c r="BT1" s="377"/>
      <c r="BU1" s="377"/>
      <c r="BV1" s="377"/>
      <c r="BW1" s="377"/>
      <c r="BX1" s="377"/>
      <c r="BY1" s="377"/>
      <c r="BZ1" s="377"/>
      <c r="CA1" s="377"/>
      <c r="CB1" s="377"/>
      <c r="CC1" s="377"/>
      <c r="CD1" s="377"/>
      <c r="CE1" s="377"/>
      <c r="CF1" s="377"/>
      <c r="CG1" s="377"/>
      <c r="CH1" s="377"/>
      <c r="CI1" s="377"/>
      <c r="CJ1" s="377"/>
      <c r="CK1" s="377"/>
      <c r="CL1" s="377"/>
      <c r="CM1" s="377"/>
      <c r="CN1" s="377"/>
      <c r="CO1" s="377"/>
      <c r="CP1" s="377"/>
      <c r="CQ1" s="377"/>
      <c r="CR1" s="377"/>
      <c r="CS1" s="377"/>
      <c r="CT1" s="377"/>
      <c r="CU1" s="377"/>
      <c r="CV1" s="377"/>
      <c r="CW1" s="377"/>
      <c r="CX1" s="377"/>
      <c r="CY1" s="377"/>
      <c r="CZ1" s="377"/>
      <c r="DA1" s="377"/>
      <c r="DB1" s="377"/>
      <c r="DC1" s="377"/>
      <c r="DD1" s="377"/>
      <c r="DE1" s="377"/>
      <c r="DF1" s="377"/>
      <c r="DG1" s="377"/>
      <c r="DH1" s="377"/>
      <c r="DI1" s="377"/>
      <c r="DJ1" s="377"/>
      <c r="DK1" s="377"/>
      <c r="DL1" s="377"/>
      <c r="DM1" s="377"/>
      <c r="DN1" s="377"/>
      <c r="DO1" s="377"/>
      <c r="DP1" s="377"/>
      <c r="DQ1" s="377"/>
      <c r="DR1" s="377"/>
      <c r="DS1" s="377"/>
      <c r="DT1" s="377"/>
      <c r="DU1" s="377"/>
      <c r="DV1" s="377"/>
      <c r="DW1" s="377"/>
      <c r="DX1" s="377"/>
      <c r="DY1" s="377"/>
      <c r="DZ1" s="377"/>
      <c r="EA1" s="377"/>
      <c r="EB1" s="377"/>
      <c r="EC1" s="377"/>
      <c r="ED1" s="377"/>
      <c r="EE1" s="377"/>
      <c r="EF1" s="377"/>
      <c r="EG1" s="377"/>
      <c r="EH1" s="377"/>
      <c r="EI1" s="377"/>
      <c r="EJ1" s="377"/>
      <c r="EK1" s="377"/>
      <c r="EL1" s="377"/>
      <c r="EM1" s="377"/>
      <c r="EN1" s="377"/>
      <c r="EO1" s="377"/>
      <c r="EP1" s="377"/>
      <c r="EQ1" s="377"/>
      <c r="ER1" s="377"/>
      <c r="ES1" s="377"/>
      <c r="ET1" s="377"/>
      <c r="EU1" s="377"/>
      <c r="EV1" s="377"/>
      <c r="EW1" s="377"/>
      <c r="EX1" s="377"/>
      <c r="EY1" s="377"/>
      <c r="EZ1" s="377"/>
      <c r="FA1" s="377"/>
      <c r="FB1" s="377"/>
      <c r="FC1" s="377"/>
      <c r="FD1" s="377"/>
      <c r="FE1" s="377"/>
      <c r="FF1" s="377"/>
      <c r="FG1" s="377"/>
      <c r="FH1" s="377"/>
      <c r="FI1" s="377"/>
      <c r="FJ1" s="377"/>
      <c r="FK1" s="377"/>
      <c r="FL1" s="377"/>
      <c r="FM1" s="377"/>
      <c r="FN1" s="377"/>
      <c r="FO1" s="377"/>
      <c r="FP1" s="377"/>
      <c r="FQ1" s="377"/>
      <c r="FR1" s="377"/>
      <c r="FS1" s="377"/>
      <c r="FT1" s="377"/>
      <c r="FU1" s="377"/>
      <c r="FV1" s="377"/>
      <c r="FW1" s="377"/>
      <c r="FX1" s="377"/>
      <c r="FY1" s="377"/>
      <c r="FZ1" s="377"/>
      <c r="GA1" s="377"/>
      <c r="GB1" s="377"/>
      <c r="GC1" s="377"/>
      <c r="GD1" s="377"/>
      <c r="GE1" s="377"/>
      <c r="GF1" s="377"/>
      <c r="GG1" s="377"/>
      <c r="GH1" s="377"/>
      <c r="GI1" s="377"/>
      <c r="GJ1" s="377"/>
      <c r="GK1" s="377"/>
      <c r="GL1" s="377"/>
      <c r="GM1" s="377"/>
      <c r="GN1" s="377"/>
      <c r="GO1" s="377"/>
      <c r="GP1" s="377"/>
      <c r="GQ1" s="377"/>
      <c r="GR1" s="377"/>
      <c r="GS1" s="377"/>
      <c r="GT1" s="377"/>
      <c r="GU1" s="377"/>
      <c r="GV1" s="377"/>
      <c r="GW1" s="377"/>
      <c r="GX1" s="377"/>
      <c r="GY1" s="377"/>
      <c r="GZ1" s="377"/>
      <c r="HA1" s="377"/>
      <c r="HB1" s="377"/>
      <c r="HC1" s="377"/>
      <c r="HD1" s="377"/>
      <c r="HE1" s="377"/>
      <c r="HF1" s="377"/>
      <c r="HG1" s="377"/>
      <c r="HH1" s="377"/>
      <c r="HI1" s="377"/>
      <c r="HJ1" s="377"/>
      <c r="HK1" s="377"/>
      <c r="HL1" s="377"/>
      <c r="HM1" s="377"/>
      <c r="HN1" s="377"/>
      <c r="HO1" s="377"/>
      <c r="HP1" s="377"/>
      <c r="HQ1" s="377"/>
      <c r="HR1" s="377"/>
      <c r="HS1" s="377"/>
      <c r="HT1" s="377"/>
      <c r="HU1" s="377"/>
      <c r="HV1" s="377"/>
      <c r="HW1" s="377"/>
      <c r="HX1" s="377"/>
      <c r="HY1" s="377"/>
      <c r="HZ1" s="377"/>
      <c r="IA1" s="377"/>
      <c r="IB1" s="377"/>
      <c r="IC1" s="377"/>
      <c r="ID1" s="377"/>
      <c r="IE1" s="377"/>
      <c r="IF1" s="377"/>
      <c r="IG1" s="377"/>
      <c r="IH1" s="377"/>
      <c r="II1" s="377"/>
      <c r="IJ1" s="377"/>
      <c r="IK1" s="377"/>
      <c r="IL1" s="377"/>
      <c r="IM1" s="377"/>
      <c r="IN1" s="377"/>
      <c r="IO1" s="377"/>
      <c r="IP1" s="377"/>
    </row>
    <row r="2" spans="1:12" s="266" customFormat="1" ht="18" customHeight="1">
      <c r="A2" s="405"/>
      <c r="B2" s="1536" t="s">
        <v>14</v>
      </c>
      <c r="C2" s="1536"/>
      <c r="D2" s="1536"/>
      <c r="E2" s="1536"/>
      <c r="F2" s="1536"/>
      <c r="G2" s="1536"/>
      <c r="H2" s="1536"/>
      <c r="I2" s="1536"/>
      <c r="J2" s="1536"/>
      <c r="K2" s="1536"/>
      <c r="L2" s="1536"/>
    </row>
    <row r="3" spans="1:12" s="266" customFormat="1" ht="18" customHeight="1">
      <c r="A3" s="405"/>
      <c r="B3" s="1537" t="s">
        <v>591</v>
      </c>
      <c r="C3" s="1537"/>
      <c r="D3" s="1537"/>
      <c r="E3" s="1537"/>
      <c r="F3" s="1537"/>
      <c r="G3" s="1537"/>
      <c r="H3" s="1537"/>
      <c r="I3" s="1537"/>
      <c r="J3" s="1537"/>
      <c r="K3" s="1537"/>
      <c r="L3" s="1537"/>
    </row>
    <row r="4" ht="18" customHeight="1">
      <c r="L4" s="397" t="s">
        <v>0</v>
      </c>
    </row>
    <row r="5" spans="1:250" s="107" customFormat="1" ht="18" customHeight="1" thickBot="1">
      <c r="A5" s="405"/>
      <c r="B5" s="417" t="s">
        <v>1</v>
      </c>
      <c r="C5" s="418" t="s">
        <v>3</v>
      </c>
      <c r="D5" s="418" t="s">
        <v>2</v>
      </c>
      <c r="E5" s="418" t="s">
        <v>4</v>
      </c>
      <c r="F5" s="418" t="s">
        <v>5</v>
      </c>
      <c r="G5" s="418" t="s">
        <v>15</v>
      </c>
      <c r="H5" s="418" t="s">
        <v>16</v>
      </c>
      <c r="I5" s="418" t="s">
        <v>30</v>
      </c>
      <c r="J5" s="418" t="s">
        <v>23</v>
      </c>
      <c r="K5" s="418" t="s">
        <v>35</v>
      </c>
      <c r="L5" s="418" t="s">
        <v>36</v>
      </c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5"/>
      <c r="AK5" s="405"/>
      <c r="AL5" s="405"/>
      <c r="AM5" s="405"/>
      <c r="AN5" s="405"/>
      <c r="AO5" s="405"/>
      <c r="AP5" s="405"/>
      <c r="AQ5" s="405"/>
      <c r="AR5" s="405"/>
      <c r="AS5" s="405"/>
      <c r="AT5" s="405"/>
      <c r="AU5" s="405"/>
      <c r="AV5" s="405"/>
      <c r="AW5" s="405"/>
      <c r="AX5" s="405"/>
      <c r="AY5" s="405"/>
      <c r="AZ5" s="405"/>
      <c r="BA5" s="405"/>
      <c r="BB5" s="405"/>
      <c r="BC5" s="405"/>
      <c r="BD5" s="405"/>
      <c r="BE5" s="405"/>
      <c r="BF5" s="405"/>
      <c r="BG5" s="405"/>
      <c r="BH5" s="405"/>
      <c r="BI5" s="405"/>
      <c r="BJ5" s="405"/>
      <c r="BK5" s="405"/>
      <c r="BL5" s="405"/>
      <c r="BM5" s="405"/>
      <c r="BN5" s="405"/>
      <c r="BO5" s="405"/>
      <c r="BP5" s="405"/>
      <c r="BQ5" s="405"/>
      <c r="BR5" s="405"/>
      <c r="BS5" s="405"/>
      <c r="BT5" s="405"/>
      <c r="BU5" s="405"/>
      <c r="BV5" s="405"/>
      <c r="BW5" s="405"/>
      <c r="BX5" s="405"/>
      <c r="BY5" s="405"/>
      <c r="BZ5" s="405"/>
      <c r="CA5" s="405"/>
      <c r="CB5" s="405"/>
      <c r="CC5" s="405"/>
      <c r="CD5" s="405"/>
      <c r="CE5" s="405"/>
      <c r="CF5" s="405"/>
      <c r="CG5" s="405"/>
      <c r="CH5" s="405"/>
      <c r="CI5" s="405"/>
      <c r="CJ5" s="405"/>
      <c r="CK5" s="405"/>
      <c r="CL5" s="405"/>
      <c r="CM5" s="405"/>
      <c r="CN5" s="405"/>
      <c r="CO5" s="405"/>
      <c r="CP5" s="405"/>
      <c r="CQ5" s="405"/>
      <c r="CR5" s="405"/>
      <c r="CS5" s="405"/>
      <c r="CT5" s="405"/>
      <c r="CU5" s="405"/>
      <c r="CV5" s="405"/>
      <c r="CW5" s="405"/>
      <c r="CX5" s="405"/>
      <c r="CY5" s="405"/>
      <c r="CZ5" s="405"/>
      <c r="DA5" s="405"/>
      <c r="DB5" s="405"/>
      <c r="DC5" s="405"/>
      <c r="DD5" s="405"/>
      <c r="DE5" s="405"/>
      <c r="DF5" s="405"/>
      <c r="DG5" s="405"/>
      <c r="DH5" s="405"/>
      <c r="DI5" s="405"/>
      <c r="DJ5" s="405"/>
      <c r="DK5" s="405"/>
      <c r="DL5" s="405"/>
      <c r="DM5" s="405"/>
      <c r="DN5" s="405"/>
      <c r="DO5" s="405"/>
      <c r="DP5" s="405"/>
      <c r="DQ5" s="405"/>
      <c r="DR5" s="405"/>
      <c r="DS5" s="405"/>
      <c r="DT5" s="405"/>
      <c r="DU5" s="405"/>
      <c r="DV5" s="405"/>
      <c r="DW5" s="405"/>
      <c r="DX5" s="405"/>
      <c r="DY5" s="405"/>
      <c r="DZ5" s="405"/>
      <c r="EA5" s="405"/>
      <c r="EB5" s="405"/>
      <c r="EC5" s="405"/>
      <c r="ED5" s="405"/>
      <c r="EE5" s="405"/>
      <c r="EF5" s="405"/>
      <c r="EG5" s="405"/>
      <c r="EH5" s="405"/>
      <c r="EI5" s="405"/>
      <c r="EJ5" s="405"/>
      <c r="EK5" s="405"/>
      <c r="EL5" s="405"/>
      <c r="EM5" s="405"/>
      <c r="EN5" s="405"/>
      <c r="EO5" s="405"/>
      <c r="EP5" s="405"/>
      <c r="EQ5" s="405"/>
      <c r="ER5" s="405"/>
      <c r="ES5" s="405"/>
      <c r="ET5" s="405"/>
      <c r="EU5" s="405"/>
      <c r="EV5" s="405"/>
      <c r="EW5" s="405"/>
      <c r="EX5" s="405"/>
      <c r="EY5" s="405"/>
      <c r="EZ5" s="405"/>
      <c r="FA5" s="405"/>
      <c r="FB5" s="405"/>
      <c r="FC5" s="405"/>
      <c r="FD5" s="405"/>
      <c r="FE5" s="405"/>
      <c r="FF5" s="405"/>
      <c r="FG5" s="405"/>
      <c r="FH5" s="405"/>
      <c r="FI5" s="405"/>
      <c r="FJ5" s="405"/>
      <c r="FK5" s="405"/>
      <c r="FL5" s="405"/>
      <c r="FM5" s="405"/>
      <c r="FN5" s="405"/>
      <c r="FO5" s="405"/>
      <c r="FP5" s="405"/>
      <c r="FQ5" s="405"/>
      <c r="FR5" s="405"/>
      <c r="FS5" s="405"/>
      <c r="FT5" s="405"/>
      <c r="FU5" s="405"/>
      <c r="FV5" s="405"/>
      <c r="FW5" s="405"/>
      <c r="FX5" s="405"/>
      <c r="FY5" s="405"/>
      <c r="FZ5" s="405"/>
      <c r="GA5" s="405"/>
      <c r="GB5" s="405"/>
      <c r="GC5" s="405"/>
      <c r="GD5" s="405"/>
      <c r="GE5" s="405"/>
      <c r="GF5" s="405"/>
      <c r="GG5" s="405"/>
      <c r="GH5" s="405"/>
      <c r="GI5" s="405"/>
      <c r="GJ5" s="405"/>
      <c r="GK5" s="405"/>
      <c r="GL5" s="405"/>
      <c r="GM5" s="405"/>
      <c r="GN5" s="405"/>
      <c r="GO5" s="405"/>
      <c r="GP5" s="405"/>
      <c r="GQ5" s="405"/>
      <c r="GR5" s="405"/>
      <c r="GS5" s="405"/>
      <c r="GT5" s="405"/>
      <c r="GU5" s="405"/>
      <c r="GV5" s="405"/>
      <c r="GW5" s="405"/>
      <c r="GX5" s="405"/>
      <c r="GY5" s="405"/>
      <c r="GZ5" s="405"/>
      <c r="HA5" s="405"/>
      <c r="HB5" s="405"/>
      <c r="HC5" s="405"/>
      <c r="HD5" s="405"/>
      <c r="HE5" s="405"/>
      <c r="HF5" s="405"/>
      <c r="HG5" s="405"/>
      <c r="HH5" s="405"/>
      <c r="HI5" s="405"/>
      <c r="HJ5" s="405"/>
      <c r="HK5" s="405"/>
      <c r="HL5" s="405"/>
      <c r="HM5" s="405"/>
      <c r="HN5" s="405"/>
      <c r="HO5" s="405"/>
      <c r="HP5" s="405"/>
      <c r="HQ5" s="405"/>
      <c r="HR5" s="405"/>
      <c r="HS5" s="405"/>
      <c r="HT5" s="405"/>
      <c r="HU5" s="405"/>
      <c r="HV5" s="405"/>
      <c r="HW5" s="405"/>
      <c r="HX5" s="405"/>
      <c r="HY5" s="405"/>
      <c r="HZ5" s="405"/>
      <c r="IA5" s="405"/>
      <c r="IB5" s="405"/>
      <c r="IC5" s="405"/>
      <c r="ID5" s="405"/>
      <c r="IE5" s="405"/>
      <c r="IF5" s="405"/>
      <c r="IG5" s="405"/>
      <c r="IH5" s="405"/>
      <c r="II5" s="405"/>
      <c r="IJ5" s="405"/>
      <c r="IK5" s="405"/>
      <c r="IL5" s="405"/>
      <c r="IM5" s="405"/>
      <c r="IN5" s="405"/>
      <c r="IO5" s="405"/>
      <c r="IP5" s="405"/>
    </row>
    <row r="6" spans="2:12" ht="30" customHeight="1">
      <c r="B6" s="1547" t="s">
        <v>18</v>
      </c>
      <c r="C6" s="1550" t="s">
        <v>19</v>
      </c>
      <c r="D6" s="1553" t="s">
        <v>6</v>
      </c>
      <c r="E6" s="1544" t="s">
        <v>21</v>
      </c>
      <c r="F6" s="1544" t="s">
        <v>508</v>
      </c>
      <c r="G6" s="1562" t="s">
        <v>555</v>
      </c>
      <c r="H6" s="1559" t="s">
        <v>276</v>
      </c>
      <c r="I6" s="1565" t="s">
        <v>569</v>
      </c>
      <c r="J6" s="1565"/>
      <c r="K6" s="1566"/>
      <c r="L6" s="1541" t="s">
        <v>579</v>
      </c>
    </row>
    <row r="7" spans="2:12" ht="45" customHeight="1">
      <c r="B7" s="1548"/>
      <c r="C7" s="1551"/>
      <c r="D7" s="1554"/>
      <c r="E7" s="1545"/>
      <c r="F7" s="1545"/>
      <c r="G7" s="1563"/>
      <c r="H7" s="1560"/>
      <c r="I7" s="396" t="s">
        <v>37</v>
      </c>
      <c r="J7" s="1386" t="s">
        <v>148</v>
      </c>
      <c r="K7" s="1557" t="s">
        <v>115</v>
      </c>
      <c r="L7" s="1542"/>
    </row>
    <row r="8" spans="2:12" ht="53.25" customHeight="1" thickBot="1">
      <c r="B8" s="1549"/>
      <c r="C8" s="1552"/>
      <c r="D8" s="1555"/>
      <c r="E8" s="1546"/>
      <c r="F8" s="1546"/>
      <c r="G8" s="1564"/>
      <c r="H8" s="1561"/>
      <c r="I8" s="491" t="s">
        <v>40</v>
      </c>
      <c r="J8" s="419" t="s">
        <v>214</v>
      </c>
      <c r="K8" s="1558"/>
      <c r="L8" s="1543"/>
    </row>
    <row r="9" spans="1:12" ht="23.25" customHeight="1">
      <c r="A9" s="406">
        <v>1</v>
      </c>
      <c r="B9" s="490">
        <v>18</v>
      </c>
      <c r="C9" s="482" t="s">
        <v>22</v>
      </c>
      <c r="D9" s="1387"/>
      <c r="E9" s="398"/>
      <c r="F9" s="408"/>
      <c r="G9" s="399"/>
      <c r="H9" s="506"/>
      <c r="I9" s="492"/>
      <c r="J9" s="420"/>
      <c r="K9" s="421"/>
      <c r="L9" s="409"/>
    </row>
    <row r="10" spans="1:12" ht="22.5" customHeight="1">
      <c r="A10" s="406">
        <v>2</v>
      </c>
      <c r="B10" s="410"/>
      <c r="C10" s="411">
        <v>1</v>
      </c>
      <c r="D10" s="551" t="s">
        <v>384</v>
      </c>
      <c r="E10" s="412">
        <f aca="true" t="shared" si="0" ref="E10:E45">F10+G10+K10+L10</f>
        <v>1253</v>
      </c>
      <c r="F10" s="413"/>
      <c r="G10" s="414"/>
      <c r="H10" s="507" t="s">
        <v>24</v>
      </c>
      <c r="I10" s="493"/>
      <c r="J10" s="422">
        <v>1253</v>
      </c>
      <c r="K10" s="423">
        <f aca="true" t="shared" si="1" ref="K10:K45">SUM(I10:J10)</f>
        <v>1253</v>
      </c>
      <c r="L10" s="415"/>
    </row>
    <row r="11" spans="1:12" ht="30.75" customHeight="1">
      <c r="A11" s="406">
        <v>3</v>
      </c>
      <c r="B11" s="410"/>
      <c r="C11" s="411">
        <v>2</v>
      </c>
      <c r="D11" s="551" t="s">
        <v>531</v>
      </c>
      <c r="E11" s="412">
        <f t="shared" si="0"/>
        <v>25000</v>
      </c>
      <c r="F11" s="413"/>
      <c r="G11" s="414"/>
      <c r="H11" s="507" t="s">
        <v>24</v>
      </c>
      <c r="I11" s="493"/>
      <c r="J11" s="422">
        <v>25000</v>
      </c>
      <c r="K11" s="423">
        <f t="shared" si="1"/>
        <v>25000</v>
      </c>
      <c r="L11" s="415"/>
    </row>
    <row r="12" spans="1:12" ht="19.5" customHeight="1">
      <c r="A12" s="406">
        <v>4</v>
      </c>
      <c r="B12" s="410"/>
      <c r="C12" s="411">
        <v>3</v>
      </c>
      <c r="D12" s="551" t="s">
        <v>593</v>
      </c>
      <c r="E12" s="412">
        <f t="shared" si="0"/>
        <v>25000</v>
      </c>
      <c r="F12" s="413"/>
      <c r="G12" s="414"/>
      <c r="H12" s="507" t="s">
        <v>23</v>
      </c>
      <c r="I12" s="493"/>
      <c r="J12" s="422">
        <v>25000</v>
      </c>
      <c r="K12" s="423">
        <f t="shared" si="1"/>
        <v>25000</v>
      </c>
      <c r="L12" s="415"/>
    </row>
    <row r="13" spans="1:12" ht="22.5" customHeight="1">
      <c r="A13" s="406">
        <v>5</v>
      </c>
      <c r="B13" s="410"/>
      <c r="C13" s="411">
        <v>4</v>
      </c>
      <c r="D13" s="551" t="s">
        <v>592</v>
      </c>
      <c r="E13" s="412">
        <f t="shared" si="0"/>
        <v>5000</v>
      </c>
      <c r="F13" s="413"/>
      <c r="G13" s="414"/>
      <c r="H13" s="507" t="s">
        <v>23</v>
      </c>
      <c r="I13" s="493"/>
      <c r="J13" s="422">
        <v>5000</v>
      </c>
      <c r="K13" s="423">
        <f t="shared" si="1"/>
        <v>5000</v>
      </c>
      <c r="L13" s="415"/>
    </row>
    <row r="14" spans="1:12" ht="22.5" customHeight="1">
      <c r="A14" s="406">
        <v>6</v>
      </c>
      <c r="B14" s="410"/>
      <c r="C14" s="411">
        <v>5</v>
      </c>
      <c r="D14" s="551" t="s">
        <v>444</v>
      </c>
      <c r="E14" s="412">
        <f t="shared" si="0"/>
        <v>20000</v>
      </c>
      <c r="F14" s="413"/>
      <c r="G14" s="414"/>
      <c r="H14" s="507" t="s">
        <v>23</v>
      </c>
      <c r="I14" s="493"/>
      <c r="J14" s="422">
        <v>20000</v>
      </c>
      <c r="K14" s="423">
        <f t="shared" si="1"/>
        <v>20000</v>
      </c>
      <c r="L14" s="415"/>
    </row>
    <row r="15" spans="1:12" ht="22.5" customHeight="1">
      <c r="A15" s="406">
        <v>7</v>
      </c>
      <c r="B15" s="410"/>
      <c r="C15" s="411">
        <v>6</v>
      </c>
      <c r="D15" s="551" t="s">
        <v>594</v>
      </c>
      <c r="E15" s="412">
        <f t="shared" si="0"/>
        <v>1500</v>
      </c>
      <c r="F15" s="413"/>
      <c r="G15" s="414"/>
      <c r="H15" s="507" t="s">
        <v>24</v>
      </c>
      <c r="I15" s="493"/>
      <c r="J15" s="422">
        <v>1500</v>
      </c>
      <c r="K15" s="423">
        <f t="shared" si="1"/>
        <v>1500</v>
      </c>
      <c r="L15" s="415"/>
    </row>
    <row r="16" spans="1:12" ht="22.5" customHeight="1">
      <c r="A16" s="406">
        <v>8</v>
      </c>
      <c r="B16" s="410"/>
      <c r="C16" s="411">
        <v>7</v>
      </c>
      <c r="D16" s="551" t="s">
        <v>595</v>
      </c>
      <c r="E16" s="412">
        <f t="shared" si="0"/>
        <v>4500</v>
      </c>
      <c r="F16" s="413"/>
      <c r="G16" s="414">
        <v>2500</v>
      </c>
      <c r="H16" s="507" t="s">
        <v>23</v>
      </c>
      <c r="I16" s="493"/>
      <c r="J16" s="422">
        <v>2000</v>
      </c>
      <c r="K16" s="423">
        <f t="shared" si="1"/>
        <v>2000</v>
      </c>
      <c r="L16" s="415"/>
    </row>
    <row r="17" spans="1:12" ht="22.5" customHeight="1">
      <c r="A17" s="406">
        <v>9</v>
      </c>
      <c r="B17" s="410"/>
      <c r="C17" s="411">
        <v>8</v>
      </c>
      <c r="D17" s="1388" t="s">
        <v>596</v>
      </c>
      <c r="E17" s="412">
        <f t="shared" si="0"/>
        <v>1500</v>
      </c>
      <c r="F17" s="413"/>
      <c r="G17" s="414">
        <v>1050</v>
      </c>
      <c r="H17" s="507"/>
      <c r="I17" s="493"/>
      <c r="J17" s="422">
        <v>450</v>
      </c>
      <c r="K17" s="423">
        <f t="shared" si="1"/>
        <v>450</v>
      </c>
      <c r="L17" s="415"/>
    </row>
    <row r="18" spans="1:12" ht="22.5" customHeight="1">
      <c r="A18" s="406">
        <v>10</v>
      </c>
      <c r="B18" s="410"/>
      <c r="C18" s="411"/>
      <c r="D18" s="1389" t="s">
        <v>597</v>
      </c>
      <c r="E18" s="412"/>
      <c r="F18" s="413"/>
      <c r="G18" s="414"/>
      <c r="H18" s="507" t="s">
        <v>23</v>
      </c>
      <c r="I18" s="493"/>
      <c r="J18" s="422"/>
      <c r="K18" s="423"/>
      <c r="L18" s="415"/>
    </row>
    <row r="19" spans="1:12" ht="22.5" customHeight="1">
      <c r="A19" s="406">
        <v>11</v>
      </c>
      <c r="B19" s="410"/>
      <c r="C19" s="411">
        <v>9</v>
      </c>
      <c r="D19" s="1390" t="s">
        <v>598</v>
      </c>
      <c r="E19" s="412">
        <f t="shared" si="0"/>
        <v>9000</v>
      </c>
      <c r="F19" s="413"/>
      <c r="G19" s="414"/>
      <c r="H19" s="507"/>
      <c r="I19" s="493"/>
      <c r="J19" s="422">
        <v>9000</v>
      </c>
      <c r="K19" s="423">
        <f t="shared" si="1"/>
        <v>9000</v>
      </c>
      <c r="L19" s="415"/>
    </row>
    <row r="20" spans="1:12" ht="22.5" customHeight="1">
      <c r="A20" s="406">
        <v>12</v>
      </c>
      <c r="B20" s="410"/>
      <c r="C20" s="411"/>
      <c r="D20" s="1389" t="s">
        <v>250</v>
      </c>
      <c r="E20" s="412"/>
      <c r="F20" s="413"/>
      <c r="G20" s="414"/>
      <c r="H20" s="507" t="s">
        <v>23</v>
      </c>
      <c r="I20" s="493"/>
      <c r="J20" s="422"/>
      <c r="K20" s="423"/>
      <c r="L20" s="415"/>
    </row>
    <row r="21" spans="1:12" ht="22.5" customHeight="1">
      <c r="A21" s="406">
        <v>13</v>
      </c>
      <c r="B21" s="410"/>
      <c r="C21" s="411"/>
      <c r="D21" s="1391" t="s">
        <v>348</v>
      </c>
      <c r="E21" s="412"/>
      <c r="F21" s="413"/>
      <c r="G21" s="414"/>
      <c r="H21" s="507"/>
      <c r="I21" s="493"/>
      <c r="J21" s="422"/>
      <c r="K21" s="423"/>
      <c r="L21" s="415"/>
    </row>
    <row r="22" spans="1:12" ht="32.25" customHeight="1">
      <c r="A22" s="406">
        <v>14</v>
      </c>
      <c r="B22" s="410"/>
      <c r="C22" s="411">
        <v>10</v>
      </c>
      <c r="D22" s="1390" t="s">
        <v>599</v>
      </c>
      <c r="E22" s="412">
        <f t="shared" si="0"/>
        <v>4500</v>
      </c>
      <c r="F22" s="413"/>
      <c r="G22" s="414"/>
      <c r="H22" s="507"/>
      <c r="I22" s="493"/>
      <c r="J22" s="422">
        <v>4500</v>
      </c>
      <c r="K22" s="423">
        <f t="shared" si="1"/>
        <v>4500</v>
      </c>
      <c r="L22" s="415"/>
    </row>
    <row r="23" spans="1:12" ht="22.5" customHeight="1">
      <c r="A23" s="406">
        <v>15</v>
      </c>
      <c r="B23" s="410"/>
      <c r="C23" s="411"/>
      <c r="D23" s="1392" t="s">
        <v>286</v>
      </c>
      <c r="E23" s="412"/>
      <c r="F23" s="413"/>
      <c r="G23" s="414"/>
      <c r="H23" s="507" t="s">
        <v>23</v>
      </c>
      <c r="I23" s="493"/>
      <c r="J23" s="422"/>
      <c r="K23" s="423"/>
      <c r="L23" s="415"/>
    </row>
    <row r="24" spans="1:12" ht="22.5" customHeight="1">
      <c r="A24" s="406">
        <v>16</v>
      </c>
      <c r="B24" s="410"/>
      <c r="C24" s="411">
        <v>11</v>
      </c>
      <c r="D24" s="1390" t="s">
        <v>600</v>
      </c>
      <c r="E24" s="412">
        <f t="shared" si="0"/>
        <v>2540</v>
      </c>
      <c r="F24" s="413"/>
      <c r="G24" s="414"/>
      <c r="H24" s="507"/>
      <c r="I24" s="493"/>
      <c r="J24" s="422">
        <v>2540</v>
      </c>
      <c r="K24" s="423">
        <f t="shared" si="1"/>
        <v>2540</v>
      </c>
      <c r="L24" s="415"/>
    </row>
    <row r="25" spans="1:12" ht="22.5" customHeight="1">
      <c r="A25" s="406">
        <v>17</v>
      </c>
      <c r="B25" s="410"/>
      <c r="C25" s="411"/>
      <c r="D25" s="1393" t="s">
        <v>601</v>
      </c>
      <c r="E25" s="412">
        <f t="shared" si="0"/>
        <v>0</v>
      </c>
      <c r="F25" s="413"/>
      <c r="G25" s="414"/>
      <c r="H25" s="507"/>
      <c r="I25" s="493"/>
      <c r="J25" s="422"/>
      <c r="K25" s="423">
        <f t="shared" si="1"/>
        <v>0</v>
      </c>
      <c r="L25" s="415"/>
    </row>
    <row r="26" spans="1:12" ht="22.5" customHeight="1">
      <c r="A26" s="406">
        <v>18</v>
      </c>
      <c r="B26" s="410"/>
      <c r="C26" s="411">
        <v>12</v>
      </c>
      <c r="D26" s="1390" t="s">
        <v>602</v>
      </c>
      <c r="E26" s="412">
        <f t="shared" si="0"/>
        <v>3000</v>
      </c>
      <c r="F26" s="413"/>
      <c r="G26" s="414">
        <v>1892</v>
      </c>
      <c r="H26" s="507"/>
      <c r="I26" s="493"/>
      <c r="J26" s="422">
        <v>1108</v>
      </c>
      <c r="K26" s="423">
        <f t="shared" si="1"/>
        <v>1108</v>
      </c>
      <c r="L26" s="415"/>
    </row>
    <row r="27" spans="1:12" ht="22.5" customHeight="1">
      <c r="A27" s="406">
        <v>19</v>
      </c>
      <c r="B27" s="410"/>
      <c r="C27" s="411"/>
      <c r="D27" s="1394" t="s">
        <v>603</v>
      </c>
      <c r="E27" s="412"/>
      <c r="F27" s="413"/>
      <c r="G27" s="414"/>
      <c r="H27" s="507" t="s">
        <v>23</v>
      </c>
      <c r="I27" s="493"/>
      <c r="J27" s="422"/>
      <c r="K27" s="423"/>
      <c r="L27" s="415"/>
    </row>
    <row r="28" spans="1:12" ht="22.5" customHeight="1">
      <c r="A28" s="406">
        <v>20</v>
      </c>
      <c r="B28" s="410"/>
      <c r="C28" s="411"/>
      <c r="D28" s="1395" t="s">
        <v>604</v>
      </c>
      <c r="E28" s="412"/>
      <c r="F28" s="413"/>
      <c r="G28" s="414"/>
      <c r="H28" s="507"/>
      <c r="I28" s="493"/>
      <c r="J28" s="422"/>
      <c r="K28" s="423"/>
      <c r="L28" s="415"/>
    </row>
    <row r="29" spans="1:12" ht="22.5" customHeight="1">
      <c r="A29" s="406">
        <v>21</v>
      </c>
      <c r="B29" s="410"/>
      <c r="C29" s="411">
        <v>13</v>
      </c>
      <c r="D29" s="1390" t="s">
        <v>605</v>
      </c>
      <c r="E29" s="412">
        <f t="shared" si="0"/>
        <v>7800</v>
      </c>
      <c r="F29" s="413"/>
      <c r="G29" s="414"/>
      <c r="H29" s="507"/>
      <c r="I29" s="493"/>
      <c r="J29" s="422">
        <v>7800</v>
      </c>
      <c r="K29" s="423">
        <f t="shared" si="1"/>
        <v>7800</v>
      </c>
      <c r="L29" s="415"/>
    </row>
    <row r="30" spans="1:12" ht="22.5" customHeight="1">
      <c r="A30" s="406">
        <v>22</v>
      </c>
      <c r="B30" s="410"/>
      <c r="C30" s="411"/>
      <c r="D30" s="1395" t="s">
        <v>606</v>
      </c>
      <c r="E30" s="412"/>
      <c r="F30" s="413"/>
      <c r="G30" s="414"/>
      <c r="H30" s="507"/>
      <c r="I30" s="493"/>
      <c r="J30" s="422"/>
      <c r="K30" s="423"/>
      <c r="L30" s="415"/>
    </row>
    <row r="31" spans="1:12" ht="22.5" customHeight="1">
      <c r="A31" s="406">
        <v>23</v>
      </c>
      <c r="B31" s="410"/>
      <c r="C31" s="411">
        <v>14</v>
      </c>
      <c r="D31" s="1390" t="s">
        <v>607</v>
      </c>
      <c r="E31" s="412">
        <f t="shared" si="0"/>
        <v>4400</v>
      </c>
      <c r="F31" s="413"/>
      <c r="G31" s="414"/>
      <c r="H31" s="507"/>
      <c r="I31" s="493"/>
      <c r="J31" s="422">
        <v>4400</v>
      </c>
      <c r="K31" s="423">
        <f t="shared" si="1"/>
        <v>4400</v>
      </c>
      <c r="L31" s="415"/>
    </row>
    <row r="32" spans="1:12" ht="22.5" customHeight="1">
      <c r="A32" s="406">
        <v>24</v>
      </c>
      <c r="B32" s="410"/>
      <c r="C32" s="411"/>
      <c r="D32" s="1395" t="s">
        <v>608</v>
      </c>
      <c r="E32" s="412"/>
      <c r="F32" s="413"/>
      <c r="G32" s="414"/>
      <c r="H32" s="507"/>
      <c r="I32" s="493"/>
      <c r="J32" s="422"/>
      <c r="K32" s="423"/>
      <c r="L32" s="415"/>
    </row>
    <row r="33" spans="1:12" ht="22.5" customHeight="1">
      <c r="A33" s="406">
        <v>25</v>
      </c>
      <c r="B33" s="410"/>
      <c r="C33" s="411">
        <v>15</v>
      </c>
      <c r="D33" s="1390" t="s">
        <v>609</v>
      </c>
      <c r="E33" s="412">
        <f t="shared" si="0"/>
        <v>800</v>
      </c>
      <c r="F33" s="413"/>
      <c r="G33" s="414"/>
      <c r="H33" s="507"/>
      <c r="I33" s="493"/>
      <c r="J33" s="422">
        <v>800</v>
      </c>
      <c r="K33" s="423">
        <f t="shared" si="1"/>
        <v>800</v>
      </c>
      <c r="L33" s="415"/>
    </row>
    <row r="34" spans="1:12" ht="22.5" customHeight="1">
      <c r="A34" s="406">
        <v>26</v>
      </c>
      <c r="B34" s="410"/>
      <c r="C34" s="411"/>
      <c r="D34" s="1396" t="s">
        <v>350</v>
      </c>
      <c r="E34" s="412"/>
      <c r="F34" s="413"/>
      <c r="G34" s="414"/>
      <c r="H34" s="507"/>
      <c r="I34" s="493"/>
      <c r="J34" s="422"/>
      <c r="K34" s="423"/>
      <c r="L34" s="415"/>
    </row>
    <row r="35" spans="1:12" ht="22.5" customHeight="1">
      <c r="A35" s="406">
        <v>27</v>
      </c>
      <c r="B35" s="410"/>
      <c r="C35" s="411">
        <v>16</v>
      </c>
      <c r="D35" s="1390" t="s">
        <v>610</v>
      </c>
      <c r="E35" s="412">
        <f t="shared" si="0"/>
        <v>5600</v>
      </c>
      <c r="F35" s="413"/>
      <c r="G35" s="414"/>
      <c r="H35" s="507"/>
      <c r="I35" s="493"/>
      <c r="J35" s="422">
        <v>5600</v>
      </c>
      <c r="K35" s="423">
        <f t="shared" si="1"/>
        <v>5600</v>
      </c>
      <c r="L35" s="415"/>
    </row>
    <row r="36" spans="1:12" ht="22.5" customHeight="1">
      <c r="A36" s="406">
        <v>28</v>
      </c>
      <c r="B36" s="410"/>
      <c r="C36" s="411"/>
      <c r="D36" s="1396" t="s">
        <v>352</v>
      </c>
      <c r="E36" s="412"/>
      <c r="F36" s="413"/>
      <c r="G36" s="414"/>
      <c r="H36" s="507"/>
      <c r="I36" s="493"/>
      <c r="J36" s="422"/>
      <c r="K36" s="423"/>
      <c r="L36" s="415"/>
    </row>
    <row r="37" spans="1:12" ht="22.5" customHeight="1">
      <c r="A37" s="406">
        <v>29</v>
      </c>
      <c r="B37" s="410"/>
      <c r="C37" s="411">
        <v>17</v>
      </c>
      <c r="D37" s="1390" t="s">
        <v>611</v>
      </c>
      <c r="E37" s="412">
        <f t="shared" si="0"/>
        <v>10000</v>
      </c>
      <c r="F37" s="413"/>
      <c r="G37" s="414"/>
      <c r="H37" s="507"/>
      <c r="I37" s="493"/>
      <c r="J37" s="422">
        <v>10000</v>
      </c>
      <c r="K37" s="423">
        <f t="shared" si="1"/>
        <v>10000</v>
      </c>
      <c r="L37" s="415"/>
    </row>
    <row r="38" spans="1:12" ht="22.5" customHeight="1">
      <c r="A38" s="406">
        <v>30</v>
      </c>
      <c r="B38" s="410"/>
      <c r="C38" s="411"/>
      <c r="D38" s="1394" t="s">
        <v>142</v>
      </c>
      <c r="E38" s="412"/>
      <c r="F38" s="413"/>
      <c r="G38" s="414"/>
      <c r="H38" s="507" t="s">
        <v>24</v>
      </c>
      <c r="I38" s="493"/>
      <c r="J38" s="422"/>
      <c r="K38" s="423"/>
      <c r="L38" s="415"/>
    </row>
    <row r="39" spans="1:12" ht="22.5" customHeight="1">
      <c r="A39" s="406">
        <v>31</v>
      </c>
      <c r="B39" s="410"/>
      <c r="C39" s="411">
        <v>18</v>
      </c>
      <c r="D39" s="1390" t="s">
        <v>612</v>
      </c>
      <c r="E39" s="412">
        <f t="shared" si="0"/>
        <v>8100</v>
      </c>
      <c r="F39" s="413"/>
      <c r="G39" s="414"/>
      <c r="H39" s="507"/>
      <c r="I39" s="493"/>
      <c r="J39" s="422">
        <v>8100</v>
      </c>
      <c r="K39" s="423">
        <f t="shared" si="1"/>
        <v>8100</v>
      </c>
      <c r="L39" s="415"/>
    </row>
    <row r="40" spans="1:12" ht="22.5" customHeight="1">
      <c r="A40" s="406">
        <v>32</v>
      </c>
      <c r="B40" s="410"/>
      <c r="C40" s="411"/>
      <c r="D40" s="1394" t="s">
        <v>371</v>
      </c>
      <c r="E40" s="412"/>
      <c r="F40" s="413"/>
      <c r="G40" s="414"/>
      <c r="H40" s="507" t="s">
        <v>23</v>
      </c>
      <c r="I40" s="493"/>
      <c r="J40" s="422"/>
      <c r="K40" s="423"/>
      <c r="L40" s="415"/>
    </row>
    <row r="41" spans="1:12" ht="22.5" customHeight="1">
      <c r="A41" s="406">
        <v>33</v>
      </c>
      <c r="B41" s="410"/>
      <c r="C41" s="411">
        <v>19</v>
      </c>
      <c r="D41" s="1390" t="s">
        <v>613</v>
      </c>
      <c r="E41" s="412">
        <f t="shared" si="0"/>
        <v>15000</v>
      </c>
      <c r="F41" s="413"/>
      <c r="G41" s="414"/>
      <c r="H41" s="507"/>
      <c r="I41" s="493"/>
      <c r="J41" s="422">
        <v>15000</v>
      </c>
      <c r="K41" s="423">
        <f t="shared" si="1"/>
        <v>15000</v>
      </c>
      <c r="L41" s="415"/>
    </row>
    <row r="42" spans="1:12" ht="22.5" customHeight="1">
      <c r="A42" s="406">
        <v>34</v>
      </c>
      <c r="B42" s="410"/>
      <c r="C42" s="411"/>
      <c r="D42" s="1397" t="s">
        <v>616</v>
      </c>
      <c r="E42" s="412"/>
      <c r="F42" s="413"/>
      <c r="G42" s="414"/>
      <c r="H42" s="507" t="s">
        <v>23</v>
      </c>
      <c r="I42" s="493"/>
      <c r="J42" s="422"/>
      <c r="K42" s="423"/>
      <c r="L42" s="415"/>
    </row>
    <row r="43" spans="1:12" ht="22.5" customHeight="1">
      <c r="A43" s="406">
        <v>35</v>
      </c>
      <c r="B43" s="410"/>
      <c r="C43" s="411"/>
      <c r="D43" s="1396" t="s">
        <v>614</v>
      </c>
      <c r="E43" s="412"/>
      <c r="F43" s="413"/>
      <c r="G43" s="414"/>
      <c r="H43" s="507"/>
      <c r="I43" s="493"/>
      <c r="J43" s="422"/>
      <c r="K43" s="423"/>
      <c r="L43" s="415"/>
    </row>
    <row r="44" spans="1:12" ht="33.75" customHeight="1">
      <c r="A44" s="406">
        <v>36</v>
      </c>
      <c r="B44" s="410"/>
      <c r="C44" s="416">
        <v>20</v>
      </c>
      <c r="D44" s="1390" t="s">
        <v>615</v>
      </c>
      <c r="E44" s="412">
        <f t="shared" si="0"/>
        <v>2400</v>
      </c>
      <c r="F44" s="413"/>
      <c r="G44" s="414"/>
      <c r="H44" s="507"/>
      <c r="I44" s="493"/>
      <c r="J44" s="422">
        <v>2400</v>
      </c>
      <c r="K44" s="423">
        <f t="shared" si="1"/>
        <v>2400</v>
      </c>
      <c r="L44" s="415"/>
    </row>
    <row r="45" spans="1:12" ht="36" customHeight="1" thickBot="1">
      <c r="A45" s="406">
        <v>37</v>
      </c>
      <c r="B45" s="410"/>
      <c r="C45" s="416">
        <v>21</v>
      </c>
      <c r="D45" s="1390" t="s">
        <v>617</v>
      </c>
      <c r="E45" s="412">
        <f t="shared" si="0"/>
        <v>1250</v>
      </c>
      <c r="F45" s="413"/>
      <c r="G45" s="414"/>
      <c r="H45" s="507"/>
      <c r="I45" s="493"/>
      <c r="J45" s="422">
        <v>1250</v>
      </c>
      <c r="K45" s="423">
        <f t="shared" si="1"/>
        <v>1250</v>
      </c>
      <c r="L45" s="415"/>
    </row>
    <row r="46" spans="1:12" ht="36" customHeight="1" thickBot="1">
      <c r="A46" s="406">
        <v>38</v>
      </c>
      <c r="B46" s="1532" t="s">
        <v>13</v>
      </c>
      <c r="C46" s="1533"/>
      <c r="D46" s="1533"/>
      <c r="E46" s="1533"/>
      <c r="F46" s="1533"/>
      <c r="G46" s="1534"/>
      <c r="H46" s="498"/>
      <c r="I46" s="495">
        <f>SUM(I10:I45)</f>
        <v>0</v>
      </c>
      <c r="J46" s="495">
        <f>SUM(J10:J45)</f>
        <v>152701</v>
      </c>
      <c r="K46" s="496">
        <f>SUM(I46:J46)</f>
        <v>152701</v>
      </c>
      <c r="L46" s="497"/>
    </row>
    <row r="47" spans="2:11" ht="18" customHeight="1">
      <c r="B47" s="400" t="s">
        <v>27</v>
      </c>
      <c r="C47" s="400"/>
      <c r="D47" s="400"/>
      <c r="E47" s="401"/>
      <c r="F47" s="402"/>
      <c r="G47" s="401"/>
      <c r="H47" s="389"/>
      <c r="I47" s="401"/>
      <c r="J47" s="401"/>
      <c r="K47" s="401"/>
    </row>
    <row r="48" spans="2:11" ht="18" customHeight="1">
      <c r="B48" s="400" t="s">
        <v>28</v>
      </c>
      <c r="C48" s="400"/>
      <c r="D48" s="400"/>
      <c r="E48" s="390"/>
      <c r="F48" s="402"/>
      <c r="G48" s="401"/>
      <c r="H48" s="389"/>
      <c r="I48" s="401"/>
      <c r="J48" s="401"/>
      <c r="K48" s="401"/>
    </row>
    <row r="49" spans="2:11" ht="18" customHeight="1">
      <c r="B49" s="400" t="s">
        <v>29</v>
      </c>
      <c r="C49" s="400"/>
      <c r="D49" s="400"/>
      <c r="E49" s="390"/>
      <c r="F49" s="402"/>
      <c r="G49" s="401"/>
      <c r="H49" s="389"/>
      <c r="I49" s="401"/>
      <c r="J49" s="401"/>
      <c r="K49" s="401"/>
    </row>
    <row r="50" spans="1:252" s="391" customFormat="1" ht="15">
      <c r="A50" s="405"/>
      <c r="B50" s="393"/>
      <c r="C50" s="394"/>
      <c r="D50" s="395"/>
      <c r="H50" s="396"/>
      <c r="L50" s="403"/>
      <c r="M50" s="392"/>
      <c r="N50" s="392"/>
      <c r="O50" s="392"/>
      <c r="P50" s="392"/>
      <c r="Q50" s="392"/>
      <c r="R50" s="392"/>
      <c r="S50" s="392"/>
      <c r="T50" s="392"/>
      <c r="U50" s="392"/>
      <c r="V50" s="392"/>
      <c r="W50" s="392"/>
      <c r="X50" s="392"/>
      <c r="Y50" s="392"/>
      <c r="Z50" s="392"/>
      <c r="AA50" s="392"/>
      <c r="AB50" s="392"/>
      <c r="AC50" s="392"/>
      <c r="AD50" s="392"/>
      <c r="AE50" s="392"/>
      <c r="AF50" s="392"/>
      <c r="AG50" s="392"/>
      <c r="AH50" s="392"/>
      <c r="AI50" s="392"/>
      <c r="AJ50" s="392"/>
      <c r="AK50" s="392"/>
      <c r="AL50" s="392"/>
      <c r="AM50" s="392"/>
      <c r="AN50" s="392"/>
      <c r="AO50" s="392"/>
      <c r="AP50" s="392"/>
      <c r="AQ50" s="392"/>
      <c r="AR50" s="392"/>
      <c r="AS50" s="392"/>
      <c r="AT50" s="392"/>
      <c r="AU50" s="392"/>
      <c r="AV50" s="392"/>
      <c r="AW50" s="392"/>
      <c r="AX50" s="392"/>
      <c r="AY50" s="392"/>
      <c r="AZ50" s="392"/>
      <c r="BA50" s="392"/>
      <c r="BB50" s="392"/>
      <c r="BC50" s="392"/>
      <c r="BD50" s="392"/>
      <c r="BE50" s="392"/>
      <c r="BF50" s="392"/>
      <c r="BG50" s="392"/>
      <c r="BH50" s="392"/>
      <c r="BI50" s="392"/>
      <c r="BJ50" s="392"/>
      <c r="BK50" s="392"/>
      <c r="BL50" s="392"/>
      <c r="BM50" s="392"/>
      <c r="BN50" s="392"/>
      <c r="BO50" s="392"/>
      <c r="BP50" s="392"/>
      <c r="BQ50" s="392"/>
      <c r="BR50" s="392"/>
      <c r="BS50" s="392"/>
      <c r="BT50" s="392"/>
      <c r="BU50" s="392"/>
      <c r="BV50" s="392"/>
      <c r="BW50" s="392"/>
      <c r="BX50" s="392"/>
      <c r="BY50" s="392"/>
      <c r="BZ50" s="392"/>
      <c r="CA50" s="392"/>
      <c r="CB50" s="392"/>
      <c r="CC50" s="392"/>
      <c r="CD50" s="392"/>
      <c r="CE50" s="392"/>
      <c r="CF50" s="392"/>
      <c r="CG50" s="392"/>
      <c r="CH50" s="392"/>
      <c r="CI50" s="392"/>
      <c r="CJ50" s="392"/>
      <c r="CK50" s="392"/>
      <c r="CL50" s="392"/>
      <c r="CM50" s="392"/>
      <c r="CN50" s="392"/>
      <c r="CO50" s="392"/>
      <c r="CP50" s="392"/>
      <c r="CQ50" s="392"/>
      <c r="CR50" s="392"/>
      <c r="CS50" s="392"/>
      <c r="CT50" s="392"/>
      <c r="CU50" s="392"/>
      <c r="CV50" s="392"/>
      <c r="CW50" s="392"/>
      <c r="CX50" s="392"/>
      <c r="CY50" s="392"/>
      <c r="CZ50" s="392"/>
      <c r="DA50" s="392"/>
      <c r="DB50" s="392"/>
      <c r="DC50" s="392"/>
      <c r="DD50" s="392"/>
      <c r="DE50" s="392"/>
      <c r="DF50" s="392"/>
      <c r="DG50" s="392"/>
      <c r="DH50" s="392"/>
      <c r="DI50" s="392"/>
      <c r="DJ50" s="392"/>
      <c r="DK50" s="392"/>
      <c r="DL50" s="392"/>
      <c r="DM50" s="392"/>
      <c r="DN50" s="392"/>
      <c r="DO50" s="392"/>
      <c r="DP50" s="392"/>
      <c r="DQ50" s="392"/>
      <c r="DR50" s="392"/>
      <c r="DS50" s="392"/>
      <c r="DT50" s="392"/>
      <c r="DU50" s="392"/>
      <c r="DV50" s="392"/>
      <c r="DW50" s="392"/>
      <c r="DX50" s="392"/>
      <c r="DY50" s="392"/>
      <c r="DZ50" s="392"/>
      <c r="EA50" s="392"/>
      <c r="EB50" s="392"/>
      <c r="EC50" s="392"/>
      <c r="ED50" s="392"/>
      <c r="EE50" s="392"/>
      <c r="EF50" s="392"/>
      <c r="EG50" s="392"/>
      <c r="EH50" s="392"/>
      <c r="EI50" s="392"/>
      <c r="EJ50" s="392"/>
      <c r="EK50" s="392"/>
      <c r="EL50" s="392"/>
      <c r="EM50" s="392"/>
      <c r="EN50" s="392"/>
      <c r="EO50" s="392"/>
      <c r="EP50" s="392"/>
      <c r="EQ50" s="392"/>
      <c r="ER50" s="392"/>
      <c r="ES50" s="392"/>
      <c r="ET50" s="392"/>
      <c r="EU50" s="392"/>
      <c r="EV50" s="392"/>
      <c r="EW50" s="392"/>
      <c r="EX50" s="392"/>
      <c r="EY50" s="392"/>
      <c r="EZ50" s="392"/>
      <c r="FA50" s="392"/>
      <c r="FB50" s="392"/>
      <c r="FC50" s="392"/>
      <c r="FD50" s="392"/>
      <c r="FE50" s="392"/>
      <c r="FF50" s="392"/>
      <c r="FG50" s="392"/>
      <c r="FH50" s="392"/>
      <c r="FI50" s="392"/>
      <c r="FJ50" s="392"/>
      <c r="FK50" s="392"/>
      <c r="FL50" s="392"/>
      <c r="FM50" s="392"/>
      <c r="FN50" s="392"/>
      <c r="FO50" s="392"/>
      <c r="FP50" s="392"/>
      <c r="FQ50" s="392"/>
      <c r="FR50" s="392"/>
      <c r="FS50" s="392"/>
      <c r="FT50" s="392"/>
      <c r="FU50" s="392"/>
      <c r="FV50" s="392"/>
      <c r="FW50" s="392"/>
      <c r="FX50" s="392"/>
      <c r="FY50" s="392"/>
      <c r="FZ50" s="392"/>
      <c r="GA50" s="392"/>
      <c r="GB50" s="392"/>
      <c r="GC50" s="392"/>
      <c r="GD50" s="392"/>
      <c r="GE50" s="392"/>
      <c r="GF50" s="392"/>
      <c r="GG50" s="392"/>
      <c r="GH50" s="392"/>
      <c r="GI50" s="392"/>
      <c r="GJ50" s="392"/>
      <c r="GK50" s="392"/>
      <c r="GL50" s="392"/>
      <c r="GM50" s="392"/>
      <c r="GN50" s="392"/>
      <c r="GO50" s="392"/>
      <c r="GP50" s="392"/>
      <c r="GQ50" s="392"/>
      <c r="GR50" s="392"/>
      <c r="GS50" s="392"/>
      <c r="GT50" s="392"/>
      <c r="GU50" s="392"/>
      <c r="GV50" s="392"/>
      <c r="GW50" s="392"/>
      <c r="GX50" s="392"/>
      <c r="GY50" s="392"/>
      <c r="GZ50" s="392"/>
      <c r="HA50" s="392"/>
      <c r="HB50" s="392"/>
      <c r="HC50" s="392"/>
      <c r="HD50" s="392"/>
      <c r="HE50" s="392"/>
      <c r="HF50" s="392"/>
      <c r="HG50" s="392"/>
      <c r="HH50" s="392"/>
      <c r="HI50" s="392"/>
      <c r="HJ50" s="392"/>
      <c r="HK50" s="392"/>
      <c r="HL50" s="392"/>
      <c r="HM50" s="392"/>
      <c r="HN50" s="392"/>
      <c r="HO50" s="392"/>
      <c r="HP50" s="392"/>
      <c r="HQ50" s="392"/>
      <c r="HR50" s="392"/>
      <c r="HS50" s="392"/>
      <c r="HT50" s="392"/>
      <c r="HU50" s="392"/>
      <c r="HV50" s="392"/>
      <c r="HW50" s="392"/>
      <c r="HX50" s="392"/>
      <c r="HY50" s="392"/>
      <c r="HZ50" s="392"/>
      <c r="IA50" s="392"/>
      <c r="IB50" s="392"/>
      <c r="IC50" s="392"/>
      <c r="ID50" s="392"/>
      <c r="IE50" s="392"/>
      <c r="IF50" s="392"/>
      <c r="IG50" s="392"/>
      <c r="IH50" s="392"/>
      <c r="II50" s="392"/>
      <c r="IJ50" s="392"/>
      <c r="IK50" s="392"/>
      <c r="IL50" s="392"/>
      <c r="IM50" s="392"/>
      <c r="IN50" s="392"/>
      <c r="IO50" s="392"/>
      <c r="IP50" s="392"/>
      <c r="IQ50" s="392"/>
      <c r="IR50" s="392"/>
    </row>
  </sheetData>
  <sheetProtection/>
  <mergeCells count="15">
    <mergeCell ref="B46:G46"/>
    <mergeCell ref="B1:D1"/>
    <mergeCell ref="I1:L1"/>
    <mergeCell ref="B2:L2"/>
    <mergeCell ref="B3:L3"/>
    <mergeCell ref="B6:B8"/>
    <mergeCell ref="C6:C8"/>
    <mergeCell ref="D6:D8"/>
    <mergeCell ref="E6:E8"/>
    <mergeCell ref="F6:F8"/>
    <mergeCell ref="G6:G8"/>
    <mergeCell ref="I6:K6"/>
    <mergeCell ref="H6:H8"/>
    <mergeCell ref="L6:L8"/>
    <mergeCell ref="K7:K8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portrait" paperSize="9" scale="58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52"/>
  <sheetViews>
    <sheetView view="pageBreakPreview" zoomScale="85" zoomScaleSheetLayoutView="85" zoomScalePageLayoutView="0" workbookViewId="0" topLeftCell="A1">
      <selection activeCell="A1" sqref="A1:D1"/>
    </sheetView>
  </sheetViews>
  <sheetFormatPr defaultColWidth="9.00390625" defaultRowHeight="12.75"/>
  <cols>
    <col min="1" max="1" width="3.75390625" style="425" customWidth="1"/>
    <col min="2" max="3" width="5.75390625" style="466" customWidth="1"/>
    <col min="4" max="4" width="62.75390625" style="267" customWidth="1"/>
    <col min="5" max="5" width="12.75390625" style="465" customWidth="1"/>
    <col min="6" max="7" width="10.75390625" style="465" customWidth="1"/>
    <col min="8" max="8" width="6.75390625" style="428" customWidth="1"/>
    <col min="9" max="14" width="14.875" style="465" customWidth="1"/>
    <col min="15" max="15" width="15.75390625" style="448" customWidth="1"/>
    <col min="16" max="16" width="13.875" style="465" customWidth="1"/>
    <col min="17" max="16384" width="9.125" style="267" customWidth="1"/>
  </cols>
  <sheetData>
    <row r="1" spans="1:250" ht="18" customHeight="1">
      <c r="A1" s="1580" t="s">
        <v>823</v>
      </c>
      <c r="B1" s="1580"/>
      <c r="C1" s="1580"/>
      <c r="D1" s="1580"/>
      <c r="E1" s="376"/>
      <c r="F1" s="376"/>
      <c r="G1" s="376"/>
      <c r="H1" s="426"/>
      <c r="I1" s="1535"/>
      <c r="J1" s="1535"/>
      <c r="K1" s="1535"/>
      <c r="L1" s="1535"/>
      <c r="M1" s="1535"/>
      <c r="N1" s="1535"/>
      <c r="O1" s="1535"/>
      <c r="P1" s="1535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7"/>
      <c r="AO1" s="427"/>
      <c r="AP1" s="427"/>
      <c r="AQ1" s="427"/>
      <c r="AR1" s="427"/>
      <c r="AS1" s="427"/>
      <c r="AT1" s="427"/>
      <c r="AU1" s="427"/>
      <c r="AV1" s="427"/>
      <c r="AW1" s="427"/>
      <c r="AX1" s="427"/>
      <c r="AY1" s="427"/>
      <c r="AZ1" s="427"/>
      <c r="BA1" s="427"/>
      <c r="BB1" s="427"/>
      <c r="BC1" s="427"/>
      <c r="BD1" s="427"/>
      <c r="BE1" s="427"/>
      <c r="BF1" s="427"/>
      <c r="BG1" s="427"/>
      <c r="BH1" s="427"/>
      <c r="BI1" s="427"/>
      <c r="BJ1" s="427"/>
      <c r="BK1" s="427"/>
      <c r="BL1" s="427"/>
      <c r="BM1" s="427"/>
      <c r="BN1" s="427"/>
      <c r="BO1" s="427"/>
      <c r="BP1" s="427"/>
      <c r="BQ1" s="427"/>
      <c r="BR1" s="427"/>
      <c r="BS1" s="427"/>
      <c r="BT1" s="427"/>
      <c r="BU1" s="427"/>
      <c r="BV1" s="427"/>
      <c r="BW1" s="427"/>
      <c r="BX1" s="427"/>
      <c r="BY1" s="427"/>
      <c r="BZ1" s="427"/>
      <c r="CA1" s="427"/>
      <c r="CB1" s="427"/>
      <c r="CC1" s="427"/>
      <c r="CD1" s="427"/>
      <c r="CE1" s="427"/>
      <c r="CF1" s="427"/>
      <c r="CG1" s="427"/>
      <c r="CH1" s="427"/>
      <c r="CI1" s="427"/>
      <c r="CJ1" s="427"/>
      <c r="CK1" s="427"/>
      <c r="CL1" s="427"/>
      <c r="CM1" s="427"/>
      <c r="CN1" s="427"/>
      <c r="CO1" s="427"/>
      <c r="CP1" s="427"/>
      <c r="CQ1" s="427"/>
      <c r="CR1" s="427"/>
      <c r="CS1" s="427"/>
      <c r="CT1" s="427"/>
      <c r="CU1" s="427"/>
      <c r="CV1" s="427"/>
      <c r="CW1" s="427"/>
      <c r="CX1" s="427"/>
      <c r="CY1" s="427"/>
      <c r="CZ1" s="427"/>
      <c r="DA1" s="427"/>
      <c r="DB1" s="427"/>
      <c r="DC1" s="427"/>
      <c r="DD1" s="427"/>
      <c r="DE1" s="427"/>
      <c r="DF1" s="427"/>
      <c r="DG1" s="427"/>
      <c r="DH1" s="427"/>
      <c r="DI1" s="427"/>
      <c r="DJ1" s="427"/>
      <c r="DK1" s="427"/>
      <c r="DL1" s="427"/>
      <c r="DM1" s="427"/>
      <c r="DN1" s="427"/>
      <c r="DO1" s="427"/>
      <c r="DP1" s="427"/>
      <c r="DQ1" s="427"/>
      <c r="DR1" s="427"/>
      <c r="DS1" s="427"/>
      <c r="DT1" s="427"/>
      <c r="DU1" s="427"/>
      <c r="DV1" s="427"/>
      <c r="DW1" s="427"/>
      <c r="DX1" s="427"/>
      <c r="DY1" s="427"/>
      <c r="DZ1" s="427"/>
      <c r="EA1" s="427"/>
      <c r="EB1" s="427"/>
      <c r="EC1" s="427"/>
      <c r="ED1" s="427"/>
      <c r="EE1" s="427"/>
      <c r="EF1" s="427"/>
      <c r="EG1" s="427"/>
      <c r="EH1" s="427"/>
      <c r="EI1" s="427"/>
      <c r="EJ1" s="427"/>
      <c r="EK1" s="427"/>
      <c r="EL1" s="427"/>
      <c r="EM1" s="427"/>
      <c r="EN1" s="427"/>
      <c r="EO1" s="427"/>
      <c r="EP1" s="427"/>
      <c r="EQ1" s="427"/>
      <c r="ER1" s="427"/>
      <c r="ES1" s="427"/>
      <c r="ET1" s="427"/>
      <c r="EU1" s="427"/>
      <c r="EV1" s="427"/>
      <c r="EW1" s="427"/>
      <c r="EX1" s="427"/>
      <c r="EY1" s="427"/>
      <c r="EZ1" s="427"/>
      <c r="FA1" s="427"/>
      <c r="FB1" s="427"/>
      <c r="FC1" s="427"/>
      <c r="FD1" s="427"/>
      <c r="FE1" s="427"/>
      <c r="FF1" s="427"/>
      <c r="FG1" s="427"/>
      <c r="FH1" s="427"/>
      <c r="FI1" s="427"/>
      <c r="FJ1" s="427"/>
      <c r="FK1" s="427"/>
      <c r="FL1" s="427"/>
      <c r="FM1" s="427"/>
      <c r="FN1" s="427"/>
      <c r="FO1" s="427"/>
      <c r="FP1" s="427"/>
      <c r="FQ1" s="427"/>
      <c r="FR1" s="427"/>
      <c r="FS1" s="427"/>
      <c r="FT1" s="427"/>
      <c r="FU1" s="427"/>
      <c r="FV1" s="427"/>
      <c r="FW1" s="427"/>
      <c r="FX1" s="427"/>
      <c r="FY1" s="427"/>
      <c r="FZ1" s="427"/>
      <c r="GA1" s="427"/>
      <c r="GB1" s="427"/>
      <c r="GC1" s="427"/>
      <c r="GD1" s="427"/>
      <c r="GE1" s="427"/>
      <c r="GF1" s="427"/>
      <c r="GG1" s="427"/>
      <c r="GH1" s="427"/>
      <c r="GI1" s="427"/>
      <c r="GJ1" s="427"/>
      <c r="GK1" s="427"/>
      <c r="GL1" s="427"/>
      <c r="GM1" s="427"/>
      <c r="GN1" s="427"/>
      <c r="GO1" s="427"/>
      <c r="GP1" s="427"/>
      <c r="GQ1" s="427"/>
      <c r="GR1" s="427"/>
      <c r="GS1" s="427"/>
      <c r="GT1" s="427"/>
      <c r="GU1" s="427"/>
      <c r="GV1" s="427"/>
      <c r="GW1" s="427"/>
      <c r="GX1" s="427"/>
      <c r="GY1" s="427"/>
      <c r="GZ1" s="427"/>
      <c r="HA1" s="427"/>
      <c r="HB1" s="427"/>
      <c r="HC1" s="427"/>
      <c r="HD1" s="427"/>
      <c r="HE1" s="427"/>
      <c r="HF1" s="427"/>
      <c r="HG1" s="427"/>
      <c r="HH1" s="427"/>
      <c r="HI1" s="427"/>
      <c r="HJ1" s="427"/>
      <c r="HK1" s="427"/>
      <c r="HL1" s="427"/>
      <c r="HM1" s="427"/>
      <c r="HN1" s="427"/>
      <c r="HO1" s="427"/>
      <c r="HP1" s="427"/>
      <c r="HQ1" s="427"/>
      <c r="HR1" s="427"/>
      <c r="HS1" s="427"/>
      <c r="HT1" s="427"/>
      <c r="HU1" s="427"/>
      <c r="HV1" s="427"/>
      <c r="HW1" s="427"/>
      <c r="HX1" s="427"/>
      <c r="HY1" s="427"/>
      <c r="HZ1" s="427"/>
      <c r="IA1" s="427"/>
      <c r="IB1" s="427"/>
      <c r="IC1" s="427"/>
      <c r="ID1" s="427"/>
      <c r="IE1" s="427"/>
      <c r="IF1" s="427"/>
      <c r="IG1" s="427"/>
      <c r="IH1" s="427"/>
      <c r="II1" s="427"/>
      <c r="IJ1" s="427"/>
      <c r="IK1" s="427"/>
      <c r="IL1" s="427"/>
      <c r="IM1" s="427"/>
      <c r="IN1" s="427"/>
      <c r="IO1" s="427"/>
      <c r="IP1" s="427"/>
    </row>
    <row r="2" spans="1:16" ht="24.75" customHeight="1">
      <c r="A2" s="1536" t="s">
        <v>14</v>
      </c>
      <c r="B2" s="1536"/>
      <c r="C2" s="1536"/>
      <c r="D2" s="1536"/>
      <c r="E2" s="1536"/>
      <c r="F2" s="1536"/>
      <c r="G2" s="1536"/>
      <c r="H2" s="1536"/>
      <c r="I2" s="1536"/>
      <c r="J2" s="1536"/>
      <c r="K2" s="1536"/>
      <c r="L2" s="1536"/>
      <c r="M2" s="1536"/>
      <c r="N2" s="1536"/>
      <c r="O2" s="1536"/>
      <c r="P2" s="1536"/>
    </row>
    <row r="3" spans="1:16" ht="24.75" customHeight="1">
      <c r="A3" s="1581" t="s">
        <v>626</v>
      </c>
      <c r="B3" s="1581"/>
      <c r="C3" s="1581"/>
      <c r="D3" s="1581"/>
      <c r="E3" s="1581"/>
      <c r="F3" s="1581"/>
      <c r="G3" s="1581"/>
      <c r="H3" s="1581"/>
      <c r="I3" s="1581"/>
      <c r="J3" s="1581"/>
      <c r="K3" s="1581"/>
      <c r="L3" s="1581"/>
      <c r="M3" s="1581"/>
      <c r="N3" s="1581"/>
      <c r="O3" s="1581"/>
      <c r="P3" s="1581"/>
    </row>
    <row r="4" spans="1:16" s="499" customFormat="1" ht="18" customHeight="1">
      <c r="A4" s="425"/>
      <c r="B4" s="425"/>
      <c r="C4" s="425"/>
      <c r="E4" s="391"/>
      <c r="F4" s="391"/>
      <c r="G4" s="391"/>
      <c r="H4" s="500"/>
      <c r="I4" s="391"/>
      <c r="J4" s="391"/>
      <c r="K4" s="391"/>
      <c r="L4" s="391"/>
      <c r="M4" s="391"/>
      <c r="N4" s="391"/>
      <c r="O4" s="501"/>
      <c r="P4" s="397" t="s">
        <v>0</v>
      </c>
    </row>
    <row r="5" spans="1:250" s="505" customFormat="1" ht="18" customHeight="1" thickBot="1">
      <c r="A5" s="502"/>
      <c r="B5" s="503" t="s">
        <v>1</v>
      </c>
      <c r="C5" s="504" t="s">
        <v>3</v>
      </c>
      <c r="D5" s="504" t="s">
        <v>2</v>
      </c>
      <c r="E5" s="504" t="s">
        <v>4</v>
      </c>
      <c r="F5" s="504" t="s">
        <v>5</v>
      </c>
      <c r="G5" s="504" t="s">
        <v>15</v>
      </c>
      <c r="H5" s="504" t="s">
        <v>16</v>
      </c>
      <c r="I5" s="504" t="s">
        <v>17</v>
      </c>
      <c r="J5" s="504" t="s">
        <v>34</v>
      </c>
      <c r="K5" s="504" t="s">
        <v>30</v>
      </c>
      <c r="L5" s="504" t="s">
        <v>23</v>
      </c>
      <c r="M5" s="504" t="s">
        <v>35</v>
      </c>
      <c r="N5" s="504" t="s">
        <v>36</v>
      </c>
      <c r="O5" s="504" t="s">
        <v>145</v>
      </c>
      <c r="P5" s="504" t="s">
        <v>146</v>
      </c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2"/>
      <c r="AM5" s="502"/>
      <c r="AN5" s="502"/>
      <c r="AO5" s="502"/>
      <c r="AP5" s="502"/>
      <c r="AQ5" s="502"/>
      <c r="AR5" s="502"/>
      <c r="AS5" s="502"/>
      <c r="AT5" s="502"/>
      <c r="AU5" s="502"/>
      <c r="AV5" s="502"/>
      <c r="AW5" s="502"/>
      <c r="AX5" s="502"/>
      <c r="AY5" s="502"/>
      <c r="AZ5" s="502"/>
      <c r="BA5" s="502"/>
      <c r="BB5" s="502"/>
      <c r="BC5" s="502"/>
      <c r="BD5" s="502"/>
      <c r="BE5" s="502"/>
      <c r="BF5" s="502"/>
      <c r="BG5" s="502"/>
      <c r="BH5" s="502"/>
      <c r="BI5" s="502"/>
      <c r="BJ5" s="502"/>
      <c r="BK5" s="502"/>
      <c r="BL5" s="502"/>
      <c r="BM5" s="502"/>
      <c r="BN5" s="502"/>
      <c r="BO5" s="502"/>
      <c r="BP5" s="502"/>
      <c r="BQ5" s="502"/>
      <c r="BR5" s="502"/>
      <c r="BS5" s="502"/>
      <c r="BT5" s="502"/>
      <c r="BU5" s="502"/>
      <c r="BV5" s="502"/>
      <c r="BW5" s="502"/>
      <c r="BX5" s="502"/>
      <c r="BY5" s="502"/>
      <c r="BZ5" s="502"/>
      <c r="CA5" s="502"/>
      <c r="CB5" s="502"/>
      <c r="CC5" s="502"/>
      <c r="CD5" s="502"/>
      <c r="CE5" s="502"/>
      <c r="CF5" s="502"/>
      <c r="CG5" s="502"/>
      <c r="CH5" s="502"/>
      <c r="CI5" s="502"/>
      <c r="CJ5" s="502"/>
      <c r="CK5" s="502"/>
      <c r="CL5" s="502"/>
      <c r="CM5" s="502"/>
      <c r="CN5" s="502"/>
      <c r="CO5" s="502"/>
      <c r="CP5" s="502"/>
      <c r="CQ5" s="502"/>
      <c r="CR5" s="502"/>
      <c r="CS5" s="502"/>
      <c r="CT5" s="502"/>
      <c r="CU5" s="502"/>
      <c r="CV5" s="502"/>
      <c r="CW5" s="502"/>
      <c r="CX5" s="502"/>
      <c r="CY5" s="502"/>
      <c r="CZ5" s="502"/>
      <c r="DA5" s="502"/>
      <c r="DB5" s="502"/>
      <c r="DC5" s="502"/>
      <c r="DD5" s="502"/>
      <c r="DE5" s="502"/>
      <c r="DF5" s="502"/>
      <c r="DG5" s="502"/>
      <c r="DH5" s="502"/>
      <c r="DI5" s="502"/>
      <c r="DJ5" s="502"/>
      <c r="DK5" s="502"/>
      <c r="DL5" s="502"/>
      <c r="DM5" s="502"/>
      <c r="DN5" s="502"/>
      <c r="DO5" s="502"/>
      <c r="DP5" s="502"/>
      <c r="DQ5" s="502"/>
      <c r="DR5" s="502"/>
      <c r="DS5" s="502"/>
      <c r="DT5" s="502"/>
      <c r="DU5" s="502"/>
      <c r="DV5" s="502"/>
      <c r="DW5" s="502"/>
      <c r="DX5" s="502"/>
      <c r="DY5" s="502"/>
      <c r="DZ5" s="502"/>
      <c r="EA5" s="502"/>
      <c r="EB5" s="502"/>
      <c r="EC5" s="502"/>
      <c r="ED5" s="502"/>
      <c r="EE5" s="502"/>
      <c r="EF5" s="502"/>
      <c r="EG5" s="502"/>
      <c r="EH5" s="502"/>
      <c r="EI5" s="502"/>
      <c r="EJ5" s="502"/>
      <c r="EK5" s="502"/>
      <c r="EL5" s="502"/>
      <c r="EM5" s="502"/>
      <c r="EN5" s="502"/>
      <c r="EO5" s="502"/>
      <c r="EP5" s="502"/>
      <c r="EQ5" s="502"/>
      <c r="ER5" s="502"/>
      <c r="ES5" s="502"/>
      <c r="ET5" s="502"/>
      <c r="EU5" s="502"/>
      <c r="EV5" s="502"/>
      <c r="EW5" s="502"/>
      <c r="EX5" s="502"/>
      <c r="EY5" s="502"/>
      <c r="EZ5" s="502"/>
      <c r="FA5" s="502"/>
      <c r="FB5" s="502"/>
      <c r="FC5" s="502"/>
      <c r="FD5" s="502"/>
      <c r="FE5" s="502"/>
      <c r="FF5" s="502"/>
      <c r="FG5" s="502"/>
      <c r="FH5" s="502"/>
      <c r="FI5" s="502"/>
      <c r="FJ5" s="502"/>
      <c r="FK5" s="502"/>
      <c r="FL5" s="502"/>
      <c r="FM5" s="502"/>
      <c r="FN5" s="502"/>
      <c r="FO5" s="502"/>
      <c r="FP5" s="502"/>
      <c r="FQ5" s="502"/>
      <c r="FR5" s="502"/>
      <c r="FS5" s="502"/>
      <c r="FT5" s="502"/>
      <c r="FU5" s="502"/>
      <c r="FV5" s="502"/>
      <c r="FW5" s="502"/>
      <c r="FX5" s="502"/>
      <c r="FY5" s="502"/>
      <c r="FZ5" s="502"/>
      <c r="GA5" s="502"/>
      <c r="GB5" s="502"/>
      <c r="GC5" s="502"/>
      <c r="GD5" s="502"/>
      <c r="GE5" s="502"/>
      <c r="GF5" s="502"/>
      <c r="GG5" s="502"/>
      <c r="GH5" s="502"/>
      <c r="GI5" s="502"/>
      <c r="GJ5" s="502"/>
      <c r="GK5" s="502"/>
      <c r="GL5" s="502"/>
      <c r="GM5" s="502"/>
      <c r="GN5" s="502"/>
      <c r="GO5" s="502"/>
      <c r="GP5" s="502"/>
      <c r="GQ5" s="502"/>
      <c r="GR5" s="502"/>
      <c r="GS5" s="502"/>
      <c r="GT5" s="502"/>
      <c r="GU5" s="502"/>
      <c r="GV5" s="502"/>
      <c r="GW5" s="502"/>
      <c r="GX5" s="502"/>
      <c r="GY5" s="502"/>
      <c r="GZ5" s="502"/>
      <c r="HA5" s="502"/>
      <c r="HB5" s="502"/>
      <c r="HC5" s="502"/>
      <c r="HD5" s="502"/>
      <c r="HE5" s="502"/>
      <c r="HF5" s="502"/>
      <c r="HG5" s="502"/>
      <c r="HH5" s="502"/>
      <c r="HI5" s="502"/>
      <c r="HJ5" s="502"/>
      <c r="HK5" s="502"/>
      <c r="HL5" s="502"/>
      <c r="HM5" s="502"/>
      <c r="HN5" s="502"/>
      <c r="HO5" s="502"/>
      <c r="HP5" s="502"/>
      <c r="HQ5" s="502"/>
      <c r="HR5" s="502"/>
      <c r="HS5" s="502"/>
      <c r="HT5" s="502"/>
      <c r="HU5" s="502"/>
      <c r="HV5" s="502"/>
      <c r="HW5" s="502"/>
      <c r="HX5" s="502"/>
      <c r="HY5" s="502"/>
      <c r="HZ5" s="502"/>
      <c r="IA5" s="502"/>
      <c r="IB5" s="502"/>
      <c r="IC5" s="502"/>
      <c r="ID5" s="502"/>
      <c r="IE5" s="502"/>
      <c r="IF5" s="502"/>
      <c r="IG5" s="502"/>
      <c r="IH5" s="502"/>
      <c r="II5" s="502"/>
      <c r="IJ5" s="502"/>
      <c r="IK5" s="502"/>
      <c r="IL5" s="502"/>
      <c r="IM5" s="502"/>
      <c r="IN5" s="502"/>
      <c r="IO5" s="502"/>
      <c r="IP5" s="502"/>
    </row>
    <row r="6" spans="2:18" ht="22.5" customHeight="1">
      <c r="B6" s="1574" t="s">
        <v>18</v>
      </c>
      <c r="C6" s="1570" t="s">
        <v>19</v>
      </c>
      <c r="D6" s="1582" t="s">
        <v>6</v>
      </c>
      <c r="E6" s="1577" t="s">
        <v>409</v>
      </c>
      <c r="F6" s="1577" t="s">
        <v>627</v>
      </c>
      <c r="G6" s="1585" t="s">
        <v>619</v>
      </c>
      <c r="H6" s="1559" t="s">
        <v>20</v>
      </c>
      <c r="I6" s="1588" t="s">
        <v>569</v>
      </c>
      <c r="J6" s="1577"/>
      <c r="K6" s="1577"/>
      <c r="L6" s="1577"/>
      <c r="M6" s="1577"/>
      <c r="N6" s="1577"/>
      <c r="O6" s="1589"/>
      <c r="P6" s="1590" t="s">
        <v>579</v>
      </c>
      <c r="Q6" s="1573"/>
      <c r="R6" s="1573"/>
    </row>
    <row r="7" spans="2:16" ht="33" customHeight="1">
      <c r="B7" s="1575"/>
      <c r="C7" s="1571"/>
      <c r="D7" s="1583"/>
      <c r="E7" s="1578"/>
      <c r="F7" s="1578"/>
      <c r="G7" s="1586"/>
      <c r="H7" s="1560"/>
      <c r="I7" s="1593" t="s">
        <v>411</v>
      </c>
      <c r="J7" s="1594"/>
      <c r="K7" s="1595"/>
      <c r="L7" s="1595"/>
      <c r="M7" s="1596" t="s">
        <v>148</v>
      </c>
      <c r="N7" s="1596"/>
      <c r="O7" s="1597" t="s">
        <v>115</v>
      </c>
      <c r="P7" s="1591"/>
    </row>
    <row r="8" spans="2:16" ht="53.25" customHeight="1" thickBot="1">
      <c r="B8" s="1576"/>
      <c r="C8" s="1572"/>
      <c r="D8" s="1584"/>
      <c r="E8" s="1579"/>
      <c r="F8" s="1579"/>
      <c r="G8" s="1587"/>
      <c r="H8" s="1561"/>
      <c r="I8" s="521" t="s">
        <v>38</v>
      </c>
      <c r="J8" s="429" t="s">
        <v>406</v>
      </c>
      <c r="K8" s="430" t="s">
        <v>40</v>
      </c>
      <c r="L8" s="430" t="s">
        <v>408</v>
      </c>
      <c r="M8" s="429" t="s">
        <v>213</v>
      </c>
      <c r="N8" s="429" t="s">
        <v>149</v>
      </c>
      <c r="O8" s="1598"/>
      <c r="P8" s="1592"/>
    </row>
    <row r="9" spans="1:256" s="433" customFormat="1" ht="22.5" customHeight="1">
      <c r="A9" s="447">
        <v>1</v>
      </c>
      <c r="B9" s="431">
        <v>18</v>
      </c>
      <c r="C9" s="443" t="s">
        <v>14</v>
      </c>
      <c r="D9" s="509"/>
      <c r="E9" s="274"/>
      <c r="F9" s="272"/>
      <c r="G9" s="273"/>
      <c r="H9" s="525"/>
      <c r="I9" s="539"/>
      <c r="J9" s="540"/>
      <c r="K9" s="540"/>
      <c r="L9" s="540"/>
      <c r="M9" s="540"/>
      <c r="N9" s="540"/>
      <c r="O9" s="541"/>
      <c r="P9" s="435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7"/>
      <c r="DN9" s="267"/>
      <c r="DO9" s="267"/>
      <c r="DP9" s="267"/>
      <c r="DQ9" s="267"/>
      <c r="DR9" s="267"/>
      <c r="DS9" s="267"/>
      <c r="DT9" s="267"/>
      <c r="DU9" s="267"/>
      <c r="DV9" s="267"/>
      <c r="DW9" s="267"/>
      <c r="DX9" s="267"/>
      <c r="DY9" s="267"/>
      <c r="DZ9" s="267"/>
      <c r="EA9" s="267"/>
      <c r="EB9" s="267"/>
      <c r="EC9" s="267"/>
      <c r="ED9" s="267"/>
      <c r="EE9" s="267"/>
      <c r="EF9" s="267"/>
      <c r="EG9" s="267"/>
      <c r="EH9" s="267"/>
      <c r="EI9" s="267"/>
      <c r="EJ9" s="267"/>
      <c r="EK9" s="267"/>
      <c r="EL9" s="267"/>
      <c r="EM9" s="267"/>
      <c r="EN9" s="267"/>
      <c r="EO9" s="267"/>
      <c r="EP9" s="267"/>
      <c r="EQ9" s="267"/>
      <c r="ER9" s="267"/>
      <c r="ES9" s="267"/>
      <c r="ET9" s="267"/>
      <c r="EU9" s="267"/>
      <c r="EV9" s="267"/>
      <c r="EW9" s="267"/>
      <c r="EX9" s="267"/>
      <c r="EY9" s="267"/>
      <c r="EZ9" s="267"/>
      <c r="FA9" s="267"/>
      <c r="FB9" s="267"/>
      <c r="FC9" s="267"/>
      <c r="FD9" s="267"/>
      <c r="FE9" s="267"/>
      <c r="FF9" s="267"/>
      <c r="FG9" s="267"/>
      <c r="FH9" s="267"/>
      <c r="FI9" s="267"/>
      <c r="FJ9" s="267"/>
      <c r="FK9" s="267"/>
      <c r="FL9" s="267"/>
      <c r="FM9" s="267"/>
      <c r="FN9" s="267"/>
      <c r="FO9" s="267"/>
      <c r="FP9" s="267"/>
      <c r="FQ9" s="267"/>
      <c r="FR9" s="267"/>
      <c r="FS9" s="267"/>
      <c r="FT9" s="267"/>
      <c r="FU9" s="267"/>
      <c r="FV9" s="267"/>
      <c r="FW9" s="267"/>
      <c r="FX9" s="267"/>
      <c r="FY9" s="267"/>
      <c r="FZ9" s="267"/>
      <c r="GA9" s="267"/>
      <c r="GB9" s="267"/>
      <c r="GC9" s="267"/>
      <c r="GD9" s="267"/>
      <c r="GE9" s="267"/>
      <c r="GF9" s="267"/>
      <c r="GG9" s="267"/>
      <c r="GH9" s="267"/>
      <c r="GI9" s="267"/>
      <c r="GJ9" s="267"/>
      <c r="GK9" s="267"/>
      <c r="GL9" s="267"/>
      <c r="GM9" s="267"/>
      <c r="GN9" s="267"/>
      <c r="GO9" s="267"/>
      <c r="GP9" s="267"/>
      <c r="GQ9" s="267"/>
      <c r="GR9" s="267"/>
      <c r="GS9" s="267"/>
      <c r="GT9" s="267"/>
      <c r="GU9" s="267"/>
      <c r="GV9" s="267"/>
      <c r="GW9" s="267"/>
      <c r="GX9" s="267"/>
      <c r="GY9" s="267"/>
      <c r="GZ9" s="267"/>
      <c r="HA9" s="267"/>
      <c r="HB9" s="267"/>
      <c r="HC9" s="267"/>
      <c r="HD9" s="267"/>
      <c r="HE9" s="267"/>
      <c r="HF9" s="267"/>
      <c r="HG9" s="267"/>
      <c r="HH9" s="267"/>
      <c r="HI9" s="267"/>
      <c r="HJ9" s="267"/>
      <c r="HK9" s="267"/>
      <c r="HL9" s="267"/>
      <c r="HM9" s="267"/>
      <c r="HN9" s="267"/>
      <c r="HO9" s="267"/>
      <c r="HP9" s="267"/>
      <c r="HQ9" s="267"/>
      <c r="HR9" s="267"/>
      <c r="HS9" s="267"/>
      <c r="HT9" s="267"/>
      <c r="HU9" s="267"/>
      <c r="HV9" s="267"/>
      <c r="HW9" s="267"/>
      <c r="HX9" s="267"/>
      <c r="HY9" s="267"/>
      <c r="HZ9" s="267"/>
      <c r="IA9" s="267"/>
      <c r="IB9" s="267"/>
      <c r="IC9" s="267"/>
      <c r="ID9" s="267"/>
      <c r="IE9" s="267"/>
      <c r="IF9" s="267"/>
      <c r="IG9" s="267"/>
      <c r="IH9" s="267"/>
      <c r="II9" s="267"/>
      <c r="IJ9" s="267"/>
      <c r="IK9" s="267"/>
      <c r="IL9" s="267"/>
      <c r="IM9" s="267"/>
      <c r="IN9" s="267"/>
      <c r="IO9" s="267"/>
      <c r="IP9" s="267"/>
      <c r="IQ9" s="267"/>
      <c r="IR9" s="267"/>
      <c r="IS9" s="267"/>
      <c r="IT9" s="267"/>
      <c r="IU9" s="267"/>
      <c r="IV9" s="267"/>
    </row>
    <row r="10" spans="1:256" s="433" customFormat="1" ht="38.25" customHeight="1">
      <c r="A10" s="447">
        <v>2</v>
      </c>
      <c r="B10" s="441"/>
      <c r="C10" s="268">
        <v>1</v>
      </c>
      <c r="D10" s="508" t="s">
        <v>628</v>
      </c>
      <c r="E10" s="276"/>
      <c r="F10" s="276"/>
      <c r="G10" s="277"/>
      <c r="H10" s="549" t="s">
        <v>24</v>
      </c>
      <c r="I10" s="800"/>
      <c r="J10" s="514"/>
      <c r="K10" s="514"/>
      <c r="L10" s="514"/>
      <c r="M10" s="514"/>
      <c r="N10" s="537"/>
      <c r="O10" s="544"/>
      <c r="P10" s="438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  <c r="CJ10" s="267"/>
      <c r="CK10" s="267"/>
      <c r="CL10" s="267"/>
      <c r="CM10" s="267"/>
      <c r="CN10" s="267"/>
      <c r="CO10" s="267"/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267"/>
      <c r="DA10" s="267"/>
      <c r="DB10" s="267"/>
      <c r="DC10" s="267"/>
      <c r="DD10" s="267"/>
      <c r="DE10" s="267"/>
      <c r="DF10" s="267"/>
      <c r="DG10" s="267"/>
      <c r="DH10" s="267"/>
      <c r="DI10" s="267"/>
      <c r="DJ10" s="267"/>
      <c r="DK10" s="267"/>
      <c r="DL10" s="267"/>
      <c r="DM10" s="267"/>
      <c r="DN10" s="267"/>
      <c r="DO10" s="267"/>
      <c r="DP10" s="267"/>
      <c r="DQ10" s="267"/>
      <c r="DR10" s="267"/>
      <c r="DS10" s="267"/>
      <c r="DT10" s="267"/>
      <c r="DU10" s="267"/>
      <c r="DV10" s="267"/>
      <c r="DW10" s="267"/>
      <c r="DX10" s="267"/>
      <c r="DY10" s="267"/>
      <c r="DZ10" s="267"/>
      <c r="EA10" s="267"/>
      <c r="EB10" s="267"/>
      <c r="EC10" s="267"/>
      <c r="ED10" s="267"/>
      <c r="EE10" s="267"/>
      <c r="EF10" s="267"/>
      <c r="EG10" s="267"/>
      <c r="EH10" s="267"/>
      <c r="EI10" s="267"/>
      <c r="EJ10" s="267"/>
      <c r="EK10" s="267"/>
      <c r="EL10" s="267"/>
      <c r="EM10" s="267"/>
      <c r="EN10" s="267"/>
      <c r="EO10" s="267"/>
      <c r="EP10" s="267"/>
      <c r="EQ10" s="267"/>
      <c r="ER10" s="267"/>
      <c r="ES10" s="267"/>
      <c r="ET10" s="267"/>
      <c r="EU10" s="267"/>
      <c r="EV10" s="267"/>
      <c r="EW10" s="267"/>
      <c r="EX10" s="267"/>
      <c r="EY10" s="267"/>
      <c r="EZ10" s="267"/>
      <c r="FA10" s="267"/>
      <c r="FB10" s="267"/>
      <c r="FC10" s="267"/>
      <c r="FD10" s="267"/>
      <c r="FE10" s="267"/>
      <c r="FF10" s="267"/>
      <c r="FG10" s="267"/>
      <c r="FH10" s="267"/>
      <c r="FI10" s="267"/>
      <c r="FJ10" s="267"/>
      <c r="FK10" s="267"/>
      <c r="FL10" s="267"/>
      <c r="FM10" s="267"/>
      <c r="FN10" s="267"/>
      <c r="FO10" s="267"/>
      <c r="FP10" s="267"/>
      <c r="FQ10" s="267"/>
      <c r="FR10" s="267"/>
      <c r="FS10" s="267"/>
      <c r="FT10" s="267"/>
      <c r="FU10" s="267"/>
      <c r="FV10" s="267"/>
      <c r="FW10" s="267"/>
      <c r="FX10" s="267"/>
      <c r="FY10" s="267"/>
      <c r="FZ10" s="267"/>
      <c r="GA10" s="267"/>
      <c r="GB10" s="267"/>
      <c r="GC10" s="267"/>
      <c r="GD10" s="267"/>
      <c r="GE10" s="267"/>
      <c r="GF10" s="267"/>
      <c r="GG10" s="267"/>
      <c r="GH10" s="267"/>
      <c r="GI10" s="267"/>
      <c r="GJ10" s="267"/>
      <c r="GK10" s="267"/>
      <c r="GL10" s="267"/>
      <c r="GM10" s="267"/>
      <c r="GN10" s="267"/>
      <c r="GO10" s="267"/>
      <c r="GP10" s="267"/>
      <c r="GQ10" s="267"/>
      <c r="GR10" s="267"/>
      <c r="GS10" s="267"/>
      <c r="GT10" s="267"/>
      <c r="GU10" s="267"/>
      <c r="GV10" s="267"/>
      <c r="GW10" s="267"/>
      <c r="GX10" s="267"/>
      <c r="GY10" s="267"/>
      <c r="GZ10" s="267"/>
      <c r="HA10" s="267"/>
      <c r="HB10" s="267"/>
      <c r="HC10" s="267"/>
      <c r="HD10" s="267"/>
      <c r="HE10" s="267"/>
      <c r="HF10" s="267"/>
      <c r="HG10" s="267"/>
      <c r="HH10" s="267"/>
      <c r="HI10" s="267"/>
      <c r="HJ10" s="267"/>
      <c r="HK10" s="267"/>
      <c r="HL10" s="267"/>
      <c r="HM10" s="267"/>
      <c r="HN10" s="267"/>
      <c r="HO10" s="267"/>
      <c r="HP10" s="267"/>
      <c r="HQ10" s="267"/>
      <c r="HR10" s="267"/>
      <c r="HS10" s="267"/>
      <c r="HT10" s="267"/>
      <c r="HU10" s="267"/>
      <c r="HV10" s="267"/>
      <c r="HW10" s="267"/>
      <c r="HX10" s="267"/>
      <c r="HY10" s="267"/>
      <c r="HZ10" s="267"/>
      <c r="IA10" s="267"/>
      <c r="IB10" s="267"/>
      <c r="IC10" s="267"/>
      <c r="ID10" s="267"/>
      <c r="IE10" s="267"/>
      <c r="IF10" s="267"/>
      <c r="IG10" s="267"/>
      <c r="IH10" s="267"/>
      <c r="II10" s="267"/>
      <c r="IJ10" s="267"/>
      <c r="IK10" s="267"/>
      <c r="IL10" s="267"/>
      <c r="IM10" s="267"/>
      <c r="IN10" s="267"/>
      <c r="IO10" s="267"/>
      <c r="IP10" s="267"/>
      <c r="IQ10" s="267"/>
      <c r="IR10" s="267"/>
      <c r="IS10" s="267"/>
      <c r="IT10" s="267"/>
      <c r="IU10" s="267"/>
      <c r="IV10" s="267"/>
    </row>
    <row r="11" spans="1:16" ht="18" customHeight="1">
      <c r="A11" s="447">
        <v>3</v>
      </c>
      <c r="B11" s="371"/>
      <c r="C11" s="285"/>
      <c r="D11" s="520" t="s">
        <v>283</v>
      </c>
      <c r="E11" s="276">
        <f>F11+G11+O11+P11</f>
        <v>10000</v>
      </c>
      <c r="F11" s="276"/>
      <c r="G11" s="277"/>
      <c r="H11" s="526"/>
      <c r="I11" s="800"/>
      <c r="J11" s="514"/>
      <c r="K11" s="514">
        <v>10000</v>
      </c>
      <c r="L11" s="514"/>
      <c r="M11" s="514"/>
      <c r="N11" s="537"/>
      <c r="O11" s="510">
        <f>SUM(I11:N11)</f>
        <v>10000</v>
      </c>
      <c r="P11" s="438"/>
    </row>
    <row r="12" spans="1:16" ht="33">
      <c r="A12" s="447">
        <v>4</v>
      </c>
      <c r="B12" s="371"/>
      <c r="C12" s="268">
        <v>2</v>
      </c>
      <c r="D12" s="833" t="s">
        <v>426</v>
      </c>
      <c r="E12" s="276"/>
      <c r="F12" s="276"/>
      <c r="G12" s="277"/>
      <c r="H12" s="526" t="s">
        <v>24</v>
      </c>
      <c r="I12" s="800"/>
      <c r="J12" s="514"/>
      <c r="K12" s="514"/>
      <c r="L12" s="514"/>
      <c r="M12" s="514"/>
      <c r="N12" s="537"/>
      <c r="O12" s="510"/>
      <c r="P12" s="438"/>
    </row>
    <row r="13" spans="1:16" ht="18" customHeight="1">
      <c r="A13" s="447">
        <v>5</v>
      </c>
      <c r="B13" s="371"/>
      <c r="C13" s="285"/>
      <c r="D13" s="520" t="s">
        <v>283</v>
      </c>
      <c r="E13" s="276">
        <f>F13+G13+O13+P13</f>
        <v>48382</v>
      </c>
      <c r="F13" s="276">
        <v>1956</v>
      </c>
      <c r="G13" s="277">
        <v>21991</v>
      </c>
      <c r="H13" s="526"/>
      <c r="I13" s="800"/>
      <c r="J13" s="514"/>
      <c r="K13" s="514">
        <v>167</v>
      </c>
      <c r="L13" s="514"/>
      <c r="M13" s="514">
        <v>24268</v>
      </c>
      <c r="N13" s="537"/>
      <c r="O13" s="510">
        <f>SUM(I13:N13)</f>
        <v>24435</v>
      </c>
      <c r="P13" s="438"/>
    </row>
    <row r="14" spans="1:256" s="433" customFormat="1" ht="54.75" customHeight="1">
      <c r="A14" s="447">
        <v>6</v>
      </c>
      <c r="B14" s="441"/>
      <c r="C14" s="268">
        <v>3</v>
      </c>
      <c r="D14" s="508" t="s">
        <v>398</v>
      </c>
      <c r="E14" s="276"/>
      <c r="F14" s="437"/>
      <c r="G14" s="277"/>
      <c r="H14" s="549" t="s">
        <v>24</v>
      </c>
      <c r="I14" s="524"/>
      <c r="J14" s="517"/>
      <c r="K14" s="517"/>
      <c r="L14" s="517"/>
      <c r="M14" s="517"/>
      <c r="N14" s="538"/>
      <c r="O14" s="510"/>
      <c r="P14" s="438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7"/>
      <c r="CC14" s="267"/>
      <c r="CD14" s="267"/>
      <c r="CE14" s="267"/>
      <c r="CF14" s="267"/>
      <c r="CG14" s="267"/>
      <c r="CH14" s="267"/>
      <c r="CI14" s="267"/>
      <c r="CJ14" s="267"/>
      <c r="CK14" s="267"/>
      <c r="CL14" s="267"/>
      <c r="CM14" s="267"/>
      <c r="CN14" s="267"/>
      <c r="CO14" s="267"/>
      <c r="CP14" s="267"/>
      <c r="CQ14" s="267"/>
      <c r="CR14" s="267"/>
      <c r="CS14" s="267"/>
      <c r="CT14" s="267"/>
      <c r="CU14" s="267"/>
      <c r="CV14" s="267"/>
      <c r="CW14" s="267"/>
      <c r="CX14" s="267"/>
      <c r="CY14" s="267"/>
      <c r="CZ14" s="267"/>
      <c r="DA14" s="267"/>
      <c r="DB14" s="267"/>
      <c r="DC14" s="267"/>
      <c r="DD14" s="267"/>
      <c r="DE14" s="267"/>
      <c r="DF14" s="267"/>
      <c r="DG14" s="267"/>
      <c r="DH14" s="267"/>
      <c r="DI14" s="267"/>
      <c r="DJ14" s="267"/>
      <c r="DK14" s="267"/>
      <c r="DL14" s="267"/>
      <c r="DM14" s="267"/>
      <c r="DN14" s="267"/>
      <c r="DO14" s="267"/>
      <c r="DP14" s="267"/>
      <c r="DQ14" s="267"/>
      <c r="DR14" s="267"/>
      <c r="DS14" s="267"/>
      <c r="DT14" s="267"/>
      <c r="DU14" s="267"/>
      <c r="DV14" s="267"/>
      <c r="DW14" s="267"/>
      <c r="DX14" s="267"/>
      <c r="DY14" s="267"/>
      <c r="DZ14" s="267"/>
      <c r="EA14" s="267"/>
      <c r="EB14" s="267"/>
      <c r="EC14" s="267"/>
      <c r="ED14" s="267"/>
      <c r="EE14" s="267"/>
      <c r="EF14" s="267"/>
      <c r="EG14" s="267"/>
      <c r="EH14" s="267"/>
      <c r="EI14" s="267"/>
      <c r="EJ14" s="267"/>
      <c r="EK14" s="267"/>
      <c r="EL14" s="267"/>
      <c r="EM14" s="267"/>
      <c r="EN14" s="267"/>
      <c r="EO14" s="267"/>
      <c r="EP14" s="267"/>
      <c r="EQ14" s="267"/>
      <c r="ER14" s="267"/>
      <c r="ES14" s="267"/>
      <c r="ET14" s="267"/>
      <c r="EU14" s="267"/>
      <c r="EV14" s="267"/>
      <c r="EW14" s="267"/>
      <c r="EX14" s="267"/>
      <c r="EY14" s="267"/>
      <c r="EZ14" s="267"/>
      <c r="FA14" s="267"/>
      <c r="FB14" s="267"/>
      <c r="FC14" s="267"/>
      <c r="FD14" s="267"/>
      <c r="FE14" s="267"/>
      <c r="FF14" s="267"/>
      <c r="FG14" s="267"/>
      <c r="FH14" s="267"/>
      <c r="FI14" s="267"/>
      <c r="FJ14" s="267"/>
      <c r="FK14" s="267"/>
      <c r="FL14" s="267"/>
      <c r="FM14" s="267"/>
      <c r="FN14" s="267"/>
      <c r="FO14" s="267"/>
      <c r="FP14" s="267"/>
      <c r="FQ14" s="267"/>
      <c r="FR14" s="267"/>
      <c r="FS14" s="267"/>
      <c r="FT14" s="267"/>
      <c r="FU14" s="267"/>
      <c r="FV14" s="267"/>
      <c r="FW14" s="267"/>
      <c r="FX14" s="267"/>
      <c r="FY14" s="267"/>
      <c r="FZ14" s="267"/>
      <c r="GA14" s="267"/>
      <c r="GB14" s="267"/>
      <c r="GC14" s="267"/>
      <c r="GD14" s="267"/>
      <c r="GE14" s="267"/>
      <c r="GF14" s="267"/>
      <c r="GG14" s="267"/>
      <c r="GH14" s="267"/>
      <c r="GI14" s="267"/>
      <c r="GJ14" s="267"/>
      <c r="GK14" s="267"/>
      <c r="GL14" s="267"/>
      <c r="GM14" s="267"/>
      <c r="GN14" s="267"/>
      <c r="GO14" s="267"/>
      <c r="GP14" s="267"/>
      <c r="GQ14" s="267"/>
      <c r="GR14" s="267"/>
      <c r="GS14" s="267"/>
      <c r="GT14" s="267"/>
      <c r="GU14" s="267"/>
      <c r="GV14" s="267"/>
      <c r="GW14" s="267"/>
      <c r="GX14" s="267"/>
      <c r="GY14" s="267"/>
      <c r="GZ14" s="267"/>
      <c r="HA14" s="267"/>
      <c r="HB14" s="267"/>
      <c r="HC14" s="267"/>
      <c r="HD14" s="267"/>
      <c r="HE14" s="267"/>
      <c r="HF14" s="267"/>
      <c r="HG14" s="267"/>
      <c r="HH14" s="267"/>
      <c r="HI14" s="267"/>
      <c r="HJ14" s="267"/>
      <c r="HK14" s="267"/>
      <c r="HL14" s="267"/>
      <c r="HM14" s="267"/>
      <c r="HN14" s="267"/>
      <c r="HO14" s="267"/>
      <c r="HP14" s="267"/>
      <c r="HQ14" s="267"/>
      <c r="HR14" s="267"/>
      <c r="HS14" s="267"/>
      <c r="HT14" s="267"/>
      <c r="HU14" s="267"/>
      <c r="HV14" s="267"/>
      <c r="HW14" s="267"/>
      <c r="HX14" s="267"/>
      <c r="HY14" s="267"/>
      <c r="HZ14" s="267"/>
      <c r="IA14" s="267"/>
      <c r="IB14" s="267"/>
      <c r="IC14" s="267"/>
      <c r="ID14" s="267"/>
      <c r="IE14" s="267"/>
      <c r="IF14" s="267"/>
      <c r="IG14" s="267"/>
      <c r="IH14" s="267"/>
      <c r="II14" s="267"/>
      <c r="IJ14" s="267"/>
      <c r="IK14" s="267"/>
      <c r="IL14" s="267"/>
      <c r="IM14" s="267"/>
      <c r="IN14" s="267"/>
      <c r="IO14" s="267"/>
      <c r="IP14" s="267"/>
      <c r="IQ14" s="267"/>
      <c r="IR14" s="267"/>
      <c r="IS14" s="267"/>
      <c r="IT14" s="267"/>
      <c r="IU14" s="267"/>
      <c r="IV14" s="267"/>
    </row>
    <row r="15" spans="1:16" ht="18" customHeight="1">
      <c r="A15" s="447">
        <v>7</v>
      </c>
      <c r="B15" s="371"/>
      <c r="C15" s="285"/>
      <c r="D15" s="520" t="s">
        <v>283</v>
      </c>
      <c r="E15" s="276">
        <f>F15+G15+O15+P15</f>
        <v>307836</v>
      </c>
      <c r="F15" s="437">
        <f>1024+40+908</f>
        <v>1972</v>
      </c>
      <c r="G15" s="277">
        <v>197815</v>
      </c>
      <c r="H15" s="526"/>
      <c r="I15" s="524"/>
      <c r="J15" s="517"/>
      <c r="K15" s="517">
        <v>1548</v>
      </c>
      <c r="L15" s="517"/>
      <c r="M15" s="517">
        <v>106501</v>
      </c>
      <c r="N15" s="538"/>
      <c r="O15" s="510">
        <f>SUM(I15:N15)</f>
        <v>108049</v>
      </c>
      <c r="P15" s="438"/>
    </row>
    <row r="16" spans="1:16" ht="22.5" customHeight="1">
      <c r="A16" s="447">
        <v>8</v>
      </c>
      <c r="B16" s="371"/>
      <c r="C16" s="268">
        <v>4</v>
      </c>
      <c r="D16" s="1208" t="s">
        <v>427</v>
      </c>
      <c r="E16" s="276"/>
      <c r="F16" s="437"/>
      <c r="G16" s="277"/>
      <c r="H16" s="526" t="s">
        <v>24</v>
      </c>
      <c r="I16" s="524"/>
      <c r="J16" s="517"/>
      <c r="K16" s="517"/>
      <c r="L16" s="517"/>
      <c r="M16" s="517"/>
      <c r="N16" s="538"/>
      <c r="O16" s="510"/>
      <c r="P16" s="438"/>
    </row>
    <row r="17" spans="1:256" s="433" customFormat="1" ht="18" customHeight="1">
      <c r="A17" s="447">
        <v>9</v>
      </c>
      <c r="B17" s="441"/>
      <c r="C17" s="268"/>
      <c r="D17" s="520" t="s">
        <v>283</v>
      </c>
      <c r="E17" s="276">
        <f>F17+G17+O17+P17</f>
        <v>3449497</v>
      </c>
      <c r="F17" s="437">
        <f>450951+1231269+1173643</f>
        <v>2855863</v>
      </c>
      <c r="G17" s="277">
        <v>592544</v>
      </c>
      <c r="H17" s="526"/>
      <c r="I17" s="524"/>
      <c r="J17" s="517"/>
      <c r="K17" s="517">
        <v>1090</v>
      </c>
      <c r="L17" s="517"/>
      <c r="M17" s="517"/>
      <c r="N17" s="538"/>
      <c r="O17" s="510">
        <f>SUM(I17:N17)</f>
        <v>1090</v>
      </c>
      <c r="P17" s="438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267"/>
      <c r="BK17" s="267"/>
      <c r="BL17" s="267"/>
      <c r="BM17" s="267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/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7"/>
      <c r="CU17" s="267"/>
      <c r="CV17" s="267"/>
      <c r="CW17" s="267"/>
      <c r="CX17" s="267"/>
      <c r="CY17" s="267"/>
      <c r="CZ17" s="267"/>
      <c r="DA17" s="267"/>
      <c r="DB17" s="267"/>
      <c r="DC17" s="267"/>
      <c r="DD17" s="267"/>
      <c r="DE17" s="267"/>
      <c r="DF17" s="267"/>
      <c r="DG17" s="267"/>
      <c r="DH17" s="267"/>
      <c r="DI17" s="267"/>
      <c r="DJ17" s="267"/>
      <c r="DK17" s="267"/>
      <c r="DL17" s="267"/>
      <c r="DM17" s="267"/>
      <c r="DN17" s="267"/>
      <c r="DO17" s="267"/>
      <c r="DP17" s="267"/>
      <c r="DQ17" s="267"/>
      <c r="DR17" s="267"/>
      <c r="DS17" s="267"/>
      <c r="DT17" s="267"/>
      <c r="DU17" s="267"/>
      <c r="DV17" s="267"/>
      <c r="DW17" s="267"/>
      <c r="DX17" s="267"/>
      <c r="DY17" s="267"/>
      <c r="DZ17" s="267"/>
      <c r="EA17" s="267"/>
      <c r="EB17" s="267"/>
      <c r="EC17" s="267"/>
      <c r="ED17" s="267"/>
      <c r="EE17" s="267"/>
      <c r="EF17" s="267"/>
      <c r="EG17" s="267"/>
      <c r="EH17" s="267"/>
      <c r="EI17" s="267"/>
      <c r="EJ17" s="267"/>
      <c r="EK17" s="267"/>
      <c r="EL17" s="267"/>
      <c r="EM17" s="267"/>
      <c r="EN17" s="267"/>
      <c r="EO17" s="267"/>
      <c r="EP17" s="267"/>
      <c r="EQ17" s="267"/>
      <c r="ER17" s="267"/>
      <c r="ES17" s="267"/>
      <c r="ET17" s="267"/>
      <c r="EU17" s="267"/>
      <c r="EV17" s="267"/>
      <c r="EW17" s="267"/>
      <c r="EX17" s="267"/>
      <c r="EY17" s="267"/>
      <c r="EZ17" s="267"/>
      <c r="FA17" s="267"/>
      <c r="FB17" s="267"/>
      <c r="FC17" s="267"/>
      <c r="FD17" s="267"/>
      <c r="FE17" s="267"/>
      <c r="FF17" s="267"/>
      <c r="FG17" s="267"/>
      <c r="FH17" s="267"/>
      <c r="FI17" s="267"/>
      <c r="FJ17" s="267"/>
      <c r="FK17" s="267"/>
      <c r="FL17" s="267"/>
      <c r="FM17" s="267"/>
      <c r="FN17" s="267"/>
      <c r="FO17" s="267"/>
      <c r="FP17" s="267"/>
      <c r="FQ17" s="267"/>
      <c r="FR17" s="267"/>
      <c r="FS17" s="267"/>
      <c r="FT17" s="267"/>
      <c r="FU17" s="267"/>
      <c r="FV17" s="267"/>
      <c r="FW17" s="267"/>
      <c r="FX17" s="267"/>
      <c r="FY17" s="267"/>
      <c r="FZ17" s="267"/>
      <c r="GA17" s="267"/>
      <c r="GB17" s="267"/>
      <c r="GC17" s="267"/>
      <c r="GD17" s="267"/>
      <c r="GE17" s="267"/>
      <c r="GF17" s="267"/>
      <c r="GG17" s="267"/>
      <c r="GH17" s="267"/>
      <c r="GI17" s="267"/>
      <c r="GJ17" s="267"/>
      <c r="GK17" s="267"/>
      <c r="GL17" s="267"/>
      <c r="GM17" s="267"/>
      <c r="GN17" s="267"/>
      <c r="GO17" s="267"/>
      <c r="GP17" s="267"/>
      <c r="GQ17" s="267"/>
      <c r="GR17" s="267"/>
      <c r="GS17" s="267"/>
      <c r="GT17" s="267"/>
      <c r="GU17" s="267"/>
      <c r="GV17" s="267"/>
      <c r="GW17" s="267"/>
      <c r="GX17" s="267"/>
      <c r="GY17" s="267"/>
      <c r="GZ17" s="267"/>
      <c r="HA17" s="267"/>
      <c r="HB17" s="267"/>
      <c r="HC17" s="267"/>
      <c r="HD17" s="267"/>
      <c r="HE17" s="267"/>
      <c r="HF17" s="267"/>
      <c r="HG17" s="267"/>
      <c r="HH17" s="267"/>
      <c r="HI17" s="267"/>
      <c r="HJ17" s="267"/>
      <c r="HK17" s="267"/>
      <c r="HL17" s="267"/>
      <c r="HM17" s="267"/>
      <c r="HN17" s="267"/>
      <c r="HO17" s="267"/>
      <c r="HP17" s="267"/>
      <c r="HQ17" s="267"/>
      <c r="HR17" s="267"/>
      <c r="HS17" s="267"/>
      <c r="HT17" s="267"/>
      <c r="HU17" s="267"/>
      <c r="HV17" s="267"/>
      <c r="HW17" s="267"/>
      <c r="HX17" s="267"/>
      <c r="HY17" s="267"/>
      <c r="HZ17" s="267"/>
      <c r="IA17" s="267"/>
      <c r="IB17" s="267"/>
      <c r="IC17" s="267"/>
      <c r="ID17" s="267"/>
      <c r="IE17" s="267"/>
      <c r="IF17" s="267"/>
      <c r="IG17" s="267"/>
      <c r="IH17" s="267"/>
      <c r="II17" s="267"/>
      <c r="IJ17" s="267"/>
      <c r="IK17" s="267"/>
      <c r="IL17" s="267"/>
      <c r="IM17" s="267"/>
      <c r="IN17" s="267"/>
      <c r="IO17" s="267"/>
      <c r="IP17" s="267"/>
      <c r="IQ17" s="267"/>
      <c r="IR17" s="267"/>
      <c r="IS17" s="267"/>
      <c r="IT17" s="267"/>
      <c r="IU17" s="267"/>
      <c r="IV17" s="267"/>
    </row>
    <row r="18" spans="1:16" ht="33">
      <c r="A18" s="447">
        <v>10</v>
      </c>
      <c r="B18" s="371"/>
      <c r="C18" s="268">
        <v>5</v>
      </c>
      <c r="D18" s="270" t="s">
        <v>501</v>
      </c>
      <c r="E18" s="276"/>
      <c r="F18" s="437"/>
      <c r="G18" s="277"/>
      <c r="H18" s="526" t="s">
        <v>24</v>
      </c>
      <c r="I18" s="524"/>
      <c r="J18" s="517"/>
      <c r="K18" s="517"/>
      <c r="L18" s="517"/>
      <c r="M18" s="517"/>
      <c r="N18" s="538"/>
      <c r="O18" s="510"/>
      <c r="P18" s="438"/>
    </row>
    <row r="19" spans="1:256" s="433" customFormat="1" ht="18" customHeight="1">
      <c r="A19" s="447">
        <v>11</v>
      </c>
      <c r="B19" s="441"/>
      <c r="C19" s="285"/>
      <c r="D19" s="520" t="s">
        <v>283</v>
      </c>
      <c r="E19" s="276">
        <f>F19+G19+O19+P19</f>
        <v>240183</v>
      </c>
      <c r="F19" s="437">
        <f>9749+3835+7697</f>
        <v>21281</v>
      </c>
      <c r="G19" s="277">
        <v>140243</v>
      </c>
      <c r="H19" s="526"/>
      <c r="I19" s="524"/>
      <c r="J19" s="517"/>
      <c r="K19" s="517"/>
      <c r="L19" s="517"/>
      <c r="M19" s="517">
        <v>78659</v>
      </c>
      <c r="N19" s="538"/>
      <c r="O19" s="510">
        <f>SUM(I19:N19)</f>
        <v>78659</v>
      </c>
      <c r="P19" s="438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  <c r="BL19" s="267"/>
      <c r="BM19" s="267"/>
      <c r="BN19" s="267"/>
      <c r="BO19" s="267"/>
      <c r="BP19" s="267"/>
      <c r="BQ19" s="267"/>
      <c r="BR19" s="267"/>
      <c r="BS19" s="267"/>
      <c r="BT19" s="267"/>
      <c r="BU19" s="267"/>
      <c r="BV19" s="267"/>
      <c r="BW19" s="267"/>
      <c r="BX19" s="267"/>
      <c r="BY19" s="267"/>
      <c r="BZ19" s="267"/>
      <c r="CA19" s="267"/>
      <c r="CB19" s="267"/>
      <c r="CC19" s="267"/>
      <c r="CD19" s="267"/>
      <c r="CE19" s="267"/>
      <c r="CF19" s="267"/>
      <c r="CG19" s="267"/>
      <c r="CH19" s="267"/>
      <c r="CI19" s="267"/>
      <c r="CJ19" s="267"/>
      <c r="CK19" s="267"/>
      <c r="CL19" s="267"/>
      <c r="CM19" s="267"/>
      <c r="CN19" s="267"/>
      <c r="CO19" s="267"/>
      <c r="CP19" s="267"/>
      <c r="CQ19" s="267"/>
      <c r="CR19" s="267"/>
      <c r="CS19" s="267"/>
      <c r="CT19" s="267"/>
      <c r="CU19" s="267"/>
      <c r="CV19" s="267"/>
      <c r="CW19" s="267"/>
      <c r="CX19" s="267"/>
      <c r="CY19" s="267"/>
      <c r="CZ19" s="267"/>
      <c r="DA19" s="267"/>
      <c r="DB19" s="267"/>
      <c r="DC19" s="267"/>
      <c r="DD19" s="267"/>
      <c r="DE19" s="267"/>
      <c r="DF19" s="267"/>
      <c r="DG19" s="267"/>
      <c r="DH19" s="267"/>
      <c r="DI19" s="267"/>
      <c r="DJ19" s="267"/>
      <c r="DK19" s="267"/>
      <c r="DL19" s="267"/>
      <c r="DM19" s="267"/>
      <c r="DN19" s="267"/>
      <c r="DO19" s="267"/>
      <c r="DP19" s="267"/>
      <c r="DQ19" s="267"/>
      <c r="DR19" s="267"/>
      <c r="DS19" s="267"/>
      <c r="DT19" s="267"/>
      <c r="DU19" s="267"/>
      <c r="DV19" s="267"/>
      <c r="DW19" s="267"/>
      <c r="DX19" s="267"/>
      <c r="DY19" s="267"/>
      <c r="DZ19" s="267"/>
      <c r="EA19" s="267"/>
      <c r="EB19" s="267"/>
      <c r="EC19" s="267"/>
      <c r="ED19" s="267"/>
      <c r="EE19" s="267"/>
      <c r="EF19" s="267"/>
      <c r="EG19" s="267"/>
      <c r="EH19" s="267"/>
      <c r="EI19" s="267"/>
      <c r="EJ19" s="267"/>
      <c r="EK19" s="267"/>
      <c r="EL19" s="267"/>
      <c r="EM19" s="267"/>
      <c r="EN19" s="267"/>
      <c r="EO19" s="267"/>
      <c r="EP19" s="267"/>
      <c r="EQ19" s="267"/>
      <c r="ER19" s="267"/>
      <c r="ES19" s="267"/>
      <c r="ET19" s="267"/>
      <c r="EU19" s="267"/>
      <c r="EV19" s="267"/>
      <c r="EW19" s="267"/>
      <c r="EX19" s="267"/>
      <c r="EY19" s="267"/>
      <c r="EZ19" s="267"/>
      <c r="FA19" s="267"/>
      <c r="FB19" s="267"/>
      <c r="FC19" s="267"/>
      <c r="FD19" s="267"/>
      <c r="FE19" s="267"/>
      <c r="FF19" s="267"/>
      <c r="FG19" s="267"/>
      <c r="FH19" s="267"/>
      <c r="FI19" s="267"/>
      <c r="FJ19" s="267"/>
      <c r="FK19" s="267"/>
      <c r="FL19" s="267"/>
      <c r="FM19" s="267"/>
      <c r="FN19" s="267"/>
      <c r="FO19" s="267"/>
      <c r="FP19" s="267"/>
      <c r="FQ19" s="267"/>
      <c r="FR19" s="267"/>
      <c r="FS19" s="267"/>
      <c r="FT19" s="267"/>
      <c r="FU19" s="267"/>
      <c r="FV19" s="267"/>
      <c r="FW19" s="267"/>
      <c r="FX19" s="267"/>
      <c r="FY19" s="267"/>
      <c r="FZ19" s="267"/>
      <c r="GA19" s="267"/>
      <c r="GB19" s="267"/>
      <c r="GC19" s="267"/>
      <c r="GD19" s="267"/>
      <c r="GE19" s="267"/>
      <c r="GF19" s="267"/>
      <c r="GG19" s="267"/>
      <c r="GH19" s="267"/>
      <c r="GI19" s="267"/>
      <c r="GJ19" s="267"/>
      <c r="GK19" s="267"/>
      <c r="GL19" s="267"/>
      <c r="GM19" s="267"/>
      <c r="GN19" s="267"/>
      <c r="GO19" s="267"/>
      <c r="GP19" s="267"/>
      <c r="GQ19" s="267"/>
      <c r="GR19" s="267"/>
      <c r="GS19" s="267"/>
      <c r="GT19" s="267"/>
      <c r="GU19" s="267"/>
      <c r="GV19" s="267"/>
      <c r="GW19" s="267"/>
      <c r="GX19" s="267"/>
      <c r="GY19" s="267"/>
      <c r="GZ19" s="267"/>
      <c r="HA19" s="267"/>
      <c r="HB19" s="267"/>
      <c r="HC19" s="267"/>
      <c r="HD19" s="267"/>
      <c r="HE19" s="267"/>
      <c r="HF19" s="267"/>
      <c r="HG19" s="267"/>
      <c r="HH19" s="267"/>
      <c r="HI19" s="267"/>
      <c r="HJ19" s="267"/>
      <c r="HK19" s="267"/>
      <c r="HL19" s="267"/>
      <c r="HM19" s="267"/>
      <c r="HN19" s="267"/>
      <c r="HO19" s="267"/>
      <c r="HP19" s="267"/>
      <c r="HQ19" s="267"/>
      <c r="HR19" s="267"/>
      <c r="HS19" s="267"/>
      <c r="HT19" s="267"/>
      <c r="HU19" s="267"/>
      <c r="HV19" s="267"/>
      <c r="HW19" s="267"/>
      <c r="HX19" s="267"/>
      <c r="HY19" s="267"/>
      <c r="HZ19" s="267"/>
      <c r="IA19" s="267"/>
      <c r="IB19" s="267"/>
      <c r="IC19" s="267"/>
      <c r="ID19" s="267"/>
      <c r="IE19" s="267"/>
      <c r="IF19" s="267"/>
      <c r="IG19" s="267"/>
      <c r="IH19" s="267"/>
      <c r="II19" s="267"/>
      <c r="IJ19" s="267"/>
      <c r="IK19" s="267"/>
      <c r="IL19" s="267"/>
      <c r="IM19" s="267"/>
      <c r="IN19" s="267"/>
      <c r="IO19" s="267"/>
      <c r="IP19" s="267"/>
      <c r="IQ19" s="267"/>
      <c r="IR19" s="267"/>
      <c r="IS19" s="267"/>
      <c r="IT19" s="267"/>
      <c r="IU19" s="267"/>
      <c r="IV19" s="267"/>
    </row>
    <row r="20" spans="1:16" ht="33">
      <c r="A20" s="447">
        <v>12</v>
      </c>
      <c r="B20" s="371"/>
      <c r="C20" s="268">
        <v>6</v>
      </c>
      <c r="D20" s="270" t="s">
        <v>428</v>
      </c>
      <c r="E20" s="276"/>
      <c r="F20" s="437"/>
      <c r="G20" s="277"/>
      <c r="H20" s="526" t="s">
        <v>24</v>
      </c>
      <c r="I20" s="524"/>
      <c r="J20" s="517"/>
      <c r="K20" s="517"/>
      <c r="L20" s="517"/>
      <c r="M20" s="517"/>
      <c r="N20" s="538"/>
      <c r="O20" s="510"/>
      <c r="P20" s="438"/>
    </row>
    <row r="21" spans="1:256" s="433" customFormat="1" ht="18" customHeight="1">
      <c r="A21" s="447">
        <v>13</v>
      </c>
      <c r="B21" s="441"/>
      <c r="C21" s="268"/>
      <c r="D21" s="520" t="s">
        <v>283</v>
      </c>
      <c r="E21" s="276">
        <f>F21+G21+O21+P21+12000</f>
        <v>506600</v>
      </c>
      <c r="F21" s="437">
        <f>326+17127+3982</f>
        <v>21435</v>
      </c>
      <c r="G21" s="277">
        <v>72298</v>
      </c>
      <c r="H21" s="526"/>
      <c r="I21" s="524"/>
      <c r="J21" s="517"/>
      <c r="K21" s="517"/>
      <c r="L21" s="517"/>
      <c r="M21" s="517">
        <v>400867</v>
      </c>
      <c r="N21" s="538"/>
      <c r="O21" s="510">
        <f>SUM(I21:N21)</f>
        <v>400867</v>
      </c>
      <c r="P21" s="438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7"/>
      <c r="CA21" s="267"/>
      <c r="CB21" s="267"/>
      <c r="CC21" s="267"/>
      <c r="CD21" s="267"/>
      <c r="CE21" s="267"/>
      <c r="CF21" s="267"/>
      <c r="CG21" s="267"/>
      <c r="CH21" s="267"/>
      <c r="CI21" s="267"/>
      <c r="CJ21" s="267"/>
      <c r="CK21" s="267"/>
      <c r="CL21" s="267"/>
      <c r="CM21" s="267"/>
      <c r="CN21" s="267"/>
      <c r="CO21" s="267"/>
      <c r="CP21" s="267"/>
      <c r="CQ21" s="267"/>
      <c r="CR21" s="267"/>
      <c r="CS21" s="267"/>
      <c r="CT21" s="267"/>
      <c r="CU21" s="267"/>
      <c r="CV21" s="267"/>
      <c r="CW21" s="267"/>
      <c r="CX21" s="267"/>
      <c r="CY21" s="267"/>
      <c r="CZ21" s="267"/>
      <c r="DA21" s="267"/>
      <c r="DB21" s="267"/>
      <c r="DC21" s="267"/>
      <c r="DD21" s="267"/>
      <c r="DE21" s="267"/>
      <c r="DF21" s="267"/>
      <c r="DG21" s="267"/>
      <c r="DH21" s="267"/>
      <c r="DI21" s="267"/>
      <c r="DJ21" s="267"/>
      <c r="DK21" s="267"/>
      <c r="DL21" s="267"/>
      <c r="DM21" s="267"/>
      <c r="DN21" s="267"/>
      <c r="DO21" s="267"/>
      <c r="DP21" s="267"/>
      <c r="DQ21" s="267"/>
      <c r="DR21" s="267"/>
      <c r="DS21" s="267"/>
      <c r="DT21" s="267"/>
      <c r="DU21" s="267"/>
      <c r="DV21" s="267"/>
      <c r="DW21" s="267"/>
      <c r="DX21" s="267"/>
      <c r="DY21" s="267"/>
      <c r="DZ21" s="267"/>
      <c r="EA21" s="267"/>
      <c r="EB21" s="267"/>
      <c r="EC21" s="267"/>
      <c r="ED21" s="267"/>
      <c r="EE21" s="267"/>
      <c r="EF21" s="267"/>
      <c r="EG21" s="267"/>
      <c r="EH21" s="267"/>
      <c r="EI21" s="267"/>
      <c r="EJ21" s="267"/>
      <c r="EK21" s="267"/>
      <c r="EL21" s="267"/>
      <c r="EM21" s="267"/>
      <c r="EN21" s="267"/>
      <c r="EO21" s="267"/>
      <c r="EP21" s="267"/>
      <c r="EQ21" s="267"/>
      <c r="ER21" s="267"/>
      <c r="ES21" s="267"/>
      <c r="ET21" s="267"/>
      <c r="EU21" s="267"/>
      <c r="EV21" s="267"/>
      <c r="EW21" s="267"/>
      <c r="EX21" s="267"/>
      <c r="EY21" s="267"/>
      <c r="EZ21" s="267"/>
      <c r="FA21" s="267"/>
      <c r="FB21" s="267"/>
      <c r="FC21" s="267"/>
      <c r="FD21" s="267"/>
      <c r="FE21" s="267"/>
      <c r="FF21" s="267"/>
      <c r="FG21" s="267"/>
      <c r="FH21" s="267"/>
      <c r="FI21" s="267"/>
      <c r="FJ21" s="267"/>
      <c r="FK21" s="267"/>
      <c r="FL21" s="267"/>
      <c r="FM21" s="267"/>
      <c r="FN21" s="267"/>
      <c r="FO21" s="267"/>
      <c r="FP21" s="267"/>
      <c r="FQ21" s="267"/>
      <c r="FR21" s="267"/>
      <c r="FS21" s="267"/>
      <c r="FT21" s="267"/>
      <c r="FU21" s="267"/>
      <c r="FV21" s="267"/>
      <c r="FW21" s="267"/>
      <c r="FX21" s="267"/>
      <c r="FY21" s="267"/>
      <c r="FZ21" s="267"/>
      <c r="GA21" s="267"/>
      <c r="GB21" s="267"/>
      <c r="GC21" s="267"/>
      <c r="GD21" s="267"/>
      <c r="GE21" s="267"/>
      <c r="GF21" s="267"/>
      <c r="GG21" s="267"/>
      <c r="GH21" s="267"/>
      <c r="GI21" s="267"/>
      <c r="GJ21" s="267"/>
      <c r="GK21" s="267"/>
      <c r="GL21" s="267"/>
      <c r="GM21" s="267"/>
      <c r="GN21" s="267"/>
      <c r="GO21" s="267"/>
      <c r="GP21" s="267"/>
      <c r="GQ21" s="267"/>
      <c r="GR21" s="267"/>
      <c r="GS21" s="267"/>
      <c r="GT21" s="267"/>
      <c r="GU21" s="267"/>
      <c r="GV21" s="267"/>
      <c r="GW21" s="267"/>
      <c r="GX21" s="267"/>
      <c r="GY21" s="267"/>
      <c r="GZ21" s="267"/>
      <c r="HA21" s="267"/>
      <c r="HB21" s="267"/>
      <c r="HC21" s="267"/>
      <c r="HD21" s="267"/>
      <c r="HE21" s="267"/>
      <c r="HF21" s="267"/>
      <c r="HG21" s="267"/>
      <c r="HH21" s="267"/>
      <c r="HI21" s="267"/>
      <c r="HJ21" s="267"/>
      <c r="HK21" s="267"/>
      <c r="HL21" s="267"/>
      <c r="HM21" s="267"/>
      <c r="HN21" s="267"/>
      <c r="HO21" s="267"/>
      <c r="HP21" s="267"/>
      <c r="HQ21" s="267"/>
      <c r="HR21" s="267"/>
      <c r="HS21" s="267"/>
      <c r="HT21" s="267"/>
      <c r="HU21" s="267"/>
      <c r="HV21" s="267"/>
      <c r="HW21" s="267"/>
      <c r="HX21" s="267"/>
      <c r="HY21" s="267"/>
      <c r="HZ21" s="267"/>
      <c r="IA21" s="267"/>
      <c r="IB21" s="267"/>
      <c r="IC21" s="267"/>
      <c r="ID21" s="267"/>
      <c r="IE21" s="267"/>
      <c r="IF21" s="267"/>
      <c r="IG21" s="267"/>
      <c r="IH21" s="267"/>
      <c r="II21" s="267"/>
      <c r="IJ21" s="267"/>
      <c r="IK21" s="267"/>
      <c r="IL21" s="267"/>
      <c r="IM21" s="267"/>
      <c r="IN21" s="267"/>
      <c r="IO21" s="267"/>
      <c r="IP21" s="267"/>
      <c r="IQ21" s="267"/>
      <c r="IR21" s="267"/>
      <c r="IS21" s="267"/>
      <c r="IT21" s="267"/>
      <c r="IU21" s="267"/>
      <c r="IV21" s="267"/>
    </row>
    <row r="22" spans="1:256" s="433" customFormat="1" ht="34.5" customHeight="1">
      <c r="A22" s="447">
        <v>14</v>
      </c>
      <c r="B22" s="441"/>
      <c r="C22" s="268">
        <v>7</v>
      </c>
      <c r="D22" s="270" t="s">
        <v>502</v>
      </c>
      <c r="E22" s="276"/>
      <c r="F22" s="437"/>
      <c r="G22" s="277"/>
      <c r="H22" s="526"/>
      <c r="I22" s="524"/>
      <c r="J22" s="517"/>
      <c r="K22" s="517"/>
      <c r="L22" s="517"/>
      <c r="M22" s="517"/>
      <c r="N22" s="538"/>
      <c r="O22" s="510"/>
      <c r="P22" s="438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267"/>
      <c r="BS22" s="267"/>
      <c r="BT22" s="267"/>
      <c r="BU22" s="267"/>
      <c r="BV22" s="267"/>
      <c r="BW22" s="267"/>
      <c r="BX22" s="267"/>
      <c r="BY22" s="267"/>
      <c r="BZ22" s="267"/>
      <c r="CA22" s="267"/>
      <c r="CB22" s="267"/>
      <c r="CC22" s="267"/>
      <c r="CD22" s="267"/>
      <c r="CE22" s="267"/>
      <c r="CF22" s="267"/>
      <c r="CG22" s="267"/>
      <c r="CH22" s="267"/>
      <c r="CI22" s="267"/>
      <c r="CJ22" s="267"/>
      <c r="CK22" s="267"/>
      <c r="CL22" s="267"/>
      <c r="CM22" s="267"/>
      <c r="CN22" s="267"/>
      <c r="CO22" s="267"/>
      <c r="CP22" s="267"/>
      <c r="CQ22" s="267"/>
      <c r="CR22" s="267"/>
      <c r="CS22" s="267"/>
      <c r="CT22" s="267"/>
      <c r="CU22" s="267"/>
      <c r="CV22" s="267"/>
      <c r="CW22" s="267"/>
      <c r="CX22" s="267"/>
      <c r="CY22" s="267"/>
      <c r="CZ22" s="267"/>
      <c r="DA22" s="267"/>
      <c r="DB22" s="267"/>
      <c r="DC22" s="267"/>
      <c r="DD22" s="267"/>
      <c r="DE22" s="267"/>
      <c r="DF22" s="267"/>
      <c r="DG22" s="267"/>
      <c r="DH22" s="267"/>
      <c r="DI22" s="267"/>
      <c r="DJ22" s="267"/>
      <c r="DK22" s="267"/>
      <c r="DL22" s="267"/>
      <c r="DM22" s="267"/>
      <c r="DN22" s="267"/>
      <c r="DO22" s="267"/>
      <c r="DP22" s="267"/>
      <c r="DQ22" s="267"/>
      <c r="DR22" s="267"/>
      <c r="DS22" s="267"/>
      <c r="DT22" s="267"/>
      <c r="DU22" s="267"/>
      <c r="DV22" s="267"/>
      <c r="DW22" s="267"/>
      <c r="DX22" s="267"/>
      <c r="DY22" s="267"/>
      <c r="DZ22" s="267"/>
      <c r="EA22" s="267"/>
      <c r="EB22" s="267"/>
      <c r="EC22" s="267"/>
      <c r="ED22" s="267"/>
      <c r="EE22" s="267"/>
      <c r="EF22" s="267"/>
      <c r="EG22" s="267"/>
      <c r="EH22" s="267"/>
      <c r="EI22" s="267"/>
      <c r="EJ22" s="267"/>
      <c r="EK22" s="267"/>
      <c r="EL22" s="267"/>
      <c r="EM22" s="267"/>
      <c r="EN22" s="267"/>
      <c r="EO22" s="267"/>
      <c r="EP22" s="267"/>
      <c r="EQ22" s="267"/>
      <c r="ER22" s="267"/>
      <c r="ES22" s="267"/>
      <c r="ET22" s="267"/>
      <c r="EU22" s="267"/>
      <c r="EV22" s="267"/>
      <c r="EW22" s="267"/>
      <c r="EX22" s="267"/>
      <c r="EY22" s="267"/>
      <c r="EZ22" s="267"/>
      <c r="FA22" s="267"/>
      <c r="FB22" s="267"/>
      <c r="FC22" s="267"/>
      <c r="FD22" s="267"/>
      <c r="FE22" s="267"/>
      <c r="FF22" s="267"/>
      <c r="FG22" s="267"/>
      <c r="FH22" s="267"/>
      <c r="FI22" s="267"/>
      <c r="FJ22" s="267"/>
      <c r="FK22" s="267"/>
      <c r="FL22" s="267"/>
      <c r="FM22" s="267"/>
      <c r="FN22" s="267"/>
      <c r="FO22" s="267"/>
      <c r="FP22" s="267"/>
      <c r="FQ22" s="267"/>
      <c r="FR22" s="267"/>
      <c r="FS22" s="267"/>
      <c r="FT22" s="267"/>
      <c r="FU22" s="267"/>
      <c r="FV22" s="267"/>
      <c r="FW22" s="267"/>
      <c r="FX22" s="267"/>
      <c r="FY22" s="267"/>
      <c r="FZ22" s="267"/>
      <c r="GA22" s="267"/>
      <c r="GB22" s="267"/>
      <c r="GC22" s="267"/>
      <c r="GD22" s="267"/>
      <c r="GE22" s="267"/>
      <c r="GF22" s="267"/>
      <c r="GG22" s="267"/>
      <c r="GH22" s="267"/>
      <c r="GI22" s="267"/>
      <c r="GJ22" s="267"/>
      <c r="GK22" s="267"/>
      <c r="GL22" s="267"/>
      <c r="GM22" s="267"/>
      <c r="GN22" s="267"/>
      <c r="GO22" s="267"/>
      <c r="GP22" s="267"/>
      <c r="GQ22" s="267"/>
      <c r="GR22" s="267"/>
      <c r="GS22" s="267"/>
      <c r="GT22" s="267"/>
      <c r="GU22" s="267"/>
      <c r="GV22" s="267"/>
      <c r="GW22" s="267"/>
      <c r="GX22" s="267"/>
      <c r="GY22" s="267"/>
      <c r="GZ22" s="267"/>
      <c r="HA22" s="267"/>
      <c r="HB22" s="267"/>
      <c r="HC22" s="267"/>
      <c r="HD22" s="267"/>
      <c r="HE22" s="267"/>
      <c r="HF22" s="267"/>
      <c r="HG22" s="267"/>
      <c r="HH22" s="267"/>
      <c r="HI22" s="267"/>
      <c r="HJ22" s="267"/>
      <c r="HK22" s="267"/>
      <c r="HL22" s="267"/>
      <c r="HM22" s="267"/>
      <c r="HN22" s="267"/>
      <c r="HO22" s="267"/>
      <c r="HP22" s="267"/>
      <c r="HQ22" s="267"/>
      <c r="HR22" s="267"/>
      <c r="HS22" s="267"/>
      <c r="HT22" s="267"/>
      <c r="HU22" s="267"/>
      <c r="HV22" s="267"/>
      <c r="HW22" s="267"/>
      <c r="HX22" s="267"/>
      <c r="HY22" s="267"/>
      <c r="HZ22" s="267"/>
      <c r="IA22" s="267"/>
      <c r="IB22" s="267"/>
      <c r="IC22" s="267"/>
      <c r="ID22" s="267"/>
      <c r="IE22" s="267"/>
      <c r="IF22" s="267"/>
      <c r="IG22" s="267"/>
      <c r="IH22" s="267"/>
      <c r="II22" s="267"/>
      <c r="IJ22" s="267"/>
      <c r="IK22" s="267"/>
      <c r="IL22" s="267"/>
      <c r="IM22" s="267"/>
      <c r="IN22" s="267"/>
      <c r="IO22" s="267"/>
      <c r="IP22" s="267"/>
      <c r="IQ22" s="267"/>
      <c r="IR22" s="267"/>
      <c r="IS22" s="267"/>
      <c r="IT22" s="267"/>
      <c r="IU22" s="267"/>
      <c r="IV22" s="267"/>
    </row>
    <row r="23" spans="1:256" s="433" customFormat="1" ht="18" customHeight="1">
      <c r="A23" s="447">
        <v>15</v>
      </c>
      <c r="B23" s="441"/>
      <c r="C23" s="268"/>
      <c r="D23" s="520" t="s">
        <v>283</v>
      </c>
      <c r="E23" s="276">
        <f>F23+G23+O23+P23+22650</f>
        <v>906000</v>
      </c>
      <c r="F23" s="437">
        <v>5906</v>
      </c>
      <c r="G23" s="277">
        <v>14982</v>
      </c>
      <c r="H23" s="526"/>
      <c r="I23" s="524"/>
      <c r="J23" s="517"/>
      <c r="K23" s="517">
        <v>17063</v>
      </c>
      <c r="L23" s="517"/>
      <c r="M23" s="517">
        <v>845399</v>
      </c>
      <c r="N23" s="538"/>
      <c r="O23" s="510">
        <f>SUM(I23:N23)</f>
        <v>862462</v>
      </c>
      <c r="P23" s="438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  <c r="BI23" s="267"/>
      <c r="BJ23" s="267"/>
      <c r="BK23" s="267"/>
      <c r="BL23" s="267"/>
      <c r="BM23" s="267"/>
      <c r="BN23" s="267"/>
      <c r="BO23" s="267"/>
      <c r="BP23" s="267"/>
      <c r="BQ23" s="267"/>
      <c r="BR23" s="267"/>
      <c r="BS23" s="267"/>
      <c r="BT23" s="267"/>
      <c r="BU23" s="267"/>
      <c r="BV23" s="267"/>
      <c r="BW23" s="267"/>
      <c r="BX23" s="267"/>
      <c r="BY23" s="267"/>
      <c r="BZ23" s="267"/>
      <c r="CA23" s="267"/>
      <c r="CB23" s="267"/>
      <c r="CC23" s="267"/>
      <c r="CD23" s="267"/>
      <c r="CE23" s="267"/>
      <c r="CF23" s="267"/>
      <c r="CG23" s="267"/>
      <c r="CH23" s="267"/>
      <c r="CI23" s="267"/>
      <c r="CJ23" s="267"/>
      <c r="CK23" s="267"/>
      <c r="CL23" s="267"/>
      <c r="CM23" s="267"/>
      <c r="CN23" s="267"/>
      <c r="CO23" s="267"/>
      <c r="CP23" s="267"/>
      <c r="CQ23" s="267"/>
      <c r="CR23" s="267"/>
      <c r="CS23" s="267"/>
      <c r="CT23" s="267"/>
      <c r="CU23" s="267"/>
      <c r="CV23" s="267"/>
      <c r="CW23" s="267"/>
      <c r="CX23" s="267"/>
      <c r="CY23" s="267"/>
      <c r="CZ23" s="267"/>
      <c r="DA23" s="267"/>
      <c r="DB23" s="267"/>
      <c r="DC23" s="267"/>
      <c r="DD23" s="267"/>
      <c r="DE23" s="267"/>
      <c r="DF23" s="267"/>
      <c r="DG23" s="267"/>
      <c r="DH23" s="267"/>
      <c r="DI23" s="267"/>
      <c r="DJ23" s="267"/>
      <c r="DK23" s="267"/>
      <c r="DL23" s="267"/>
      <c r="DM23" s="267"/>
      <c r="DN23" s="267"/>
      <c r="DO23" s="267"/>
      <c r="DP23" s="267"/>
      <c r="DQ23" s="267"/>
      <c r="DR23" s="267"/>
      <c r="DS23" s="267"/>
      <c r="DT23" s="267"/>
      <c r="DU23" s="267"/>
      <c r="DV23" s="267"/>
      <c r="DW23" s="267"/>
      <c r="DX23" s="267"/>
      <c r="DY23" s="267"/>
      <c r="DZ23" s="267"/>
      <c r="EA23" s="267"/>
      <c r="EB23" s="267"/>
      <c r="EC23" s="267"/>
      <c r="ED23" s="267"/>
      <c r="EE23" s="267"/>
      <c r="EF23" s="267"/>
      <c r="EG23" s="267"/>
      <c r="EH23" s="267"/>
      <c r="EI23" s="267"/>
      <c r="EJ23" s="267"/>
      <c r="EK23" s="267"/>
      <c r="EL23" s="267"/>
      <c r="EM23" s="267"/>
      <c r="EN23" s="267"/>
      <c r="EO23" s="267"/>
      <c r="EP23" s="267"/>
      <c r="EQ23" s="267"/>
      <c r="ER23" s="267"/>
      <c r="ES23" s="267"/>
      <c r="ET23" s="267"/>
      <c r="EU23" s="267"/>
      <c r="EV23" s="267"/>
      <c r="EW23" s="267"/>
      <c r="EX23" s="267"/>
      <c r="EY23" s="267"/>
      <c r="EZ23" s="267"/>
      <c r="FA23" s="267"/>
      <c r="FB23" s="267"/>
      <c r="FC23" s="267"/>
      <c r="FD23" s="267"/>
      <c r="FE23" s="267"/>
      <c r="FF23" s="267"/>
      <c r="FG23" s="267"/>
      <c r="FH23" s="267"/>
      <c r="FI23" s="267"/>
      <c r="FJ23" s="267"/>
      <c r="FK23" s="267"/>
      <c r="FL23" s="267"/>
      <c r="FM23" s="267"/>
      <c r="FN23" s="267"/>
      <c r="FO23" s="267"/>
      <c r="FP23" s="267"/>
      <c r="FQ23" s="267"/>
      <c r="FR23" s="267"/>
      <c r="FS23" s="267"/>
      <c r="FT23" s="267"/>
      <c r="FU23" s="267"/>
      <c r="FV23" s="267"/>
      <c r="FW23" s="267"/>
      <c r="FX23" s="267"/>
      <c r="FY23" s="267"/>
      <c r="FZ23" s="267"/>
      <c r="GA23" s="267"/>
      <c r="GB23" s="267"/>
      <c r="GC23" s="267"/>
      <c r="GD23" s="267"/>
      <c r="GE23" s="267"/>
      <c r="GF23" s="267"/>
      <c r="GG23" s="267"/>
      <c r="GH23" s="267"/>
      <c r="GI23" s="267"/>
      <c r="GJ23" s="267"/>
      <c r="GK23" s="267"/>
      <c r="GL23" s="267"/>
      <c r="GM23" s="267"/>
      <c r="GN23" s="267"/>
      <c r="GO23" s="267"/>
      <c r="GP23" s="267"/>
      <c r="GQ23" s="267"/>
      <c r="GR23" s="267"/>
      <c r="GS23" s="267"/>
      <c r="GT23" s="267"/>
      <c r="GU23" s="267"/>
      <c r="GV23" s="267"/>
      <c r="GW23" s="267"/>
      <c r="GX23" s="267"/>
      <c r="GY23" s="267"/>
      <c r="GZ23" s="267"/>
      <c r="HA23" s="267"/>
      <c r="HB23" s="267"/>
      <c r="HC23" s="267"/>
      <c r="HD23" s="267"/>
      <c r="HE23" s="267"/>
      <c r="HF23" s="267"/>
      <c r="HG23" s="267"/>
      <c r="HH23" s="267"/>
      <c r="HI23" s="267"/>
      <c r="HJ23" s="267"/>
      <c r="HK23" s="267"/>
      <c r="HL23" s="267"/>
      <c r="HM23" s="267"/>
      <c r="HN23" s="267"/>
      <c r="HO23" s="267"/>
      <c r="HP23" s="267"/>
      <c r="HQ23" s="267"/>
      <c r="HR23" s="267"/>
      <c r="HS23" s="267"/>
      <c r="HT23" s="267"/>
      <c r="HU23" s="267"/>
      <c r="HV23" s="267"/>
      <c r="HW23" s="267"/>
      <c r="HX23" s="267"/>
      <c r="HY23" s="267"/>
      <c r="HZ23" s="267"/>
      <c r="IA23" s="267"/>
      <c r="IB23" s="267"/>
      <c r="IC23" s="267"/>
      <c r="ID23" s="267"/>
      <c r="IE23" s="267"/>
      <c r="IF23" s="267"/>
      <c r="IG23" s="267"/>
      <c r="IH23" s="267"/>
      <c r="II23" s="267"/>
      <c r="IJ23" s="267"/>
      <c r="IK23" s="267"/>
      <c r="IL23" s="267"/>
      <c r="IM23" s="267"/>
      <c r="IN23" s="267"/>
      <c r="IO23" s="267"/>
      <c r="IP23" s="267"/>
      <c r="IQ23" s="267"/>
      <c r="IR23" s="267"/>
      <c r="IS23" s="267"/>
      <c r="IT23" s="267"/>
      <c r="IU23" s="267"/>
      <c r="IV23" s="267"/>
    </row>
    <row r="24" spans="1:16" ht="22.5" customHeight="1">
      <c r="A24" s="447">
        <v>16</v>
      </c>
      <c r="B24" s="371"/>
      <c r="C24" s="285">
        <v>8</v>
      </c>
      <c r="D24" s="444" t="s">
        <v>503</v>
      </c>
      <c r="E24" s="276"/>
      <c r="F24" s="437"/>
      <c r="G24" s="277"/>
      <c r="H24" s="526" t="s">
        <v>24</v>
      </c>
      <c r="I24" s="524"/>
      <c r="J24" s="517"/>
      <c r="K24" s="517"/>
      <c r="L24" s="517"/>
      <c r="M24" s="517"/>
      <c r="N24" s="538"/>
      <c r="O24" s="510"/>
      <c r="P24" s="438"/>
    </row>
    <row r="25" spans="1:256" s="433" customFormat="1" ht="18" customHeight="1">
      <c r="A25" s="447">
        <v>17</v>
      </c>
      <c r="B25" s="441"/>
      <c r="C25" s="285"/>
      <c r="D25" s="520" t="s">
        <v>283</v>
      </c>
      <c r="E25" s="276">
        <f>F25+G25+O25+P25</f>
        <v>2906300</v>
      </c>
      <c r="F25" s="437">
        <v>3428</v>
      </c>
      <c r="G25" s="277">
        <f>20071+1728</f>
        <v>21799</v>
      </c>
      <c r="H25" s="526"/>
      <c r="I25" s="524"/>
      <c r="J25" s="517"/>
      <c r="K25" s="517">
        <v>60487</v>
      </c>
      <c r="L25" s="517"/>
      <c r="M25" s="517">
        <v>2820586</v>
      </c>
      <c r="N25" s="538"/>
      <c r="O25" s="510">
        <f>SUM(I25:N25)</f>
        <v>2881073</v>
      </c>
      <c r="P25" s="438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A25" s="267"/>
      <c r="BB25" s="267"/>
      <c r="BC25" s="267"/>
      <c r="BD25" s="267"/>
      <c r="BE25" s="267"/>
      <c r="BF25" s="267"/>
      <c r="BG25" s="267"/>
      <c r="BH25" s="267"/>
      <c r="BI25" s="267"/>
      <c r="BJ25" s="267"/>
      <c r="BK25" s="267"/>
      <c r="BL25" s="267"/>
      <c r="BM25" s="267"/>
      <c r="BN25" s="267"/>
      <c r="BO25" s="267"/>
      <c r="BP25" s="267"/>
      <c r="BQ25" s="267"/>
      <c r="BR25" s="267"/>
      <c r="BS25" s="267"/>
      <c r="BT25" s="267"/>
      <c r="BU25" s="267"/>
      <c r="BV25" s="267"/>
      <c r="BW25" s="267"/>
      <c r="BX25" s="267"/>
      <c r="BY25" s="267"/>
      <c r="BZ25" s="267"/>
      <c r="CA25" s="267"/>
      <c r="CB25" s="267"/>
      <c r="CC25" s="267"/>
      <c r="CD25" s="267"/>
      <c r="CE25" s="267"/>
      <c r="CF25" s="267"/>
      <c r="CG25" s="267"/>
      <c r="CH25" s="267"/>
      <c r="CI25" s="267"/>
      <c r="CJ25" s="267"/>
      <c r="CK25" s="267"/>
      <c r="CL25" s="267"/>
      <c r="CM25" s="267"/>
      <c r="CN25" s="267"/>
      <c r="CO25" s="267"/>
      <c r="CP25" s="267"/>
      <c r="CQ25" s="267"/>
      <c r="CR25" s="267"/>
      <c r="CS25" s="267"/>
      <c r="CT25" s="267"/>
      <c r="CU25" s="267"/>
      <c r="CV25" s="267"/>
      <c r="CW25" s="267"/>
      <c r="CX25" s="267"/>
      <c r="CY25" s="267"/>
      <c r="CZ25" s="267"/>
      <c r="DA25" s="267"/>
      <c r="DB25" s="267"/>
      <c r="DC25" s="267"/>
      <c r="DD25" s="267"/>
      <c r="DE25" s="267"/>
      <c r="DF25" s="267"/>
      <c r="DG25" s="267"/>
      <c r="DH25" s="267"/>
      <c r="DI25" s="267"/>
      <c r="DJ25" s="267"/>
      <c r="DK25" s="267"/>
      <c r="DL25" s="267"/>
      <c r="DM25" s="267"/>
      <c r="DN25" s="267"/>
      <c r="DO25" s="267"/>
      <c r="DP25" s="267"/>
      <c r="DQ25" s="267"/>
      <c r="DR25" s="267"/>
      <c r="DS25" s="267"/>
      <c r="DT25" s="267"/>
      <c r="DU25" s="267"/>
      <c r="DV25" s="267"/>
      <c r="DW25" s="267"/>
      <c r="DX25" s="267"/>
      <c r="DY25" s="267"/>
      <c r="DZ25" s="267"/>
      <c r="EA25" s="267"/>
      <c r="EB25" s="267"/>
      <c r="EC25" s="267"/>
      <c r="ED25" s="267"/>
      <c r="EE25" s="267"/>
      <c r="EF25" s="267"/>
      <c r="EG25" s="267"/>
      <c r="EH25" s="267"/>
      <c r="EI25" s="267"/>
      <c r="EJ25" s="267"/>
      <c r="EK25" s="267"/>
      <c r="EL25" s="267"/>
      <c r="EM25" s="267"/>
      <c r="EN25" s="267"/>
      <c r="EO25" s="267"/>
      <c r="EP25" s="267"/>
      <c r="EQ25" s="267"/>
      <c r="ER25" s="267"/>
      <c r="ES25" s="267"/>
      <c r="ET25" s="267"/>
      <c r="EU25" s="267"/>
      <c r="EV25" s="267"/>
      <c r="EW25" s="267"/>
      <c r="EX25" s="267"/>
      <c r="EY25" s="267"/>
      <c r="EZ25" s="267"/>
      <c r="FA25" s="267"/>
      <c r="FB25" s="267"/>
      <c r="FC25" s="267"/>
      <c r="FD25" s="267"/>
      <c r="FE25" s="267"/>
      <c r="FF25" s="267"/>
      <c r="FG25" s="267"/>
      <c r="FH25" s="267"/>
      <c r="FI25" s="267"/>
      <c r="FJ25" s="267"/>
      <c r="FK25" s="267"/>
      <c r="FL25" s="267"/>
      <c r="FM25" s="267"/>
      <c r="FN25" s="267"/>
      <c r="FO25" s="267"/>
      <c r="FP25" s="267"/>
      <c r="FQ25" s="267"/>
      <c r="FR25" s="267"/>
      <c r="FS25" s="267"/>
      <c r="FT25" s="267"/>
      <c r="FU25" s="267"/>
      <c r="FV25" s="267"/>
      <c r="FW25" s="267"/>
      <c r="FX25" s="267"/>
      <c r="FY25" s="267"/>
      <c r="FZ25" s="267"/>
      <c r="GA25" s="267"/>
      <c r="GB25" s="267"/>
      <c r="GC25" s="267"/>
      <c r="GD25" s="267"/>
      <c r="GE25" s="267"/>
      <c r="GF25" s="267"/>
      <c r="GG25" s="267"/>
      <c r="GH25" s="267"/>
      <c r="GI25" s="267"/>
      <c r="GJ25" s="267"/>
      <c r="GK25" s="267"/>
      <c r="GL25" s="267"/>
      <c r="GM25" s="267"/>
      <c r="GN25" s="267"/>
      <c r="GO25" s="267"/>
      <c r="GP25" s="267"/>
      <c r="GQ25" s="267"/>
      <c r="GR25" s="267"/>
      <c r="GS25" s="267"/>
      <c r="GT25" s="267"/>
      <c r="GU25" s="267"/>
      <c r="GV25" s="267"/>
      <c r="GW25" s="267"/>
      <c r="GX25" s="267"/>
      <c r="GY25" s="267"/>
      <c r="GZ25" s="267"/>
      <c r="HA25" s="267"/>
      <c r="HB25" s="267"/>
      <c r="HC25" s="267"/>
      <c r="HD25" s="267"/>
      <c r="HE25" s="267"/>
      <c r="HF25" s="267"/>
      <c r="HG25" s="267"/>
      <c r="HH25" s="267"/>
      <c r="HI25" s="267"/>
      <c r="HJ25" s="267"/>
      <c r="HK25" s="267"/>
      <c r="HL25" s="267"/>
      <c r="HM25" s="267"/>
      <c r="HN25" s="267"/>
      <c r="HO25" s="267"/>
      <c r="HP25" s="267"/>
      <c r="HQ25" s="267"/>
      <c r="HR25" s="267"/>
      <c r="HS25" s="267"/>
      <c r="HT25" s="267"/>
      <c r="HU25" s="267"/>
      <c r="HV25" s="267"/>
      <c r="HW25" s="267"/>
      <c r="HX25" s="267"/>
      <c r="HY25" s="267"/>
      <c r="HZ25" s="267"/>
      <c r="IA25" s="267"/>
      <c r="IB25" s="267"/>
      <c r="IC25" s="267"/>
      <c r="ID25" s="267"/>
      <c r="IE25" s="267"/>
      <c r="IF25" s="267"/>
      <c r="IG25" s="267"/>
      <c r="IH25" s="267"/>
      <c r="II25" s="267"/>
      <c r="IJ25" s="267"/>
      <c r="IK25" s="267"/>
      <c r="IL25" s="267"/>
      <c r="IM25" s="267"/>
      <c r="IN25" s="267"/>
      <c r="IO25" s="267"/>
      <c r="IP25" s="267"/>
      <c r="IQ25" s="267"/>
      <c r="IR25" s="267"/>
      <c r="IS25" s="267"/>
      <c r="IT25" s="267"/>
      <c r="IU25" s="267"/>
      <c r="IV25" s="267"/>
    </row>
    <row r="26" spans="1:16" ht="33">
      <c r="A26" s="447">
        <v>18</v>
      </c>
      <c r="B26" s="371"/>
      <c r="C26" s="268">
        <v>9</v>
      </c>
      <c r="D26" s="270" t="s">
        <v>383</v>
      </c>
      <c r="E26" s="276"/>
      <c r="F26" s="437"/>
      <c r="G26" s="277"/>
      <c r="H26" s="526" t="s">
        <v>24</v>
      </c>
      <c r="I26" s="524"/>
      <c r="J26" s="517"/>
      <c r="K26" s="517"/>
      <c r="L26" s="517"/>
      <c r="M26" s="517"/>
      <c r="N26" s="538"/>
      <c r="O26" s="510"/>
      <c r="P26" s="438"/>
    </row>
    <row r="27" spans="1:256" s="433" customFormat="1" ht="18" customHeight="1">
      <c r="A27" s="447">
        <v>19</v>
      </c>
      <c r="B27" s="441"/>
      <c r="C27" s="268"/>
      <c r="D27" s="520" t="s">
        <v>283</v>
      </c>
      <c r="E27" s="276">
        <f>F27+G27+O27+P27</f>
        <v>1629330</v>
      </c>
      <c r="F27" s="437">
        <f>28000+26441+46228</f>
        <v>100669</v>
      </c>
      <c r="G27" s="277">
        <v>12816</v>
      </c>
      <c r="H27" s="526"/>
      <c r="I27" s="524"/>
      <c r="J27" s="517"/>
      <c r="K27" s="517">
        <v>11445</v>
      </c>
      <c r="L27" s="517"/>
      <c r="M27" s="517">
        <v>1504400</v>
      </c>
      <c r="N27" s="538"/>
      <c r="O27" s="510">
        <f>SUM(I27:N27)</f>
        <v>1515845</v>
      </c>
      <c r="P27" s="438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67"/>
      <c r="BK27" s="267"/>
      <c r="BL27" s="267"/>
      <c r="BM27" s="267"/>
      <c r="BN27" s="267"/>
      <c r="BO27" s="267"/>
      <c r="BP27" s="267"/>
      <c r="BQ27" s="267"/>
      <c r="BR27" s="267"/>
      <c r="BS27" s="267"/>
      <c r="BT27" s="267"/>
      <c r="BU27" s="267"/>
      <c r="BV27" s="267"/>
      <c r="BW27" s="267"/>
      <c r="BX27" s="267"/>
      <c r="BY27" s="267"/>
      <c r="BZ27" s="267"/>
      <c r="CA27" s="267"/>
      <c r="CB27" s="267"/>
      <c r="CC27" s="267"/>
      <c r="CD27" s="267"/>
      <c r="CE27" s="267"/>
      <c r="CF27" s="267"/>
      <c r="CG27" s="267"/>
      <c r="CH27" s="267"/>
      <c r="CI27" s="267"/>
      <c r="CJ27" s="267"/>
      <c r="CK27" s="267"/>
      <c r="CL27" s="267"/>
      <c r="CM27" s="267"/>
      <c r="CN27" s="267"/>
      <c r="CO27" s="267"/>
      <c r="CP27" s="267"/>
      <c r="CQ27" s="267"/>
      <c r="CR27" s="267"/>
      <c r="CS27" s="267"/>
      <c r="CT27" s="267"/>
      <c r="CU27" s="267"/>
      <c r="CV27" s="267"/>
      <c r="CW27" s="267"/>
      <c r="CX27" s="267"/>
      <c r="CY27" s="267"/>
      <c r="CZ27" s="267"/>
      <c r="DA27" s="267"/>
      <c r="DB27" s="267"/>
      <c r="DC27" s="267"/>
      <c r="DD27" s="267"/>
      <c r="DE27" s="267"/>
      <c r="DF27" s="267"/>
      <c r="DG27" s="267"/>
      <c r="DH27" s="267"/>
      <c r="DI27" s="267"/>
      <c r="DJ27" s="267"/>
      <c r="DK27" s="267"/>
      <c r="DL27" s="267"/>
      <c r="DM27" s="267"/>
      <c r="DN27" s="267"/>
      <c r="DO27" s="267"/>
      <c r="DP27" s="267"/>
      <c r="DQ27" s="267"/>
      <c r="DR27" s="267"/>
      <c r="DS27" s="267"/>
      <c r="DT27" s="267"/>
      <c r="DU27" s="267"/>
      <c r="DV27" s="267"/>
      <c r="DW27" s="267"/>
      <c r="DX27" s="267"/>
      <c r="DY27" s="267"/>
      <c r="DZ27" s="267"/>
      <c r="EA27" s="267"/>
      <c r="EB27" s="267"/>
      <c r="EC27" s="267"/>
      <c r="ED27" s="267"/>
      <c r="EE27" s="267"/>
      <c r="EF27" s="267"/>
      <c r="EG27" s="267"/>
      <c r="EH27" s="267"/>
      <c r="EI27" s="267"/>
      <c r="EJ27" s="267"/>
      <c r="EK27" s="267"/>
      <c r="EL27" s="267"/>
      <c r="EM27" s="267"/>
      <c r="EN27" s="267"/>
      <c r="EO27" s="267"/>
      <c r="EP27" s="267"/>
      <c r="EQ27" s="267"/>
      <c r="ER27" s="267"/>
      <c r="ES27" s="267"/>
      <c r="ET27" s="267"/>
      <c r="EU27" s="267"/>
      <c r="EV27" s="267"/>
      <c r="EW27" s="267"/>
      <c r="EX27" s="267"/>
      <c r="EY27" s="267"/>
      <c r="EZ27" s="267"/>
      <c r="FA27" s="267"/>
      <c r="FB27" s="267"/>
      <c r="FC27" s="267"/>
      <c r="FD27" s="267"/>
      <c r="FE27" s="267"/>
      <c r="FF27" s="267"/>
      <c r="FG27" s="267"/>
      <c r="FH27" s="267"/>
      <c r="FI27" s="267"/>
      <c r="FJ27" s="267"/>
      <c r="FK27" s="267"/>
      <c r="FL27" s="267"/>
      <c r="FM27" s="267"/>
      <c r="FN27" s="267"/>
      <c r="FO27" s="267"/>
      <c r="FP27" s="267"/>
      <c r="FQ27" s="267"/>
      <c r="FR27" s="267"/>
      <c r="FS27" s="267"/>
      <c r="FT27" s="267"/>
      <c r="FU27" s="267"/>
      <c r="FV27" s="267"/>
      <c r="FW27" s="267"/>
      <c r="FX27" s="267"/>
      <c r="FY27" s="267"/>
      <c r="FZ27" s="267"/>
      <c r="GA27" s="267"/>
      <c r="GB27" s="267"/>
      <c r="GC27" s="267"/>
      <c r="GD27" s="267"/>
      <c r="GE27" s="267"/>
      <c r="GF27" s="267"/>
      <c r="GG27" s="267"/>
      <c r="GH27" s="267"/>
      <c r="GI27" s="267"/>
      <c r="GJ27" s="267"/>
      <c r="GK27" s="267"/>
      <c r="GL27" s="267"/>
      <c r="GM27" s="267"/>
      <c r="GN27" s="267"/>
      <c r="GO27" s="267"/>
      <c r="GP27" s="267"/>
      <c r="GQ27" s="267"/>
      <c r="GR27" s="267"/>
      <c r="GS27" s="267"/>
      <c r="GT27" s="267"/>
      <c r="GU27" s="267"/>
      <c r="GV27" s="267"/>
      <c r="GW27" s="267"/>
      <c r="GX27" s="267"/>
      <c r="GY27" s="267"/>
      <c r="GZ27" s="267"/>
      <c r="HA27" s="267"/>
      <c r="HB27" s="267"/>
      <c r="HC27" s="267"/>
      <c r="HD27" s="267"/>
      <c r="HE27" s="267"/>
      <c r="HF27" s="267"/>
      <c r="HG27" s="267"/>
      <c r="HH27" s="267"/>
      <c r="HI27" s="267"/>
      <c r="HJ27" s="267"/>
      <c r="HK27" s="267"/>
      <c r="HL27" s="267"/>
      <c r="HM27" s="267"/>
      <c r="HN27" s="267"/>
      <c r="HO27" s="267"/>
      <c r="HP27" s="267"/>
      <c r="HQ27" s="267"/>
      <c r="HR27" s="267"/>
      <c r="HS27" s="267"/>
      <c r="HT27" s="267"/>
      <c r="HU27" s="267"/>
      <c r="HV27" s="267"/>
      <c r="HW27" s="267"/>
      <c r="HX27" s="267"/>
      <c r="HY27" s="267"/>
      <c r="HZ27" s="267"/>
      <c r="IA27" s="267"/>
      <c r="IB27" s="267"/>
      <c r="IC27" s="267"/>
      <c r="ID27" s="267"/>
      <c r="IE27" s="267"/>
      <c r="IF27" s="267"/>
      <c r="IG27" s="267"/>
      <c r="IH27" s="267"/>
      <c r="II27" s="267"/>
      <c r="IJ27" s="267"/>
      <c r="IK27" s="267"/>
      <c r="IL27" s="267"/>
      <c r="IM27" s="267"/>
      <c r="IN27" s="267"/>
      <c r="IO27" s="267"/>
      <c r="IP27" s="267"/>
      <c r="IQ27" s="267"/>
      <c r="IR27" s="267"/>
      <c r="IS27" s="267"/>
      <c r="IT27" s="267"/>
      <c r="IU27" s="267"/>
      <c r="IV27" s="267"/>
    </row>
    <row r="28" spans="1:16" ht="54" customHeight="1">
      <c r="A28" s="447">
        <v>20</v>
      </c>
      <c r="B28" s="371"/>
      <c r="C28" s="268">
        <v>10</v>
      </c>
      <c r="D28" s="270" t="s">
        <v>430</v>
      </c>
      <c r="E28" s="276"/>
      <c r="F28" s="437"/>
      <c r="G28" s="277"/>
      <c r="H28" s="526" t="s">
        <v>24</v>
      </c>
      <c r="I28" s="524"/>
      <c r="J28" s="517"/>
      <c r="K28" s="517"/>
      <c r="L28" s="517"/>
      <c r="M28" s="517"/>
      <c r="N28" s="538"/>
      <c r="O28" s="510"/>
      <c r="P28" s="438"/>
    </row>
    <row r="29" spans="1:256" s="433" customFormat="1" ht="18" customHeight="1">
      <c r="A29" s="447">
        <v>21</v>
      </c>
      <c r="B29" s="441"/>
      <c r="C29" s="285"/>
      <c r="D29" s="520" t="s">
        <v>283</v>
      </c>
      <c r="E29" s="276">
        <f>F29+G29+O29+P29</f>
        <v>278976</v>
      </c>
      <c r="F29" s="437">
        <f>4379+12827</f>
        <v>17206</v>
      </c>
      <c r="G29" s="277">
        <v>0</v>
      </c>
      <c r="H29" s="526"/>
      <c r="I29" s="524"/>
      <c r="J29" s="517"/>
      <c r="K29" s="517">
        <v>3667</v>
      </c>
      <c r="L29" s="517"/>
      <c r="M29" s="517">
        <v>258103</v>
      </c>
      <c r="N29" s="538"/>
      <c r="O29" s="510">
        <f>SUM(I29:N29)</f>
        <v>261770</v>
      </c>
      <c r="P29" s="438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267"/>
      <c r="BF29" s="267"/>
      <c r="BG29" s="267"/>
      <c r="BH29" s="267"/>
      <c r="BI29" s="267"/>
      <c r="BJ29" s="267"/>
      <c r="BK29" s="267"/>
      <c r="BL29" s="267"/>
      <c r="BM29" s="267"/>
      <c r="BN29" s="267"/>
      <c r="BO29" s="267"/>
      <c r="BP29" s="267"/>
      <c r="BQ29" s="267"/>
      <c r="BR29" s="267"/>
      <c r="BS29" s="267"/>
      <c r="BT29" s="267"/>
      <c r="BU29" s="267"/>
      <c r="BV29" s="267"/>
      <c r="BW29" s="267"/>
      <c r="BX29" s="267"/>
      <c r="BY29" s="267"/>
      <c r="BZ29" s="267"/>
      <c r="CA29" s="267"/>
      <c r="CB29" s="267"/>
      <c r="CC29" s="267"/>
      <c r="CD29" s="267"/>
      <c r="CE29" s="267"/>
      <c r="CF29" s="267"/>
      <c r="CG29" s="267"/>
      <c r="CH29" s="267"/>
      <c r="CI29" s="267"/>
      <c r="CJ29" s="267"/>
      <c r="CK29" s="267"/>
      <c r="CL29" s="267"/>
      <c r="CM29" s="267"/>
      <c r="CN29" s="267"/>
      <c r="CO29" s="267"/>
      <c r="CP29" s="267"/>
      <c r="CQ29" s="267"/>
      <c r="CR29" s="267"/>
      <c r="CS29" s="267"/>
      <c r="CT29" s="267"/>
      <c r="CU29" s="267"/>
      <c r="CV29" s="267"/>
      <c r="CW29" s="267"/>
      <c r="CX29" s="267"/>
      <c r="CY29" s="267"/>
      <c r="CZ29" s="267"/>
      <c r="DA29" s="267"/>
      <c r="DB29" s="267"/>
      <c r="DC29" s="267"/>
      <c r="DD29" s="267"/>
      <c r="DE29" s="267"/>
      <c r="DF29" s="267"/>
      <c r="DG29" s="267"/>
      <c r="DH29" s="267"/>
      <c r="DI29" s="267"/>
      <c r="DJ29" s="267"/>
      <c r="DK29" s="267"/>
      <c r="DL29" s="267"/>
      <c r="DM29" s="267"/>
      <c r="DN29" s="267"/>
      <c r="DO29" s="267"/>
      <c r="DP29" s="267"/>
      <c r="DQ29" s="267"/>
      <c r="DR29" s="267"/>
      <c r="DS29" s="267"/>
      <c r="DT29" s="267"/>
      <c r="DU29" s="267"/>
      <c r="DV29" s="267"/>
      <c r="DW29" s="267"/>
      <c r="DX29" s="267"/>
      <c r="DY29" s="267"/>
      <c r="DZ29" s="267"/>
      <c r="EA29" s="267"/>
      <c r="EB29" s="267"/>
      <c r="EC29" s="267"/>
      <c r="ED29" s="267"/>
      <c r="EE29" s="267"/>
      <c r="EF29" s="267"/>
      <c r="EG29" s="267"/>
      <c r="EH29" s="267"/>
      <c r="EI29" s="267"/>
      <c r="EJ29" s="267"/>
      <c r="EK29" s="267"/>
      <c r="EL29" s="267"/>
      <c r="EM29" s="267"/>
      <c r="EN29" s="267"/>
      <c r="EO29" s="267"/>
      <c r="EP29" s="267"/>
      <c r="EQ29" s="267"/>
      <c r="ER29" s="267"/>
      <c r="ES29" s="267"/>
      <c r="ET29" s="267"/>
      <c r="EU29" s="267"/>
      <c r="EV29" s="267"/>
      <c r="EW29" s="267"/>
      <c r="EX29" s="267"/>
      <c r="EY29" s="267"/>
      <c r="EZ29" s="267"/>
      <c r="FA29" s="267"/>
      <c r="FB29" s="267"/>
      <c r="FC29" s="267"/>
      <c r="FD29" s="267"/>
      <c r="FE29" s="267"/>
      <c r="FF29" s="267"/>
      <c r="FG29" s="267"/>
      <c r="FH29" s="267"/>
      <c r="FI29" s="267"/>
      <c r="FJ29" s="267"/>
      <c r="FK29" s="267"/>
      <c r="FL29" s="267"/>
      <c r="FM29" s="267"/>
      <c r="FN29" s="267"/>
      <c r="FO29" s="267"/>
      <c r="FP29" s="267"/>
      <c r="FQ29" s="267"/>
      <c r="FR29" s="267"/>
      <c r="FS29" s="267"/>
      <c r="FT29" s="267"/>
      <c r="FU29" s="267"/>
      <c r="FV29" s="267"/>
      <c r="FW29" s="267"/>
      <c r="FX29" s="267"/>
      <c r="FY29" s="267"/>
      <c r="FZ29" s="267"/>
      <c r="GA29" s="267"/>
      <c r="GB29" s="267"/>
      <c r="GC29" s="267"/>
      <c r="GD29" s="267"/>
      <c r="GE29" s="267"/>
      <c r="GF29" s="267"/>
      <c r="GG29" s="267"/>
      <c r="GH29" s="267"/>
      <c r="GI29" s="267"/>
      <c r="GJ29" s="267"/>
      <c r="GK29" s="267"/>
      <c r="GL29" s="267"/>
      <c r="GM29" s="267"/>
      <c r="GN29" s="267"/>
      <c r="GO29" s="267"/>
      <c r="GP29" s="267"/>
      <c r="GQ29" s="267"/>
      <c r="GR29" s="267"/>
      <c r="GS29" s="267"/>
      <c r="GT29" s="267"/>
      <c r="GU29" s="267"/>
      <c r="GV29" s="267"/>
      <c r="GW29" s="267"/>
      <c r="GX29" s="267"/>
      <c r="GY29" s="267"/>
      <c r="GZ29" s="267"/>
      <c r="HA29" s="267"/>
      <c r="HB29" s="267"/>
      <c r="HC29" s="267"/>
      <c r="HD29" s="267"/>
      <c r="HE29" s="267"/>
      <c r="HF29" s="267"/>
      <c r="HG29" s="267"/>
      <c r="HH29" s="267"/>
      <c r="HI29" s="267"/>
      <c r="HJ29" s="267"/>
      <c r="HK29" s="267"/>
      <c r="HL29" s="267"/>
      <c r="HM29" s="267"/>
      <c r="HN29" s="267"/>
      <c r="HO29" s="267"/>
      <c r="HP29" s="267"/>
      <c r="HQ29" s="267"/>
      <c r="HR29" s="267"/>
      <c r="HS29" s="267"/>
      <c r="HT29" s="267"/>
      <c r="HU29" s="267"/>
      <c r="HV29" s="267"/>
      <c r="HW29" s="267"/>
      <c r="HX29" s="267"/>
      <c r="HY29" s="267"/>
      <c r="HZ29" s="267"/>
      <c r="IA29" s="267"/>
      <c r="IB29" s="267"/>
      <c r="IC29" s="267"/>
      <c r="ID29" s="267"/>
      <c r="IE29" s="267"/>
      <c r="IF29" s="267"/>
      <c r="IG29" s="267"/>
      <c r="IH29" s="267"/>
      <c r="II29" s="267"/>
      <c r="IJ29" s="267"/>
      <c r="IK29" s="267"/>
      <c r="IL29" s="267"/>
      <c r="IM29" s="267"/>
      <c r="IN29" s="267"/>
      <c r="IO29" s="267"/>
      <c r="IP29" s="267"/>
      <c r="IQ29" s="267"/>
      <c r="IR29" s="267"/>
      <c r="IS29" s="267"/>
      <c r="IT29" s="267"/>
      <c r="IU29" s="267"/>
      <c r="IV29" s="267"/>
    </row>
    <row r="30" spans="1:16" ht="36.75" customHeight="1">
      <c r="A30" s="447">
        <v>22</v>
      </c>
      <c r="B30" s="371"/>
      <c r="C30" s="268">
        <v>11</v>
      </c>
      <c r="D30" s="270" t="s">
        <v>482</v>
      </c>
      <c r="E30" s="276"/>
      <c r="F30" s="437"/>
      <c r="G30" s="277"/>
      <c r="H30" s="526" t="s">
        <v>24</v>
      </c>
      <c r="I30" s="524"/>
      <c r="J30" s="517"/>
      <c r="K30" s="517"/>
      <c r="L30" s="517"/>
      <c r="M30" s="517"/>
      <c r="N30" s="538"/>
      <c r="O30" s="510"/>
      <c r="P30" s="438"/>
    </row>
    <row r="31" spans="1:256" s="433" customFormat="1" ht="18" customHeight="1">
      <c r="A31" s="447">
        <v>23</v>
      </c>
      <c r="B31" s="441"/>
      <c r="C31" s="268"/>
      <c r="D31" s="520" t="s">
        <v>283</v>
      </c>
      <c r="E31" s="276">
        <f>F31+G31+O31+P31+38331+66535</f>
        <v>184000</v>
      </c>
      <c r="F31" s="437">
        <f>9200+10675+19540</f>
        <v>39415</v>
      </c>
      <c r="G31" s="277">
        <v>18104</v>
      </c>
      <c r="H31" s="526"/>
      <c r="I31" s="524"/>
      <c r="J31" s="517"/>
      <c r="K31" s="517">
        <v>21615</v>
      </c>
      <c r="L31" s="517"/>
      <c r="M31" s="517"/>
      <c r="N31" s="538"/>
      <c r="O31" s="510">
        <f>SUM(I31:N31)</f>
        <v>21615</v>
      </c>
      <c r="P31" s="438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  <c r="BF31" s="267"/>
      <c r="BG31" s="267"/>
      <c r="BH31" s="267"/>
      <c r="BI31" s="267"/>
      <c r="BJ31" s="267"/>
      <c r="BK31" s="267"/>
      <c r="BL31" s="267"/>
      <c r="BM31" s="267"/>
      <c r="BN31" s="267"/>
      <c r="BO31" s="267"/>
      <c r="BP31" s="267"/>
      <c r="BQ31" s="267"/>
      <c r="BR31" s="267"/>
      <c r="BS31" s="267"/>
      <c r="BT31" s="267"/>
      <c r="BU31" s="267"/>
      <c r="BV31" s="267"/>
      <c r="BW31" s="267"/>
      <c r="BX31" s="267"/>
      <c r="BY31" s="267"/>
      <c r="BZ31" s="267"/>
      <c r="CA31" s="267"/>
      <c r="CB31" s="267"/>
      <c r="CC31" s="267"/>
      <c r="CD31" s="267"/>
      <c r="CE31" s="267"/>
      <c r="CF31" s="267"/>
      <c r="CG31" s="267"/>
      <c r="CH31" s="267"/>
      <c r="CI31" s="267"/>
      <c r="CJ31" s="267"/>
      <c r="CK31" s="267"/>
      <c r="CL31" s="267"/>
      <c r="CM31" s="267"/>
      <c r="CN31" s="267"/>
      <c r="CO31" s="267"/>
      <c r="CP31" s="267"/>
      <c r="CQ31" s="267"/>
      <c r="CR31" s="267"/>
      <c r="CS31" s="267"/>
      <c r="CT31" s="267"/>
      <c r="CU31" s="267"/>
      <c r="CV31" s="267"/>
      <c r="CW31" s="267"/>
      <c r="CX31" s="267"/>
      <c r="CY31" s="267"/>
      <c r="CZ31" s="267"/>
      <c r="DA31" s="267"/>
      <c r="DB31" s="267"/>
      <c r="DC31" s="267"/>
      <c r="DD31" s="267"/>
      <c r="DE31" s="267"/>
      <c r="DF31" s="267"/>
      <c r="DG31" s="267"/>
      <c r="DH31" s="267"/>
      <c r="DI31" s="267"/>
      <c r="DJ31" s="267"/>
      <c r="DK31" s="267"/>
      <c r="DL31" s="267"/>
      <c r="DM31" s="267"/>
      <c r="DN31" s="267"/>
      <c r="DO31" s="267"/>
      <c r="DP31" s="267"/>
      <c r="DQ31" s="267"/>
      <c r="DR31" s="267"/>
      <c r="DS31" s="267"/>
      <c r="DT31" s="267"/>
      <c r="DU31" s="267"/>
      <c r="DV31" s="267"/>
      <c r="DW31" s="267"/>
      <c r="DX31" s="267"/>
      <c r="DY31" s="267"/>
      <c r="DZ31" s="267"/>
      <c r="EA31" s="267"/>
      <c r="EB31" s="267"/>
      <c r="EC31" s="267"/>
      <c r="ED31" s="267"/>
      <c r="EE31" s="267"/>
      <c r="EF31" s="267"/>
      <c r="EG31" s="267"/>
      <c r="EH31" s="267"/>
      <c r="EI31" s="267"/>
      <c r="EJ31" s="267"/>
      <c r="EK31" s="267"/>
      <c r="EL31" s="267"/>
      <c r="EM31" s="267"/>
      <c r="EN31" s="267"/>
      <c r="EO31" s="267"/>
      <c r="EP31" s="267"/>
      <c r="EQ31" s="267"/>
      <c r="ER31" s="267"/>
      <c r="ES31" s="267"/>
      <c r="ET31" s="267"/>
      <c r="EU31" s="267"/>
      <c r="EV31" s="267"/>
      <c r="EW31" s="267"/>
      <c r="EX31" s="267"/>
      <c r="EY31" s="267"/>
      <c r="EZ31" s="267"/>
      <c r="FA31" s="267"/>
      <c r="FB31" s="267"/>
      <c r="FC31" s="267"/>
      <c r="FD31" s="267"/>
      <c r="FE31" s="267"/>
      <c r="FF31" s="267"/>
      <c r="FG31" s="267"/>
      <c r="FH31" s="267"/>
      <c r="FI31" s="267"/>
      <c r="FJ31" s="267"/>
      <c r="FK31" s="267"/>
      <c r="FL31" s="267"/>
      <c r="FM31" s="267"/>
      <c r="FN31" s="267"/>
      <c r="FO31" s="267"/>
      <c r="FP31" s="267"/>
      <c r="FQ31" s="267"/>
      <c r="FR31" s="267"/>
      <c r="FS31" s="267"/>
      <c r="FT31" s="267"/>
      <c r="FU31" s="267"/>
      <c r="FV31" s="267"/>
      <c r="FW31" s="267"/>
      <c r="FX31" s="267"/>
      <c r="FY31" s="267"/>
      <c r="FZ31" s="267"/>
      <c r="GA31" s="267"/>
      <c r="GB31" s="267"/>
      <c r="GC31" s="267"/>
      <c r="GD31" s="267"/>
      <c r="GE31" s="267"/>
      <c r="GF31" s="267"/>
      <c r="GG31" s="267"/>
      <c r="GH31" s="267"/>
      <c r="GI31" s="267"/>
      <c r="GJ31" s="267"/>
      <c r="GK31" s="267"/>
      <c r="GL31" s="267"/>
      <c r="GM31" s="267"/>
      <c r="GN31" s="267"/>
      <c r="GO31" s="267"/>
      <c r="GP31" s="267"/>
      <c r="GQ31" s="267"/>
      <c r="GR31" s="267"/>
      <c r="GS31" s="267"/>
      <c r="GT31" s="267"/>
      <c r="GU31" s="267"/>
      <c r="GV31" s="267"/>
      <c r="GW31" s="267"/>
      <c r="GX31" s="267"/>
      <c r="GY31" s="267"/>
      <c r="GZ31" s="267"/>
      <c r="HA31" s="267"/>
      <c r="HB31" s="267"/>
      <c r="HC31" s="267"/>
      <c r="HD31" s="267"/>
      <c r="HE31" s="267"/>
      <c r="HF31" s="267"/>
      <c r="HG31" s="267"/>
      <c r="HH31" s="267"/>
      <c r="HI31" s="267"/>
      <c r="HJ31" s="267"/>
      <c r="HK31" s="267"/>
      <c r="HL31" s="267"/>
      <c r="HM31" s="267"/>
      <c r="HN31" s="267"/>
      <c r="HO31" s="267"/>
      <c r="HP31" s="267"/>
      <c r="HQ31" s="267"/>
      <c r="HR31" s="267"/>
      <c r="HS31" s="267"/>
      <c r="HT31" s="267"/>
      <c r="HU31" s="267"/>
      <c r="HV31" s="267"/>
      <c r="HW31" s="267"/>
      <c r="HX31" s="267"/>
      <c r="HY31" s="267"/>
      <c r="HZ31" s="267"/>
      <c r="IA31" s="267"/>
      <c r="IB31" s="267"/>
      <c r="IC31" s="267"/>
      <c r="ID31" s="267"/>
      <c r="IE31" s="267"/>
      <c r="IF31" s="267"/>
      <c r="IG31" s="267"/>
      <c r="IH31" s="267"/>
      <c r="II31" s="267"/>
      <c r="IJ31" s="267"/>
      <c r="IK31" s="267"/>
      <c r="IL31" s="267"/>
      <c r="IM31" s="267"/>
      <c r="IN31" s="267"/>
      <c r="IO31" s="267"/>
      <c r="IP31" s="267"/>
      <c r="IQ31" s="267"/>
      <c r="IR31" s="267"/>
      <c r="IS31" s="267"/>
      <c r="IT31" s="267"/>
      <c r="IU31" s="267"/>
      <c r="IV31" s="267"/>
    </row>
    <row r="32" spans="1:16" ht="36" customHeight="1">
      <c r="A32" s="447">
        <v>24</v>
      </c>
      <c r="B32" s="371"/>
      <c r="C32" s="268">
        <v>12</v>
      </c>
      <c r="D32" s="270" t="s">
        <v>368</v>
      </c>
      <c r="E32" s="276"/>
      <c r="F32" s="437"/>
      <c r="G32" s="277"/>
      <c r="H32" s="526" t="s">
        <v>24</v>
      </c>
      <c r="I32" s="524"/>
      <c r="J32" s="517"/>
      <c r="K32" s="517"/>
      <c r="L32" s="517"/>
      <c r="M32" s="517"/>
      <c r="N32" s="538"/>
      <c r="O32" s="510"/>
      <c r="P32" s="438"/>
    </row>
    <row r="33" spans="1:256" s="433" customFormat="1" ht="18" customHeight="1">
      <c r="A33" s="447">
        <v>25</v>
      </c>
      <c r="B33" s="441"/>
      <c r="C33" s="268"/>
      <c r="D33" s="520" t="s">
        <v>283</v>
      </c>
      <c r="E33" s="276">
        <f>F33+G33+O33+P33</f>
        <v>50405</v>
      </c>
      <c r="F33" s="437">
        <f>1176+23808+8922</f>
        <v>33906</v>
      </c>
      <c r="G33" s="277">
        <v>11615</v>
      </c>
      <c r="H33" s="526"/>
      <c r="I33" s="524"/>
      <c r="J33" s="517"/>
      <c r="K33" s="517"/>
      <c r="L33" s="517">
        <v>4884</v>
      </c>
      <c r="M33" s="517"/>
      <c r="N33" s="538"/>
      <c r="O33" s="510">
        <f>SUM(I33:N33)</f>
        <v>4884</v>
      </c>
      <c r="P33" s="438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267"/>
      <c r="BD33" s="267"/>
      <c r="BE33" s="267"/>
      <c r="BF33" s="267"/>
      <c r="BG33" s="267"/>
      <c r="BH33" s="267"/>
      <c r="BI33" s="267"/>
      <c r="BJ33" s="267"/>
      <c r="BK33" s="267"/>
      <c r="BL33" s="267"/>
      <c r="BM33" s="267"/>
      <c r="BN33" s="267"/>
      <c r="BO33" s="267"/>
      <c r="BP33" s="267"/>
      <c r="BQ33" s="267"/>
      <c r="BR33" s="267"/>
      <c r="BS33" s="267"/>
      <c r="BT33" s="267"/>
      <c r="BU33" s="267"/>
      <c r="BV33" s="267"/>
      <c r="BW33" s="267"/>
      <c r="BX33" s="267"/>
      <c r="BY33" s="267"/>
      <c r="BZ33" s="267"/>
      <c r="CA33" s="267"/>
      <c r="CB33" s="267"/>
      <c r="CC33" s="267"/>
      <c r="CD33" s="267"/>
      <c r="CE33" s="267"/>
      <c r="CF33" s="267"/>
      <c r="CG33" s="267"/>
      <c r="CH33" s="267"/>
      <c r="CI33" s="267"/>
      <c r="CJ33" s="267"/>
      <c r="CK33" s="267"/>
      <c r="CL33" s="267"/>
      <c r="CM33" s="267"/>
      <c r="CN33" s="267"/>
      <c r="CO33" s="267"/>
      <c r="CP33" s="267"/>
      <c r="CQ33" s="267"/>
      <c r="CR33" s="267"/>
      <c r="CS33" s="267"/>
      <c r="CT33" s="267"/>
      <c r="CU33" s="267"/>
      <c r="CV33" s="267"/>
      <c r="CW33" s="267"/>
      <c r="CX33" s="267"/>
      <c r="CY33" s="267"/>
      <c r="CZ33" s="267"/>
      <c r="DA33" s="267"/>
      <c r="DB33" s="267"/>
      <c r="DC33" s="267"/>
      <c r="DD33" s="267"/>
      <c r="DE33" s="267"/>
      <c r="DF33" s="267"/>
      <c r="DG33" s="267"/>
      <c r="DH33" s="267"/>
      <c r="DI33" s="267"/>
      <c r="DJ33" s="267"/>
      <c r="DK33" s="267"/>
      <c r="DL33" s="267"/>
      <c r="DM33" s="267"/>
      <c r="DN33" s="267"/>
      <c r="DO33" s="267"/>
      <c r="DP33" s="267"/>
      <c r="DQ33" s="267"/>
      <c r="DR33" s="267"/>
      <c r="DS33" s="267"/>
      <c r="DT33" s="267"/>
      <c r="DU33" s="267"/>
      <c r="DV33" s="267"/>
      <c r="DW33" s="267"/>
      <c r="DX33" s="267"/>
      <c r="DY33" s="267"/>
      <c r="DZ33" s="267"/>
      <c r="EA33" s="267"/>
      <c r="EB33" s="267"/>
      <c r="EC33" s="267"/>
      <c r="ED33" s="267"/>
      <c r="EE33" s="267"/>
      <c r="EF33" s="267"/>
      <c r="EG33" s="267"/>
      <c r="EH33" s="267"/>
      <c r="EI33" s="267"/>
      <c r="EJ33" s="267"/>
      <c r="EK33" s="267"/>
      <c r="EL33" s="267"/>
      <c r="EM33" s="267"/>
      <c r="EN33" s="267"/>
      <c r="EO33" s="267"/>
      <c r="EP33" s="267"/>
      <c r="EQ33" s="267"/>
      <c r="ER33" s="267"/>
      <c r="ES33" s="267"/>
      <c r="ET33" s="267"/>
      <c r="EU33" s="267"/>
      <c r="EV33" s="267"/>
      <c r="EW33" s="267"/>
      <c r="EX33" s="267"/>
      <c r="EY33" s="267"/>
      <c r="EZ33" s="267"/>
      <c r="FA33" s="267"/>
      <c r="FB33" s="267"/>
      <c r="FC33" s="267"/>
      <c r="FD33" s="267"/>
      <c r="FE33" s="267"/>
      <c r="FF33" s="267"/>
      <c r="FG33" s="267"/>
      <c r="FH33" s="267"/>
      <c r="FI33" s="267"/>
      <c r="FJ33" s="267"/>
      <c r="FK33" s="267"/>
      <c r="FL33" s="267"/>
      <c r="FM33" s="267"/>
      <c r="FN33" s="267"/>
      <c r="FO33" s="267"/>
      <c r="FP33" s="267"/>
      <c r="FQ33" s="267"/>
      <c r="FR33" s="267"/>
      <c r="FS33" s="267"/>
      <c r="FT33" s="267"/>
      <c r="FU33" s="267"/>
      <c r="FV33" s="267"/>
      <c r="FW33" s="267"/>
      <c r="FX33" s="267"/>
      <c r="FY33" s="267"/>
      <c r="FZ33" s="267"/>
      <c r="GA33" s="267"/>
      <c r="GB33" s="267"/>
      <c r="GC33" s="267"/>
      <c r="GD33" s="267"/>
      <c r="GE33" s="267"/>
      <c r="GF33" s="267"/>
      <c r="GG33" s="267"/>
      <c r="GH33" s="267"/>
      <c r="GI33" s="267"/>
      <c r="GJ33" s="267"/>
      <c r="GK33" s="267"/>
      <c r="GL33" s="267"/>
      <c r="GM33" s="267"/>
      <c r="GN33" s="267"/>
      <c r="GO33" s="267"/>
      <c r="GP33" s="267"/>
      <c r="GQ33" s="267"/>
      <c r="GR33" s="267"/>
      <c r="GS33" s="267"/>
      <c r="GT33" s="267"/>
      <c r="GU33" s="267"/>
      <c r="GV33" s="267"/>
      <c r="GW33" s="267"/>
      <c r="GX33" s="267"/>
      <c r="GY33" s="267"/>
      <c r="GZ33" s="267"/>
      <c r="HA33" s="267"/>
      <c r="HB33" s="267"/>
      <c r="HC33" s="267"/>
      <c r="HD33" s="267"/>
      <c r="HE33" s="267"/>
      <c r="HF33" s="267"/>
      <c r="HG33" s="267"/>
      <c r="HH33" s="267"/>
      <c r="HI33" s="267"/>
      <c r="HJ33" s="267"/>
      <c r="HK33" s="267"/>
      <c r="HL33" s="267"/>
      <c r="HM33" s="267"/>
      <c r="HN33" s="267"/>
      <c r="HO33" s="267"/>
      <c r="HP33" s="267"/>
      <c r="HQ33" s="267"/>
      <c r="HR33" s="267"/>
      <c r="HS33" s="267"/>
      <c r="HT33" s="267"/>
      <c r="HU33" s="267"/>
      <c r="HV33" s="267"/>
      <c r="HW33" s="267"/>
      <c r="HX33" s="267"/>
      <c r="HY33" s="267"/>
      <c r="HZ33" s="267"/>
      <c r="IA33" s="267"/>
      <c r="IB33" s="267"/>
      <c r="IC33" s="267"/>
      <c r="ID33" s="267"/>
      <c r="IE33" s="267"/>
      <c r="IF33" s="267"/>
      <c r="IG33" s="267"/>
      <c r="IH33" s="267"/>
      <c r="II33" s="267"/>
      <c r="IJ33" s="267"/>
      <c r="IK33" s="267"/>
      <c r="IL33" s="267"/>
      <c r="IM33" s="267"/>
      <c r="IN33" s="267"/>
      <c r="IO33" s="267"/>
      <c r="IP33" s="267"/>
      <c r="IQ33" s="267"/>
      <c r="IR33" s="267"/>
      <c r="IS33" s="267"/>
      <c r="IT33" s="267"/>
      <c r="IU33" s="267"/>
      <c r="IV33" s="267"/>
    </row>
    <row r="34" spans="1:16" ht="36.75" customHeight="1">
      <c r="A34" s="447">
        <v>26</v>
      </c>
      <c r="B34" s="371"/>
      <c r="C34" s="268">
        <v>13</v>
      </c>
      <c r="D34" s="834" t="s">
        <v>560</v>
      </c>
      <c r="E34" s="276"/>
      <c r="F34" s="276"/>
      <c r="G34" s="277"/>
      <c r="H34" s="526" t="s">
        <v>24</v>
      </c>
      <c r="I34" s="800"/>
      <c r="J34" s="514"/>
      <c r="K34" s="514"/>
      <c r="L34" s="514"/>
      <c r="M34" s="514"/>
      <c r="N34" s="537"/>
      <c r="O34" s="544"/>
      <c r="P34" s="438"/>
    </row>
    <row r="35" spans="1:16" ht="18" customHeight="1">
      <c r="A35" s="447">
        <v>27</v>
      </c>
      <c r="B35" s="371"/>
      <c r="C35" s="285"/>
      <c r="D35" s="520" t="s">
        <v>283</v>
      </c>
      <c r="E35" s="276">
        <f>F35+G35+O35+P35+642+6009</f>
        <v>28317</v>
      </c>
      <c r="F35" s="276"/>
      <c r="G35" s="277">
        <f>658+3794</f>
        <v>4452</v>
      </c>
      <c r="H35" s="526"/>
      <c r="I35" s="800"/>
      <c r="J35" s="514"/>
      <c r="K35" s="514">
        <v>17004</v>
      </c>
      <c r="L35" s="514"/>
      <c r="M35" s="514">
        <v>210</v>
      </c>
      <c r="N35" s="537"/>
      <c r="O35" s="510">
        <f>SUM(I35:N35)</f>
        <v>17214</v>
      </c>
      <c r="P35" s="438"/>
    </row>
    <row r="36" spans="1:16" ht="22.5" customHeight="1">
      <c r="A36" s="447">
        <v>28</v>
      </c>
      <c r="B36" s="371"/>
      <c r="C36" s="285">
        <v>14</v>
      </c>
      <c r="D36" s="444" t="s">
        <v>431</v>
      </c>
      <c r="E36" s="276"/>
      <c r="F36" s="276"/>
      <c r="G36" s="277"/>
      <c r="H36" s="526" t="s">
        <v>24</v>
      </c>
      <c r="I36" s="800"/>
      <c r="J36" s="514"/>
      <c r="K36" s="514"/>
      <c r="L36" s="514"/>
      <c r="M36" s="514"/>
      <c r="N36" s="537"/>
      <c r="O36" s="544"/>
      <c r="P36" s="438"/>
    </row>
    <row r="37" spans="1:16" ht="18" customHeight="1">
      <c r="A37" s="447">
        <v>29</v>
      </c>
      <c r="B37" s="371"/>
      <c r="C37" s="285"/>
      <c r="D37" s="520" t="s">
        <v>283</v>
      </c>
      <c r="E37" s="276">
        <f>F37+G37+O37+P37</f>
        <v>3071</v>
      </c>
      <c r="F37" s="276"/>
      <c r="G37" s="277"/>
      <c r="H37" s="526"/>
      <c r="I37" s="800"/>
      <c r="J37" s="514"/>
      <c r="K37" s="514">
        <v>3071</v>
      </c>
      <c r="L37" s="514"/>
      <c r="M37" s="514"/>
      <c r="N37" s="537"/>
      <c r="O37" s="510">
        <f>SUM(I37:N37)</f>
        <v>3071</v>
      </c>
      <c r="P37" s="438"/>
    </row>
    <row r="38" spans="1:16" ht="22.5" customHeight="1">
      <c r="A38" s="447">
        <v>30</v>
      </c>
      <c r="B38" s="371"/>
      <c r="C38" s="285">
        <v>15</v>
      </c>
      <c r="D38" s="444" t="s">
        <v>432</v>
      </c>
      <c r="E38" s="276"/>
      <c r="F38" s="276"/>
      <c r="G38" s="277"/>
      <c r="H38" s="526" t="s">
        <v>24</v>
      </c>
      <c r="I38" s="800"/>
      <c r="J38" s="514"/>
      <c r="K38" s="514"/>
      <c r="L38" s="514"/>
      <c r="M38" s="514"/>
      <c r="N38" s="537"/>
      <c r="O38" s="544"/>
      <c r="P38" s="438"/>
    </row>
    <row r="39" spans="1:16" ht="18" customHeight="1">
      <c r="A39" s="447">
        <v>31</v>
      </c>
      <c r="B39" s="371"/>
      <c r="C39" s="285"/>
      <c r="D39" s="520" t="s">
        <v>283</v>
      </c>
      <c r="E39" s="276">
        <f>F39+G39+O39+P39+350+4500</f>
        <v>35920</v>
      </c>
      <c r="F39" s="276">
        <f>2593</f>
        <v>2593</v>
      </c>
      <c r="G39" s="277">
        <f>1810+5939</f>
        <v>7749</v>
      </c>
      <c r="H39" s="526"/>
      <c r="I39" s="800">
        <v>417</v>
      </c>
      <c r="J39" s="514">
        <v>58</v>
      </c>
      <c r="K39" s="514">
        <v>18911</v>
      </c>
      <c r="L39" s="514"/>
      <c r="M39" s="514">
        <v>1342</v>
      </c>
      <c r="N39" s="537"/>
      <c r="O39" s="510">
        <f>SUM(I39:N39)</f>
        <v>20728</v>
      </c>
      <c r="P39" s="438"/>
    </row>
    <row r="40" spans="1:16" ht="22.5" customHeight="1">
      <c r="A40" s="447">
        <v>32</v>
      </c>
      <c r="B40" s="371"/>
      <c r="C40" s="285">
        <v>16</v>
      </c>
      <c r="D40" s="444" t="s">
        <v>433</v>
      </c>
      <c r="E40" s="276"/>
      <c r="F40" s="276"/>
      <c r="G40" s="277"/>
      <c r="H40" s="526" t="s">
        <v>24</v>
      </c>
      <c r="I40" s="800"/>
      <c r="J40" s="514"/>
      <c r="K40" s="514"/>
      <c r="L40" s="514"/>
      <c r="M40" s="514"/>
      <c r="N40" s="537"/>
      <c r="O40" s="544"/>
      <c r="P40" s="438"/>
    </row>
    <row r="41" spans="1:16" ht="18" customHeight="1">
      <c r="A41" s="447">
        <v>33</v>
      </c>
      <c r="B41" s="371"/>
      <c r="C41" s="285"/>
      <c r="D41" s="520" t="s">
        <v>283</v>
      </c>
      <c r="E41" s="276">
        <f>F41+G41+O41+P41</f>
        <v>62500</v>
      </c>
      <c r="F41" s="276">
        <v>1680</v>
      </c>
      <c r="G41" s="277">
        <v>1</v>
      </c>
      <c r="H41" s="526"/>
      <c r="I41" s="800"/>
      <c r="J41" s="514"/>
      <c r="K41" s="514">
        <v>294</v>
      </c>
      <c r="L41" s="514"/>
      <c r="M41" s="514">
        <v>60525</v>
      </c>
      <c r="N41" s="537"/>
      <c r="O41" s="510">
        <f>SUM(I41:N41)</f>
        <v>60819</v>
      </c>
      <c r="P41" s="438"/>
    </row>
    <row r="42" spans="1:16" ht="53.25" customHeight="1">
      <c r="A42" s="447">
        <v>34</v>
      </c>
      <c r="B42" s="371"/>
      <c r="C42" s="268">
        <v>17</v>
      </c>
      <c r="D42" s="546" t="s">
        <v>434</v>
      </c>
      <c r="E42" s="276"/>
      <c r="F42" s="276"/>
      <c r="G42" s="277"/>
      <c r="H42" s="526" t="s">
        <v>24</v>
      </c>
      <c r="I42" s="800"/>
      <c r="J42" s="514"/>
      <c r="K42" s="514"/>
      <c r="L42" s="514"/>
      <c r="M42" s="514"/>
      <c r="N42" s="537"/>
      <c r="O42" s="544"/>
      <c r="P42" s="438"/>
    </row>
    <row r="43" spans="1:16" ht="18" customHeight="1">
      <c r="A43" s="447">
        <v>35</v>
      </c>
      <c r="B43" s="371"/>
      <c r="C43" s="285"/>
      <c r="D43" s="520" t="s">
        <v>283</v>
      </c>
      <c r="E43" s="276">
        <f>F43+G43+O43+P43</f>
        <v>19989</v>
      </c>
      <c r="F43" s="276"/>
      <c r="G43" s="277">
        <f>15942+2034</f>
        <v>17976</v>
      </c>
      <c r="H43" s="526"/>
      <c r="I43" s="800"/>
      <c r="J43" s="514">
        <v>12</v>
      </c>
      <c r="K43" s="514">
        <v>2001</v>
      </c>
      <c r="L43" s="514"/>
      <c r="M43" s="514"/>
      <c r="N43" s="537"/>
      <c r="O43" s="510">
        <f>SUM(I43:N43)</f>
        <v>2013</v>
      </c>
      <c r="P43" s="438"/>
    </row>
    <row r="44" spans="1:16" ht="22.5" customHeight="1">
      <c r="A44" s="447">
        <v>36</v>
      </c>
      <c r="B44" s="371"/>
      <c r="C44" s="285">
        <v>18</v>
      </c>
      <c r="D44" s="269" t="s">
        <v>435</v>
      </c>
      <c r="E44" s="276"/>
      <c r="F44" s="276"/>
      <c r="G44" s="277"/>
      <c r="H44" s="526" t="s">
        <v>24</v>
      </c>
      <c r="I44" s="800"/>
      <c r="J44" s="514"/>
      <c r="K44" s="514"/>
      <c r="L44" s="514"/>
      <c r="M44" s="514"/>
      <c r="N44" s="537"/>
      <c r="O44" s="544"/>
      <c r="P44" s="438"/>
    </row>
    <row r="45" spans="1:16" ht="18" customHeight="1">
      <c r="A45" s="447">
        <v>37</v>
      </c>
      <c r="B45" s="371"/>
      <c r="C45" s="285"/>
      <c r="D45" s="520" t="s">
        <v>283</v>
      </c>
      <c r="E45" s="276">
        <f>F45+G45+O45+P45</f>
        <v>50</v>
      </c>
      <c r="F45" s="276"/>
      <c r="G45" s="277">
        <v>33</v>
      </c>
      <c r="H45" s="526"/>
      <c r="I45" s="800"/>
      <c r="J45" s="514"/>
      <c r="K45" s="514">
        <v>17</v>
      </c>
      <c r="L45" s="514"/>
      <c r="M45" s="514"/>
      <c r="N45" s="537"/>
      <c r="O45" s="510">
        <f>SUM(I45:N45)</f>
        <v>17</v>
      </c>
      <c r="P45" s="438"/>
    </row>
    <row r="46" spans="1:16" ht="53.25" customHeight="1">
      <c r="A46" s="447">
        <v>38</v>
      </c>
      <c r="B46" s="371"/>
      <c r="C46" s="268">
        <v>19</v>
      </c>
      <c r="D46" s="269" t="s">
        <v>504</v>
      </c>
      <c r="E46" s="276"/>
      <c r="F46" s="276"/>
      <c r="G46" s="277"/>
      <c r="H46" s="526" t="s">
        <v>24</v>
      </c>
      <c r="I46" s="800"/>
      <c r="J46" s="514"/>
      <c r="K46" s="514"/>
      <c r="L46" s="514"/>
      <c r="M46" s="514"/>
      <c r="N46" s="537"/>
      <c r="O46" s="544"/>
      <c r="P46" s="438"/>
    </row>
    <row r="47" spans="1:256" s="433" customFormat="1" ht="18" customHeight="1" thickBot="1">
      <c r="A47" s="447">
        <v>39</v>
      </c>
      <c r="B47" s="441"/>
      <c r="C47" s="268"/>
      <c r="D47" s="520" t="s">
        <v>283</v>
      </c>
      <c r="E47" s="276">
        <f>F47+G47+O47+P47</f>
        <v>6000</v>
      </c>
      <c r="F47" s="276"/>
      <c r="G47" s="277"/>
      <c r="H47" s="526"/>
      <c r="I47" s="800"/>
      <c r="J47" s="514"/>
      <c r="K47" s="514">
        <v>6000</v>
      </c>
      <c r="L47" s="514"/>
      <c r="M47" s="514"/>
      <c r="N47" s="537"/>
      <c r="O47" s="574">
        <f>SUM(I47:N47)</f>
        <v>6000</v>
      </c>
      <c r="P47" s="438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7"/>
      <c r="AZ47" s="267"/>
      <c r="BA47" s="267"/>
      <c r="BB47" s="267"/>
      <c r="BC47" s="267"/>
      <c r="BD47" s="267"/>
      <c r="BE47" s="267"/>
      <c r="BF47" s="267"/>
      <c r="BG47" s="267"/>
      <c r="BH47" s="267"/>
      <c r="BI47" s="267"/>
      <c r="BJ47" s="267"/>
      <c r="BK47" s="267"/>
      <c r="BL47" s="267"/>
      <c r="BM47" s="267"/>
      <c r="BN47" s="267"/>
      <c r="BO47" s="267"/>
      <c r="BP47" s="267"/>
      <c r="BQ47" s="267"/>
      <c r="BR47" s="267"/>
      <c r="BS47" s="267"/>
      <c r="BT47" s="267"/>
      <c r="BU47" s="267"/>
      <c r="BV47" s="267"/>
      <c r="BW47" s="267"/>
      <c r="BX47" s="267"/>
      <c r="BY47" s="267"/>
      <c r="BZ47" s="267"/>
      <c r="CA47" s="267"/>
      <c r="CB47" s="267"/>
      <c r="CC47" s="267"/>
      <c r="CD47" s="267"/>
      <c r="CE47" s="267"/>
      <c r="CF47" s="267"/>
      <c r="CG47" s="267"/>
      <c r="CH47" s="267"/>
      <c r="CI47" s="267"/>
      <c r="CJ47" s="267"/>
      <c r="CK47" s="267"/>
      <c r="CL47" s="267"/>
      <c r="CM47" s="267"/>
      <c r="CN47" s="267"/>
      <c r="CO47" s="267"/>
      <c r="CP47" s="267"/>
      <c r="CQ47" s="267"/>
      <c r="CR47" s="267"/>
      <c r="CS47" s="267"/>
      <c r="CT47" s="267"/>
      <c r="CU47" s="267"/>
      <c r="CV47" s="267"/>
      <c r="CW47" s="267"/>
      <c r="CX47" s="267"/>
      <c r="CY47" s="267"/>
      <c r="CZ47" s="267"/>
      <c r="DA47" s="267"/>
      <c r="DB47" s="267"/>
      <c r="DC47" s="267"/>
      <c r="DD47" s="267"/>
      <c r="DE47" s="267"/>
      <c r="DF47" s="267"/>
      <c r="DG47" s="267"/>
      <c r="DH47" s="267"/>
      <c r="DI47" s="267"/>
      <c r="DJ47" s="267"/>
      <c r="DK47" s="267"/>
      <c r="DL47" s="267"/>
      <c r="DM47" s="267"/>
      <c r="DN47" s="267"/>
      <c r="DO47" s="267"/>
      <c r="DP47" s="267"/>
      <c r="DQ47" s="267"/>
      <c r="DR47" s="267"/>
      <c r="DS47" s="267"/>
      <c r="DT47" s="267"/>
      <c r="DU47" s="267"/>
      <c r="DV47" s="267"/>
      <c r="DW47" s="267"/>
      <c r="DX47" s="267"/>
      <c r="DY47" s="267"/>
      <c r="DZ47" s="267"/>
      <c r="EA47" s="267"/>
      <c r="EB47" s="267"/>
      <c r="EC47" s="267"/>
      <c r="ED47" s="267"/>
      <c r="EE47" s="267"/>
      <c r="EF47" s="267"/>
      <c r="EG47" s="267"/>
      <c r="EH47" s="267"/>
      <c r="EI47" s="267"/>
      <c r="EJ47" s="267"/>
      <c r="EK47" s="267"/>
      <c r="EL47" s="267"/>
      <c r="EM47" s="267"/>
      <c r="EN47" s="267"/>
      <c r="EO47" s="267"/>
      <c r="EP47" s="267"/>
      <c r="EQ47" s="267"/>
      <c r="ER47" s="267"/>
      <c r="ES47" s="267"/>
      <c r="ET47" s="267"/>
      <c r="EU47" s="267"/>
      <c r="EV47" s="267"/>
      <c r="EW47" s="267"/>
      <c r="EX47" s="267"/>
      <c r="EY47" s="267"/>
      <c r="EZ47" s="267"/>
      <c r="FA47" s="267"/>
      <c r="FB47" s="267"/>
      <c r="FC47" s="267"/>
      <c r="FD47" s="267"/>
      <c r="FE47" s="267"/>
      <c r="FF47" s="267"/>
      <c r="FG47" s="267"/>
      <c r="FH47" s="267"/>
      <c r="FI47" s="267"/>
      <c r="FJ47" s="267"/>
      <c r="FK47" s="267"/>
      <c r="FL47" s="267"/>
      <c r="FM47" s="267"/>
      <c r="FN47" s="267"/>
      <c r="FO47" s="267"/>
      <c r="FP47" s="267"/>
      <c r="FQ47" s="267"/>
      <c r="FR47" s="267"/>
      <c r="FS47" s="267"/>
      <c r="FT47" s="267"/>
      <c r="FU47" s="267"/>
      <c r="FV47" s="267"/>
      <c r="FW47" s="267"/>
      <c r="FX47" s="267"/>
      <c r="FY47" s="267"/>
      <c r="FZ47" s="267"/>
      <c r="GA47" s="267"/>
      <c r="GB47" s="267"/>
      <c r="GC47" s="267"/>
      <c r="GD47" s="267"/>
      <c r="GE47" s="267"/>
      <c r="GF47" s="267"/>
      <c r="GG47" s="267"/>
      <c r="GH47" s="267"/>
      <c r="GI47" s="267"/>
      <c r="GJ47" s="267"/>
      <c r="GK47" s="267"/>
      <c r="GL47" s="267"/>
      <c r="GM47" s="267"/>
      <c r="GN47" s="267"/>
      <c r="GO47" s="267"/>
      <c r="GP47" s="267"/>
      <c r="GQ47" s="267"/>
      <c r="GR47" s="267"/>
      <c r="GS47" s="267"/>
      <c r="GT47" s="267"/>
      <c r="GU47" s="267"/>
      <c r="GV47" s="267"/>
      <c r="GW47" s="267"/>
      <c r="GX47" s="267"/>
      <c r="GY47" s="267"/>
      <c r="GZ47" s="267"/>
      <c r="HA47" s="267"/>
      <c r="HB47" s="267"/>
      <c r="HC47" s="267"/>
      <c r="HD47" s="267"/>
      <c r="HE47" s="267"/>
      <c r="HF47" s="267"/>
      <c r="HG47" s="267"/>
      <c r="HH47" s="267"/>
      <c r="HI47" s="267"/>
      <c r="HJ47" s="267"/>
      <c r="HK47" s="267"/>
      <c r="HL47" s="267"/>
      <c r="HM47" s="267"/>
      <c r="HN47" s="267"/>
      <c r="HO47" s="267"/>
      <c r="HP47" s="267"/>
      <c r="HQ47" s="267"/>
      <c r="HR47" s="267"/>
      <c r="HS47" s="267"/>
      <c r="HT47" s="267"/>
      <c r="HU47" s="267"/>
      <c r="HV47" s="267"/>
      <c r="HW47" s="267"/>
      <c r="HX47" s="267"/>
      <c r="HY47" s="267"/>
      <c r="HZ47" s="267"/>
      <c r="IA47" s="267"/>
      <c r="IB47" s="267"/>
      <c r="IC47" s="267"/>
      <c r="ID47" s="267"/>
      <c r="IE47" s="267"/>
      <c r="IF47" s="267"/>
      <c r="IG47" s="267"/>
      <c r="IH47" s="267"/>
      <c r="II47" s="267"/>
      <c r="IJ47" s="267"/>
      <c r="IK47" s="267"/>
      <c r="IL47" s="267"/>
      <c r="IM47" s="267"/>
      <c r="IN47" s="267"/>
      <c r="IO47" s="267"/>
      <c r="IP47" s="267"/>
      <c r="IQ47" s="267"/>
      <c r="IR47" s="267"/>
      <c r="IS47" s="267"/>
      <c r="IT47" s="267"/>
      <c r="IU47" s="267"/>
      <c r="IV47" s="267"/>
    </row>
    <row r="48" spans="1:16" s="271" customFormat="1" ht="36" customHeight="1" thickBot="1">
      <c r="A48" s="447">
        <v>40</v>
      </c>
      <c r="B48" s="1567" t="s">
        <v>13</v>
      </c>
      <c r="C48" s="1568"/>
      <c r="D48" s="1568"/>
      <c r="E48" s="1568"/>
      <c r="F48" s="1568"/>
      <c r="G48" s="1569"/>
      <c r="H48" s="451"/>
      <c r="I48" s="584">
        <f>I45+I43+I41+I39+I37+I35+I33+I31+I29+I27+I25+I21+I19+I17+I15+I13+I11+I47+I23</f>
        <v>417</v>
      </c>
      <c r="J48" s="584">
        <f>J45+J43+J41+J39+J37+J35+J33+J31+J29+J27+J25+J21+J19+J17+J15+J13+J11+J47+J23</f>
        <v>70</v>
      </c>
      <c r="K48" s="584">
        <f>K45+K43+K41+K39+K37+K35+K33+K31+K29+K27+K25+K21+K19+K17+K15+K13+K11+K47+K23</f>
        <v>174380</v>
      </c>
      <c r="L48" s="584">
        <f>L45+L43+L41+L39+L37+L35+L33+L31+L29+L27+L25+L21+L19+L17+L15+L13+L11+L47+L23</f>
        <v>4884</v>
      </c>
      <c r="M48" s="584">
        <f>M45+M43+M41+M39+M37+M35+M33+M31+M29+M27+M25+M21+M19+M17+M15+M13+M11+M47+M23</f>
        <v>6100860</v>
      </c>
      <c r="N48" s="584">
        <f>N45+N43+N41+N39+N37+N35+N33+N31+N29+N27+N25+N21+N19+N17+N15+N13+N11+N47+N23</f>
        <v>0</v>
      </c>
      <c r="O48" s="832">
        <f>SUM(I48:N48)</f>
        <v>6280611</v>
      </c>
      <c r="P48" s="585">
        <f>SUM(P9:P47)</f>
        <v>0</v>
      </c>
    </row>
    <row r="49" spans="2:15" ht="18" customHeight="1">
      <c r="B49" s="439" t="s">
        <v>27</v>
      </c>
      <c r="C49" s="440"/>
      <c r="D49" s="439"/>
      <c r="E49" s="278"/>
      <c r="F49" s="279"/>
      <c r="G49" s="278"/>
      <c r="H49" s="426"/>
      <c r="I49" s="278"/>
      <c r="J49" s="278"/>
      <c r="K49" s="278"/>
      <c r="L49" s="278"/>
      <c r="M49" s="278"/>
      <c r="N49" s="278"/>
      <c r="O49" s="449"/>
    </row>
    <row r="50" spans="2:15" ht="18" customHeight="1">
      <c r="B50" s="439" t="s">
        <v>28</v>
      </c>
      <c r="C50" s="440"/>
      <c r="D50" s="439"/>
      <c r="E50" s="376"/>
      <c r="F50" s="279"/>
      <c r="G50" s="278"/>
      <c r="H50" s="426"/>
      <c r="I50" s="278"/>
      <c r="J50" s="278"/>
      <c r="K50" s="278"/>
      <c r="L50" s="278"/>
      <c r="M50" s="278"/>
      <c r="N50" s="278"/>
      <c r="O50" s="449"/>
    </row>
    <row r="51" spans="2:15" ht="18" customHeight="1">
      <c r="B51" s="439" t="s">
        <v>29</v>
      </c>
      <c r="C51" s="440"/>
      <c r="D51" s="439"/>
      <c r="E51" s="376"/>
      <c r="F51" s="279"/>
      <c r="G51" s="278"/>
      <c r="H51" s="426"/>
      <c r="I51" s="278"/>
      <c r="J51" s="278"/>
      <c r="K51" s="278"/>
      <c r="L51" s="278"/>
      <c r="M51" s="278"/>
      <c r="N51" s="278"/>
      <c r="O51" s="449"/>
    </row>
    <row r="52" spans="2:3" ht="17.25">
      <c r="B52" s="275" t="s">
        <v>410</v>
      </c>
      <c r="C52" s="275"/>
    </row>
  </sheetData>
  <sheetProtection/>
  <mergeCells count="18">
    <mergeCell ref="M7:N7"/>
    <mergeCell ref="O7:O8"/>
    <mergeCell ref="B48:G48"/>
    <mergeCell ref="C6:C8"/>
    <mergeCell ref="H6:H8"/>
    <mergeCell ref="Q6:R6"/>
    <mergeCell ref="I1:P1"/>
    <mergeCell ref="B6:B8"/>
    <mergeCell ref="E6:E8"/>
    <mergeCell ref="A1:D1"/>
    <mergeCell ref="A2:P2"/>
    <mergeCell ref="A3:P3"/>
    <mergeCell ref="D6:D8"/>
    <mergeCell ref="F6:F8"/>
    <mergeCell ref="G6:G8"/>
    <mergeCell ref="I6:O6"/>
    <mergeCell ref="P6:P8"/>
    <mergeCell ref="I7:L7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landscape" paperSize="9" scale="57" r:id="rId3"/>
  <headerFooter>
    <oddFooter>&amp;C- &amp;P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Schumacher Judit</dc:creator>
  <cp:keywords/>
  <dc:description/>
  <cp:lastModifiedBy>Szabó Balázs</cp:lastModifiedBy>
  <cp:lastPrinted>2022-02-10T08:54:56Z</cp:lastPrinted>
  <dcterms:created xsi:type="dcterms:W3CDTF">2015-02-11T07:38:58Z</dcterms:created>
  <dcterms:modified xsi:type="dcterms:W3CDTF">2022-02-28T15:08:29Z</dcterms:modified>
  <cp:category/>
  <cp:version/>
  <cp:contentType/>
  <cp:contentStatus/>
</cp:coreProperties>
</file>