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ltsegvetes\koltségvetés2022\BESZÁMOLÓK\Közgyűlési_tájékoztató\"/>
    </mc:Choice>
  </mc:AlternateContent>
  <xr:revisionPtr revIDLastSave="0" documentId="13_ncr:1_{008B879D-6663-43A9-BCB4-D24AEBE7504E}" xr6:coauthVersionLast="47" xr6:coauthVersionMax="47" xr10:uidLastSave="{00000000-0000-0000-0000-000000000000}"/>
  <bookViews>
    <workbookView xWindow="-120" yWindow="-120" windowWidth="21840" windowHeight="13140" tabRatio="931" xr2:uid="{00000000-000D-0000-FFFF-FFFF00000000}"/>
  </bookViews>
  <sheets>
    <sheet name="1.Onbe" sheetId="113" r:id="rId1"/>
    <sheet name="2.Onki" sheetId="115" r:id="rId2"/>
    <sheet name="3.Inbe " sheetId="181" r:id="rId3"/>
    <sheet name="4.Inki" sheetId="182" r:id="rId4"/>
    <sheet name="5.Infelhki" sheetId="185" r:id="rId5"/>
    <sheet name="6.Önk.műk." sheetId="105" r:id="rId6"/>
    <sheet name="7.Beruh." sheetId="134" r:id="rId7"/>
    <sheet name="8.Felúj." sheetId="147" r:id="rId8"/>
    <sheet name="9.Projekt" sheetId="144" r:id="rId9"/>
    <sheet name="10.MVP és hazai" sheetId="148" r:id="rId10"/>
    <sheet name="11.EKF" sheetId="149" r:id="rId11"/>
    <sheet name="12.Mérleg" sheetId="109" r:id="rId12"/>
    <sheet name="13.AKÜ" sheetId="186" r:id="rId13"/>
    <sheet name="14.EU" sheetId="173" r:id="rId14"/>
  </sheets>
  <definedNames>
    <definedName name="_4._sz._sor_részletezése" localSheetId="0">#REF!</definedName>
    <definedName name="_4._sz._sor_részletezése" localSheetId="9">#REF!</definedName>
    <definedName name="_4._sz._sor_részletezése" localSheetId="10">#REF!</definedName>
    <definedName name="_4._sz._sor_részletezése" localSheetId="13">#REF!</definedName>
    <definedName name="_4._sz._sor_részletezése" localSheetId="4">#REF!</definedName>
    <definedName name="_4._sz._sor_részletezése" localSheetId="6">#REF!</definedName>
    <definedName name="_4._sz._sor_részletezése" localSheetId="7">#REF!</definedName>
    <definedName name="_4._sz._sor_részletezése" localSheetId="8">#REF!</definedName>
    <definedName name="_4._sz._sor_részletezése">#REF!</definedName>
    <definedName name="_xlnm.Print_Titles" localSheetId="0">'1.Onbe'!$4:$6</definedName>
    <definedName name="_xlnm.Print_Titles" localSheetId="9">'10.MVP és hazai'!$4:$8</definedName>
    <definedName name="_xlnm.Print_Titles" localSheetId="10">'11.EKF'!$4:$8</definedName>
    <definedName name="_xlnm.Print_Titles" localSheetId="13">'14.EU'!$5:$9</definedName>
    <definedName name="_xlnm.Print_Titles" localSheetId="1">'2.Onki'!$4:$6</definedName>
    <definedName name="_xlnm.Print_Titles" localSheetId="2">'3.Inbe '!$4:$7</definedName>
    <definedName name="_xlnm.Print_Titles" localSheetId="3">'4.Inki'!$4:$7</definedName>
    <definedName name="_xlnm.Print_Titles" localSheetId="4">'5.Infelhki'!$4:$7</definedName>
    <definedName name="_xlnm.Print_Titles" localSheetId="5">'6.Önk.műk.'!$4:$7</definedName>
    <definedName name="_xlnm.Print_Titles" localSheetId="6">'7.Beruh.'!$4:$8</definedName>
    <definedName name="_xlnm.Print_Titles" localSheetId="7">'8.Felúj.'!$4:$8</definedName>
    <definedName name="_xlnm.Print_Titles" localSheetId="8">'9.Projekt'!$4:$8</definedName>
    <definedName name="_xlnm.Print_Area" localSheetId="9">'10.MVP és hazai'!$A$1:$P$69</definedName>
    <definedName name="_xlnm.Print_Area" localSheetId="10">'11.EKF'!$A$1:$Q$296</definedName>
    <definedName name="_xlnm.Print_Area" localSheetId="11">'12.Mérleg'!$A$1:$M$37</definedName>
    <definedName name="_xlnm.Print_Area" localSheetId="13">'14.EU'!$A$1:$AB$40</definedName>
    <definedName name="_xlnm.Print_Area" localSheetId="1">'2.Onki'!$A$1:$L$41</definedName>
    <definedName name="_xlnm.Print_Area" localSheetId="2">'3.Inbe '!$A$1:$R$145</definedName>
    <definedName name="_xlnm.Print_Area" localSheetId="3">'4.Inki'!$A$1:$R$267</definedName>
    <definedName name="_xlnm.Print_Area" localSheetId="4">'5.Infelhki'!$A$1:$K$177</definedName>
    <definedName name="_xlnm.Print_Area" localSheetId="5">'6.Önk.műk.'!$A$1:$N$673</definedName>
    <definedName name="_xlnm.Print_Area" localSheetId="6">'7.Beruh.'!$A$1:$M$225</definedName>
    <definedName name="_xlnm.Print_Area" localSheetId="7">'8.Felúj.'!$A$1:$L$122</definedName>
    <definedName name="_xlnm.Print_Area" localSheetId="8">'9.Projekt'!$A$1:$P$96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113" l="1"/>
  <c r="L368" i="105" l="1"/>
  <c r="K167" i="185"/>
  <c r="M23" i="186" l="1"/>
  <c r="L23" i="186"/>
  <c r="J23" i="186"/>
  <c r="I23" i="186"/>
  <c r="H23" i="186"/>
  <c r="K22" i="186"/>
  <c r="N22" i="186" s="1"/>
  <c r="K20" i="186"/>
  <c r="N20" i="186" s="1"/>
  <c r="K18" i="186"/>
  <c r="N18" i="186" s="1"/>
  <c r="J18" i="186"/>
  <c r="K16" i="186"/>
  <c r="N16" i="186" s="1"/>
  <c r="N14" i="186"/>
  <c r="K14" i="186"/>
  <c r="K12" i="186"/>
  <c r="N12" i="186" s="1"/>
  <c r="J10" i="186"/>
  <c r="K10" i="186" s="1"/>
  <c r="N10" i="186" s="1"/>
  <c r="K8" i="186"/>
  <c r="K23" i="186" s="1"/>
  <c r="J8" i="186"/>
  <c r="N8" i="186" l="1"/>
  <c r="N23" i="186" s="1"/>
  <c r="AB20" i="173" l="1"/>
  <c r="R20" i="173"/>
  <c r="R38" i="173" s="1"/>
  <c r="M53" i="182"/>
  <c r="AB38" i="173"/>
  <c r="AA11" i="173"/>
  <c r="M88" i="182" l="1"/>
  <c r="L88" i="182"/>
  <c r="K88" i="182"/>
  <c r="P79" i="182"/>
  <c r="M79" i="182"/>
  <c r="L79" i="182"/>
  <c r="K79" i="182"/>
  <c r="M67" i="182"/>
  <c r="L67" i="182"/>
  <c r="K67" i="182"/>
  <c r="K64" i="181"/>
  <c r="M108" i="182"/>
  <c r="L108" i="182"/>
  <c r="K108" i="182"/>
  <c r="P53" i="182"/>
  <c r="J108" i="181"/>
  <c r="L108" i="181"/>
  <c r="K108" i="181"/>
  <c r="K142" i="182"/>
  <c r="L142" i="182"/>
  <c r="M150" i="182" l="1"/>
  <c r="I32" i="181"/>
  <c r="J41" i="134" l="1"/>
  <c r="K666" i="105"/>
  <c r="L666" i="105"/>
  <c r="M666" i="105"/>
  <c r="J666" i="105"/>
  <c r="G26" i="109" l="1"/>
  <c r="G35" i="109" s="1"/>
  <c r="G24" i="109"/>
  <c r="M26" i="109"/>
  <c r="M23" i="109"/>
  <c r="L26" i="109"/>
  <c r="L23" i="109"/>
  <c r="L18" i="109"/>
  <c r="L17" i="109"/>
  <c r="F26" i="109"/>
  <c r="F24" i="109"/>
  <c r="F18" i="109"/>
  <c r="F11" i="109"/>
  <c r="K129" i="181"/>
  <c r="L129" i="181"/>
  <c r="M129" i="181"/>
  <c r="N129" i="181"/>
  <c r="O129" i="181"/>
  <c r="P129" i="181"/>
  <c r="Q129" i="181"/>
  <c r="R129" i="181"/>
  <c r="J129" i="181"/>
  <c r="K60" i="181"/>
  <c r="L60" i="181"/>
  <c r="M60" i="181"/>
  <c r="N60" i="181"/>
  <c r="O60" i="181"/>
  <c r="P60" i="181"/>
  <c r="Q60" i="181"/>
  <c r="R60" i="181"/>
  <c r="J60" i="181"/>
  <c r="K41" i="181"/>
  <c r="L41" i="181"/>
  <c r="M41" i="181"/>
  <c r="N41" i="181"/>
  <c r="O41" i="181"/>
  <c r="P41" i="181"/>
  <c r="Q41" i="181"/>
  <c r="R41" i="181"/>
  <c r="J41" i="181"/>
  <c r="R254" i="182"/>
  <c r="L129" i="182"/>
  <c r="M129" i="182"/>
  <c r="N129" i="182"/>
  <c r="O129" i="182"/>
  <c r="P129" i="182"/>
  <c r="Q129" i="182"/>
  <c r="R129" i="182"/>
  <c r="K129" i="182"/>
  <c r="L63" i="182"/>
  <c r="M63" i="182"/>
  <c r="N63" i="182"/>
  <c r="O63" i="182"/>
  <c r="P63" i="182"/>
  <c r="Q63" i="182"/>
  <c r="R63" i="182"/>
  <c r="K63" i="182"/>
  <c r="L41" i="182"/>
  <c r="L254" i="182" s="1"/>
  <c r="M41" i="182"/>
  <c r="N41" i="182"/>
  <c r="N254" i="182" s="1"/>
  <c r="O41" i="182"/>
  <c r="O254" i="182" s="1"/>
  <c r="P41" i="182"/>
  <c r="Q41" i="182"/>
  <c r="Q254" i="182" s="1"/>
  <c r="R41" i="182"/>
  <c r="K41" i="182"/>
  <c r="L244" i="182"/>
  <c r="M244" i="182"/>
  <c r="N244" i="182"/>
  <c r="O244" i="182"/>
  <c r="P244" i="182"/>
  <c r="Q244" i="182"/>
  <c r="R244" i="182"/>
  <c r="K244" i="182"/>
  <c r="J240" i="182"/>
  <c r="J237" i="182"/>
  <c r="O87" i="144"/>
  <c r="E86" i="144" s="1"/>
  <c r="J91" i="144"/>
  <c r="K91" i="144"/>
  <c r="L91" i="144"/>
  <c r="M91" i="144"/>
  <c r="N91" i="144"/>
  <c r="I91" i="144"/>
  <c r="E282" i="149"/>
  <c r="E266" i="149"/>
  <c r="P283" i="149"/>
  <c r="P277" i="149"/>
  <c r="E276" i="149" s="1"/>
  <c r="P274" i="149"/>
  <c r="E273" i="149" s="1"/>
  <c r="E279" i="149" s="1"/>
  <c r="J280" i="149"/>
  <c r="K280" i="149"/>
  <c r="L280" i="149"/>
  <c r="M280" i="149"/>
  <c r="N280" i="149"/>
  <c r="O280" i="149"/>
  <c r="I280" i="149"/>
  <c r="J270" i="149"/>
  <c r="K270" i="149"/>
  <c r="L270" i="149"/>
  <c r="M270" i="149"/>
  <c r="N270" i="149"/>
  <c r="O270" i="149"/>
  <c r="I270" i="149"/>
  <c r="P267" i="149"/>
  <c r="P260" i="149"/>
  <c r="E259" i="149" s="1"/>
  <c r="P257" i="149"/>
  <c r="E256" i="149" s="1"/>
  <c r="J263" i="149"/>
  <c r="K263" i="149"/>
  <c r="L263" i="149"/>
  <c r="M263" i="149"/>
  <c r="N263" i="149"/>
  <c r="O263" i="149"/>
  <c r="I263" i="149"/>
  <c r="E63" i="147"/>
  <c r="L217" i="134"/>
  <c r="E216" i="134" s="1"/>
  <c r="L214" i="134"/>
  <c r="E213" i="134" s="1"/>
  <c r="L211" i="134"/>
  <c r="E210" i="134" s="1"/>
  <c r="J187" i="134"/>
  <c r="J221" i="134" s="1"/>
  <c r="K187" i="134"/>
  <c r="K221" i="134" s="1"/>
  <c r="I187" i="134"/>
  <c r="I221" i="134" s="1"/>
  <c r="L208" i="134"/>
  <c r="L205" i="134"/>
  <c r="L202" i="134"/>
  <c r="L199" i="134"/>
  <c r="L196" i="134"/>
  <c r="L193" i="134"/>
  <c r="L190" i="134"/>
  <c r="J188" i="134"/>
  <c r="P254" i="182" l="1"/>
  <c r="M254" i="182"/>
  <c r="K254" i="182"/>
  <c r="M28" i="109"/>
  <c r="P280" i="149"/>
  <c r="P270" i="149"/>
  <c r="P263" i="149"/>
  <c r="L187" i="134"/>
  <c r="E186" i="134" s="1"/>
  <c r="K665" i="105"/>
  <c r="L665" i="105"/>
  <c r="M665" i="105"/>
  <c r="J665" i="105"/>
  <c r="I378" i="105"/>
  <c r="I643" i="105"/>
  <c r="I640" i="105"/>
  <c r="I637" i="105"/>
  <c r="I634" i="105"/>
  <c r="I631" i="105"/>
  <c r="I628" i="105"/>
  <c r="I625" i="105"/>
  <c r="I622" i="105"/>
  <c r="I619" i="105"/>
  <c r="I616" i="105"/>
  <c r="I649" i="105"/>
  <c r="I646" i="105"/>
  <c r="I613" i="105"/>
  <c r="I610" i="105"/>
  <c r="I394" i="105" l="1"/>
  <c r="P284" i="149" l="1"/>
  <c r="G70" i="149"/>
  <c r="F70" i="149"/>
  <c r="G40" i="149"/>
  <c r="F40" i="149"/>
  <c r="I644" i="105" l="1"/>
  <c r="I641" i="105"/>
  <c r="I638" i="105"/>
  <c r="I635" i="105"/>
  <c r="I623" i="105"/>
  <c r="L245" i="182"/>
  <c r="M245" i="182"/>
  <c r="N245" i="182"/>
  <c r="O245" i="182"/>
  <c r="P245" i="182"/>
  <c r="Q245" i="182"/>
  <c r="R245" i="182"/>
  <c r="K245" i="182"/>
  <c r="I650" i="105"/>
  <c r="I632" i="105" l="1"/>
  <c r="I629" i="105"/>
  <c r="I626" i="105"/>
  <c r="K259" i="182"/>
  <c r="K188" i="134"/>
  <c r="I188" i="134"/>
  <c r="L209" i="134"/>
  <c r="L206" i="134"/>
  <c r="I620" i="105"/>
  <c r="I617" i="105"/>
  <c r="K222" i="134" l="1"/>
  <c r="L194" i="134"/>
  <c r="L191" i="134"/>
  <c r="I41" i="181" l="1"/>
  <c r="L203" i="134" l="1"/>
  <c r="L200" i="134"/>
  <c r="L197" i="134"/>
  <c r="L215" i="134"/>
  <c r="K137" i="182"/>
  <c r="J37" i="182"/>
  <c r="L212" i="134"/>
  <c r="I647" i="105"/>
  <c r="J41" i="182" l="1"/>
  <c r="I222" i="134"/>
  <c r="I129" i="181"/>
  <c r="L188" i="134" l="1"/>
  <c r="I614" i="105"/>
  <c r="J92" i="144" l="1"/>
  <c r="K92" i="144"/>
  <c r="L92" i="144"/>
  <c r="M92" i="144"/>
  <c r="N92" i="144"/>
  <c r="I92" i="144"/>
  <c r="O88" i="144"/>
  <c r="O92" i="144" l="1"/>
  <c r="I379" i="105"/>
  <c r="J222" i="134" l="1"/>
  <c r="J281" i="149"/>
  <c r="K281" i="149"/>
  <c r="L281" i="149"/>
  <c r="M281" i="149"/>
  <c r="N281" i="149"/>
  <c r="O281" i="149"/>
  <c r="I281" i="149"/>
  <c r="J241" i="182"/>
  <c r="P275" i="149"/>
  <c r="P278" i="149"/>
  <c r="F279" i="149"/>
  <c r="G279" i="149"/>
  <c r="J271" i="149"/>
  <c r="K271" i="149"/>
  <c r="L271" i="149"/>
  <c r="M271" i="149"/>
  <c r="N271" i="149"/>
  <c r="O271" i="149"/>
  <c r="I271" i="149"/>
  <c r="P268" i="149"/>
  <c r="F269" i="149"/>
  <c r="G269" i="149"/>
  <c r="J238" i="182"/>
  <c r="F262" i="149"/>
  <c r="G262" i="149"/>
  <c r="J264" i="149"/>
  <c r="K264" i="149"/>
  <c r="L264" i="149"/>
  <c r="M264" i="149"/>
  <c r="N264" i="149"/>
  <c r="O264" i="149"/>
  <c r="I264" i="149"/>
  <c r="P261" i="149"/>
  <c r="P258" i="149"/>
  <c r="P281" i="149" l="1"/>
  <c r="P271" i="149"/>
  <c r="E269" i="149"/>
  <c r="P264" i="149"/>
  <c r="E262" i="149"/>
  <c r="L185" i="134"/>
  <c r="L184" i="134"/>
  <c r="E183" i="134" s="1"/>
  <c r="I395" i="105"/>
  <c r="I611" i="105"/>
  <c r="I607" i="105"/>
  <c r="I604" i="105"/>
  <c r="I601" i="105"/>
  <c r="I598" i="105"/>
  <c r="I595" i="105"/>
  <c r="I592" i="105"/>
  <c r="I164" i="105"/>
  <c r="I98" i="105"/>
  <c r="N82" i="105"/>
  <c r="M82" i="105"/>
  <c r="L82" i="105"/>
  <c r="K82" i="105"/>
  <c r="J82" i="105"/>
  <c r="I94" i="105"/>
  <c r="I91" i="105"/>
  <c r="I88" i="105"/>
  <c r="I85" i="105"/>
  <c r="N30" i="105"/>
  <c r="M30" i="105"/>
  <c r="L30" i="105"/>
  <c r="K30" i="105"/>
  <c r="J30" i="105"/>
  <c r="I37" i="105"/>
  <c r="I38" i="105"/>
  <c r="L181" i="134"/>
  <c r="E180" i="134" s="1"/>
  <c r="L175" i="134"/>
  <c r="E174" i="134" s="1"/>
  <c r="L178" i="134"/>
  <c r="E177" i="134" s="1"/>
  <c r="L172" i="134"/>
  <c r="E171" i="134" s="1"/>
  <c r="L168" i="134"/>
  <c r="E167" i="134" s="1"/>
  <c r="J118" i="147"/>
  <c r="I118" i="147"/>
  <c r="I119" i="147"/>
  <c r="K74" i="147"/>
  <c r="E73" i="147" s="1"/>
  <c r="L137" i="182"/>
  <c r="M137" i="182"/>
  <c r="N137" i="182"/>
  <c r="O137" i="182"/>
  <c r="P137" i="182"/>
  <c r="Q137" i="182"/>
  <c r="R137" i="182"/>
  <c r="L128" i="182"/>
  <c r="M128" i="182"/>
  <c r="N128" i="182"/>
  <c r="O128" i="182"/>
  <c r="P128" i="182"/>
  <c r="Q128" i="182"/>
  <c r="R128" i="182"/>
  <c r="K128" i="182"/>
  <c r="L127" i="182"/>
  <c r="M127" i="182"/>
  <c r="N127" i="182"/>
  <c r="O127" i="182"/>
  <c r="P127" i="182"/>
  <c r="Q127" i="182"/>
  <c r="R127" i="182"/>
  <c r="K127" i="182"/>
  <c r="L62" i="182"/>
  <c r="M62" i="182"/>
  <c r="N62" i="182"/>
  <c r="O62" i="182"/>
  <c r="P62" i="182"/>
  <c r="Q62" i="182"/>
  <c r="R62" i="182"/>
  <c r="K62" i="182"/>
  <c r="J58" i="182"/>
  <c r="J55" i="182"/>
  <c r="J128" i="181"/>
  <c r="I63" i="181"/>
  <c r="I48" i="181"/>
  <c r="I44" i="181"/>
  <c r="R59" i="181"/>
  <c r="K59" i="181"/>
  <c r="L59" i="181"/>
  <c r="M59" i="181"/>
  <c r="N59" i="181"/>
  <c r="O59" i="181"/>
  <c r="P59" i="181"/>
  <c r="Q59" i="181"/>
  <c r="J59" i="181"/>
  <c r="I55" i="181"/>
  <c r="J129" i="182" l="1"/>
  <c r="I59" i="181"/>
  <c r="L221" i="134"/>
  <c r="I82" i="105"/>
  <c r="I30" i="105"/>
  <c r="J153" i="185"/>
  <c r="L182" i="134"/>
  <c r="K83" i="105" l="1"/>
  <c r="L83" i="105"/>
  <c r="M83" i="105"/>
  <c r="N83" i="105"/>
  <c r="J83" i="105"/>
  <c r="I95" i="105"/>
  <c r="I92" i="105"/>
  <c r="I89" i="105"/>
  <c r="I86" i="105"/>
  <c r="J58" i="181" l="1"/>
  <c r="K39" i="182"/>
  <c r="W29" i="173" l="1"/>
  <c r="Y25" i="173"/>
  <c r="F107" i="134"/>
  <c r="L179" i="134"/>
  <c r="I608" i="105"/>
  <c r="H105" i="181" l="1"/>
  <c r="H126" i="181" s="1"/>
  <c r="I9" i="115"/>
  <c r="Y19" i="173" l="1"/>
  <c r="L218" i="134"/>
  <c r="I99" i="105"/>
  <c r="I83" i="105" l="1"/>
  <c r="K22" i="115" l="1"/>
  <c r="L19" i="109" s="1"/>
  <c r="K16" i="115"/>
  <c r="L13" i="109" s="1"/>
  <c r="L176" i="134"/>
  <c r="L173" i="134"/>
  <c r="L169" i="134"/>
  <c r="J119" i="147"/>
  <c r="K75" i="147"/>
  <c r="J56" i="182"/>
  <c r="J137" i="181"/>
  <c r="I165" i="105"/>
  <c r="I605" i="105"/>
  <c r="K664" i="105"/>
  <c r="L664" i="105"/>
  <c r="M664" i="105"/>
  <c r="J664" i="105"/>
  <c r="I602" i="105"/>
  <c r="I599" i="105"/>
  <c r="I596" i="105"/>
  <c r="I593" i="105"/>
  <c r="I60" i="181" l="1"/>
  <c r="K31" i="105"/>
  <c r="L31" i="105"/>
  <c r="M31" i="105"/>
  <c r="N31" i="105"/>
  <c r="G29" i="105"/>
  <c r="E29" i="105"/>
  <c r="F29" i="105"/>
  <c r="G39" i="105"/>
  <c r="E39" i="105"/>
  <c r="F39" i="105"/>
  <c r="K65" i="147"/>
  <c r="K249" i="182" l="1"/>
  <c r="K153" i="185"/>
  <c r="J63" i="182"/>
  <c r="I161" i="105" l="1"/>
  <c r="I160" i="105"/>
  <c r="P38" i="149" l="1"/>
  <c r="E36" i="149" s="1"/>
  <c r="P39" i="149"/>
  <c r="P34" i="149"/>
  <c r="E32" i="149" s="1"/>
  <c r="P35" i="149"/>
  <c r="P30" i="149"/>
  <c r="E28" i="149" s="1"/>
  <c r="P31" i="149"/>
  <c r="P26" i="149"/>
  <c r="E24" i="149" s="1"/>
  <c r="P27" i="149"/>
  <c r="I42" i="149"/>
  <c r="M42" i="149"/>
  <c r="O42" i="149"/>
  <c r="O43" i="149"/>
  <c r="N42" i="149"/>
  <c r="N43" i="149"/>
  <c r="M43" i="149"/>
  <c r="L42" i="149"/>
  <c r="L43" i="149"/>
  <c r="K42" i="149"/>
  <c r="K43" i="149"/>
  <c r="J42" i="149"/>
  <c r="J43" i="149"/>
  <c r="I43" i="149"/>
  <c r="J41" i="149"/>
  <c r="K41" i="149"/>
  <c r="L41" i="149"/>
  <c r="M41" i="149"/>
  <c r="N41" i="149"/>
  <c r="O41" i="149"/>
  <c r="I41" i="149"/>
  <c r="P287" i="149"/>
  <c r="E285" i="149" s="1"/>
  <c r="P288" i="149"/>
  <c r="F251" i="149"/>
  <c r="G251" i="149"/>
  <c r="O253" i="149"/>
  <c r="O254" i="149"/>
  <c r="N253" i="149"/>
  <c r="N254" i="149"/>
  <c r="M253" i="149"/>
  <c r="M254" i="149"/>
  <c r="L253" i="149"/>
  <c r="L254" i="149"/>
  <c r="K253" i="149"/>
  <c r="K254" i="149"/>
  <c r="J253" i="149"/>
  <c r="J254" i="149"/>
  <c r="I253" i="149"/>
  <c r="I254" i="149"/>
  <c r="J252" i="149"/>
  <c r="K252" i="149"/>
  <c r="L252" i="149"/>
  <c r="M252" i="149"/>
  <c r="N252" i="149"/>
  <c r="O252" i="149"/>
  <c r="I252" i="149"/>
  <c r="P249" i="149"/>
  <c r="E247" i="149" s="1"/>
  <c r="P250" i="149"/>
  <c r="O244" i="149"/>
  <c r="O245" i="149"/>
  <c r="N244" i="149"/>
  <c r="N245" i="149"/>
  <c r="M244" i="149"/>
  <c r="M245" i="149"/>
  <c r="L244" i="149"/>
  <c r="L245" i="149"/>
  <c r="K244" i="149"/>
  <c r="K245" i="149"/>
  <c r="J244" i="149"/>
  <c r="J245" i="149"/>
  <c r="I244" i="149"/>
  <c r="I245" i="149"/>
  <c r="J243" i="149"/>
  <c r="L243" i="149"/>
  <c r="M243" i="149"/>
  <c r="N243" i="149"/>
  <c r="O243" i="149"/>
  <c r="I243" i="149"/>
  <c r="P240" i="149"/>
  <c r="E238" i="149" s="1"/>
  <c r="P241" i="149"/>
  <c r="P236" i="149"/>
  <c r="E234" i="149" s="1"/>
  <c r="P237" i="149"/>
  <c r="P232" i="149"/>
  <c r="E230" i="149" s="1"/>
  <c r="P233" i="149"/>
  <c r="P228" i="149"/>
  <c r="E226" i="149" s="1"/>
  <c r="P229" i="149"/>
  <c r="P224" i="149"/>
  <c r="E222" i="149" s="1"/>
  <c r="P225" i="149"/>
  <c r="P220" i="149"/>
  <c r="E218" i="149" s="1"/>
  <c r="P221" i="149"/>
  <c r="P216" i="149"/>
  <c r="E214" i="149" s="1"/>
  <c r="P217" i="149"/>
  <c r="P212" i="149"/>
  <c r="E210" i="149" s="1"/>
  <c r="P213" i="149"/>
  <c r="O207" i="149"/>
  <c r="O208" i="149"/>
  <c r="N207" i="149"/>
  <c r="N208" i="149"/>
  <c r="M207" i="149"/>
  <c r="M208" i="149"/>
  <c r="L207" i="149"/>
  <c r="L208" i="149"/>
  <c r="K207" i="149"/>
  <c r="K208" i="149"/>
  <c r="J207" i="149"/>
  <c r="J208" i="149"/>
  <c r="I207" i="149"/>
  <c r="I208" i="149"/>
  <c r="J206" i="149"/>
  <c r="K206" i="149"/>
  <c r="L206" i="149"/>
  <c r="M206" i="149"/>
  <c r="N206" i="149"/>
  <c r="O206" i="149"/>
  <c r="I206" i="149"/>
  <c r="P203" i="149"/>
  <c r="E201" i="149" s="1"/>
  <c r="P204" i="149"/>
  <c r="P199" i="149"/>
  <c r="E197" i="149" s="1"/>
  <c r="P200" i="149"/>
  <c r="O194" i="149"/>
  <c r="O195" i="149"/>
  <c r="N194" i="149"/>
  <c r="N195" i="149"/>
  <c r="M194" i="149"/>
  <c r="M195" i="149"/>
  <c r="L194" i="149"/>
  <c r="L195" i="149"/>
  <c r="K194" i="149"/>
  <c r="K195" i="149"/>
  <c r="J194" i="149"/>
  <c r="J195" i="149"/>
  <c r="I194" i="149"/>
  <c r="I195" i="149"/>
  <c r="J193" i="149"/>
  <c r="K193" i="149"/>
  <c r="L193" i="149"/>
  <c r="M193" i="149"/>
  <c r="N193" i="149"/>
  <c r="O193" i="149"/>
  <c r="I193" i="149"/>
  <c r="P190" i="149"/>
  <c r="E188" i="149" s="1"/>
  <c r="P191" i="149"/>
  <c r="P186" i="149"/>
  <c r="E184" i="149" s="1"/>
  <c r="P187" i="149"/>
  <c r="P182" i="149"/>
  <c r="E180" i="149" s="1"/>
  <c r="P183" i="149"/>
  <c r="O177" i="149"/>
  <c r="O178" i="149"/>
  <c r="N177" i="149"/>
  <c r="N178" i="149"/>
  <c r="M177" i="149"/>
  <c r="M178" i="149"/>
  <c r="L177" i="149"/>
  <c r="L178" i="149"/>
  <c r="K177" i="149"/>
  <c r="K178" i="149"/>
  <c r="J177" i="149"/>
  <c r="J178" i="149"/>
  <c r="I177" i="149"/>
  <c r="I178" i="149"/>
  <c r="J176" i="149"/>
  <c r="K176" i="149"/>
  <c r="L176" i="149"/>
  <c r="M176" i="149"/>
  <c r="N176" i="149"/>
  <c r="O176" i="149"/>
  <c r="I176" i="149"/>
  <c r="P173" i="149"/>
  <c r="P174" i="149"/>
  <c r="O168" i="149"/>
  <c r="O169" i="149"/>
  <c r="N168" i="149"/>
  <c r="N169" i="149"/>
  <c r="M168" i="149"/>
  <c r="M169" i="149"/>
  <c r="L168" i="149"/>
  <c r="L169" i="149"/>
  <c r="K168" i="149"/>
  <c r="K169" i="149"/>
  <c r="J168" i="149"/>
  <c r="J169" i="149"/>
  <c r="I168" i="149"/>
  <c r="I169" i="149"/>
  <c r="I167" i="149"/>
  <c r="J167" i="149"/>
  <c r="K167" i="149"/>
  <c r="L167" i="149"/>
  <c r="M167" i="149"/>
  <c r="N167" i="149"/>
  <c r="O167" i="149"/>
  <c r="P164" i="149"/>
  <c r="E162" i="149" s="1"/>
  <c r="P165" i="149"/>
  <c r="P160" i="149"/>
  <c r="E158" i="149" s="1"/>
  <c r="P161" i="149"/>
  <c r="P156" i="149"/>
  <c r="E154" i="149" s="1"/>
  <c r="P157" i="149"/>
  <c r="P152" i="149"/>
  <c r="E150" i="149" s="1"/>
  <c r="P153" i="149"/>
  <c r="P148" i="149"/>
  <c r="E146" i="149" s="1"/>
  <c r="P149" i="149"/>
  <c r="F141" i="149"/>
  <c r="G141" i="149"/>
  <c r="O143" i="149"/>
  <c r="O144" i="149"/>
  <c r="N143" i="149"/>
  <c r="N144" i="149"/>
  <c r="M143" i="149"/>
  <c r="M144" i="149"/>
  <c r="L143" i="149"/>
  <c r="L144" i="149"/>
  <c r="K143" i="149"/>
  <c r="K144" i="149"/>
  <c r="J143" i="149"/>
  <c r="J144" i="149"/>
  <c r="I143" i="149"/>
  <c r="I144" i="149"/>
  <c r="J142" i="149"/>
  <c r="K142" i="149"/>
  <c r="L142" i="149"/>
  <c r="M142" i="149"/>
  <c r="N142" i="149"/>
  <c r="O142" i="149"/>
  <c r="I142" i="149"/>
  <c r="P139" i="149"/>
  <c r="E137" i="149" s="1"/>
  <c r="P140" i="149"/>
  <c r="F132" i="149"/>
  <c r="G132" i="149"/>
  <c r="O134" i="149"/>
  <c r="O135" i="149"/>
  <c r="N134" i="149"/>
  <c r="N135" i="149"/>
  <c r="M134" i="149"/>
  <c r="M135" i="149"/>
  <c r="L134" i="149"/>
  <c r="L135" i="149"/>
  <c r="K134" i="149"/>
  <c r="K135" i="149"/>
  <c r="J134" i="149"/>
  <c r="J135" i="149"/>
  <c r="I134" i="149"/>
  <c r="I135" i="149"/>
  <c r="J133" i="149"/>
  <c r="K133" i="149"/>
  <c r="L133" i="149"/>
  <c r="M133" i="149"/>
  <c r="N133" i="149"/>
  <c r="O133" i="149"/>
  <c r="I133" i="149"/>
  <c r="P130" i="149"/>
  <c r="E128" i="149" s="1"/>
  <c r="P131" i="149"/>
  <c r="P43" i="149" l="1"/>
  <c r="P245" i="149"/>
  <c r="P42" i="149"/>
  <c r="P254" i="149"/>
  <c r="P41" i="149"/>
  <c r="P253" i="149"/>
  <c r="P252" i="149"/>
  <c r="P244" i="149"/>
  <c r="P207" i="149"/>
  <c r="E205" i="149"/>
  <c r="P208" i="149"/>
  <c r="P206" i="149"/>
  <c r="P195" i="149"/>
  <c r="E192" i="149"/>
  <c r="P193" i="149"/>
  <c r="P194" i="149"/>
  <c r="P178" i="149"/>
  <c r="P177" i="149"/>
  <c r="E171" i="149" s="1"/>
  <c r="P176" i="149"/>
  <c r="P169" i="149"/>
  <c r="P144" i="149"/>
  <c r="P167" i="149"/>
  <c r="P168" i="149"/>
  <c r="P135" i="149"/>
  <c r="P143" i="149"/>
  <c r="P142" i="149"/>
  <c r="P134" i="149"/>
  <c r="P133" i="149"/>
  <c r="E132" i="149"/>
  <c r="F123" i="149"/>
  <c r="G123" i="149"/>
  <c r="O125" i="149"/>
  <c r="O291" i="149" s="1"/>
  <c r="O126" i="149"/>
  <c r="N125" i="149"/>
  <c r="N291" i="149" s="1"/>
  <c r="N126" i="149"/>
  <c r="M125" i="149"/>
  <c r="M291" i="149" s="1"/>
  <c r="M126" i="149"/>
  <c r="L125" i="149"/>
  <c r="L291" i="149" s="1"/>
  <c r="L126" i="149"/>
  <c r="I124" i="149"/>
  <c r="K126" i="149"/>
  <c r="K125" i="149"/>
  <c r="J125" i="149"/>
  <c r="J291" i="149" s="1"/>
  <c r="J126" i="149"/>
  <c r="I125" i="149"/>
  <c r="I291" i="149" s="1"/>
  <c r="I126" i="149"/>
  <c r="J124" i="149"/>
  <c r="K124" i="149"/>
  <c r="L124" i="149"/>
  <c r="M124" i="149"/>
  <c r="N124" i="149"/>
  <c r="O124" i="149"/>
  <c r="P121" i="149"/>
  <c r="E119" i="149" s="1"/>
  <c r="P122" i="149"/>
  <c r="P117" i="149"/>
  <c r="E115" i="149" s="1"/>
  <c r="P118" i="149"/>
  <c r="P113" i="149"/>
  <c r="E111" i="149" s="1"/>
  <c r="P114" i="149"/>
  <c r="P109" i="149"/>
  <c r="E107" i="149" s="1"/>
  <c r="P110" i="149"/>
  <c r="P105" i="149"/>
  <c r="E103" i="149" s="1"/>
  <c r="P106" i="149"/>
  <c r="P101" i="149"/>
  <c r="E99" i="149" s="1"/>
  <c r="P102" i="149"/>
  <c r="F94" i="149"/>
  <c r="G94" i="149"/>
  <c r="O96" i="149"/>
  <c r="O97" i="149"/>
  <c r="N96" i="149"/>
  <c r="N97" i="149"/>
  <c r="M96" i="149"/>
  <c r="M97" i="149"/>
  <c r="L96" i="149"/>
  <c r="L97" i="149"/>
  <c r="K96" i="149"/>
  <c r="K97" i="149"/>
  <c r="J96" i="149"/>
  <c r="J97" i="149"/>
  <c r="I96" i="149"/>
  <c r="I97" i="149"/>
  <c r="J95" i="149"/>
  <c r="K95" i="149"/>
  <c r="L95" i="149"/>
  <c r="M95" i="149"/>
  <c r="N95" i="149"/>
  <c r="O95" i="149"/>
  <c r="I95" i="149"/>
  <c r="E93" i="149"/>
  <c r="E92" i="149"/>
  <c r="E91" i="149"/>
  <c r="P89" i="149"/>
  <c r="E87" i="149" s="1"/>
  <c r="P90" i="149"/>
  <c r="P85" i="149"/>
  <c r="E83" i="149" s="1"/>
  <c r="P86" i="149"/>
  <c r="P81" i="149"/>
  <c r="E79" i="149" s="1"/>
  <c r="P82" i="149"/>
  <c r="P76" i="149"/>
  <c r="P77" i="149"/>
  <c r="E75" i="149" s="1"/>
  <c r="P78" i="149"/>
  <c r="O72" i="149"/>
  <c r="O73" i="149"/>
  <c r="N72" i="149"/>
  <c r="N73" i="149"/>
  <c r="M72" i="149"/>
  <c r="M73" i="149"/>
  <c r="L72" i="149"/>
  <c r="L73" i="149"/>
  <c r="K72" i="149"/>
  <c r="K73" i="149"/>
  <c r="J72" i="149"/>
  <c r="J73" i="149"/>
  <c r="I72" i="149"/>
  <c r="I73" i="149"/>
  <c r="J71" i="149"/>
  <c r="K71" i="149"/>
  <c r="L71" i="149"/>
  <c r="M71" i="149"/>
  <c r="N71" i="149"/>
  <c r="O71" i="149"/>
  <c r="I71" i="149"/>
  <c r="P68" i="149"/>
  <c r="E66" i="149" s="1"/>
  <c r="P69" i="149"/>
  <c r="F61" i="149"/>
  <c r="G61" i="149"/>
  <c r="P59" i="149"/>
  <c r="E57" i="149" s="1"/>
  <c r="P60" i="149"/>
  <c r="P55" i="149"/>
  <c r="E53" i="149" s="1"/>
  <c r="P56" i="149"/>
  <c r="P51" i="149"/>
  <c r="E49" i="149" s="1"/>
  <c r="P52" i="149"/>
  <c r="P47" i="149"/>
  <c r="E45" i="149" s="1"/>
  <c r="P48" i="149"/>
  <c r="O63" i="149"/>
  <c r="O64" i="149"/>
  <c r="N63" i="149"/>
  <c r="N64" i="149"/>
  <c r="M63" i="149"/>
  <c r="M64" i="149"/>
  <c r="L63" i="149"/>
  <c r="L64" i="149"/>
  <c r="K63" i="149"/>
  <c r="K291" i="149" s="1"/>
  <c r="K64" i="149"/>
  <c r="J63" i="149"/>
  <c r="J64" i="149"/>
  <c r="I63" i="149"/>
  <c r="I64" i="149"/>
  <c r="K62" i="149"/>
  <c r="L62" i="149"/>
  <c r="M62" i="149"/>
  <c r="N62" i="149"/>
  <c r="O62" i="149"/>
  <c r="J62" i="149"/>
  <c r="I62" i="149"/>
  <c r="F15" i="149"/>
  <c r="G15" i="149"/>
  <c r="P22" i="149"/>
  <c r="E20" i="149" s="1"/>
  <c r="P23" i="149"/>
  <c r="O17" i="149"/>
  <c r="O18" i="149"/>
  <c r="N17" i="149"/>
  <c r="N18" i="149"/>
  <c r="M17" i="149"/>
  <c r="M18" i="149"/>
  <c r="L17" i="149"/>
  <c r="L18" i="149"/>
  <c r="K17" i="149"/>
  <c r="K18" i="149"/>
  <c r="J17" i="149"/>
  <c r="J18" i="149"/>
  <c r="I17" i="149"/>
  <c r="I18" i="149"/>
  <c r="J16" i="149"/>
  <c r="K16" i="149"/>
  <c r="L16" i="149"/>
  <c r="M16" i="149"/>
  <c r="N16" i="149"/>
  <c r="O16" i="149"/>
  <c r="I16" i="149"/>
  <c r="P13" i="149"/>
  <c r="E11" i="149" s="1"/>
  <c r="P14" i="149"/>
  <c r="N64" i="148"/>
  <c r="N65" i="148"/>
  <c r="M64" i="148"/>
  <c r="M65" i="148"/>
  <c r="L64" i="148"/>
  <c r="L65" i="148"/>
  <c r="K64" i="148"/>
  <c r="K65" i="148"/>
  <c r="J64" i="148"/>
  <c r="J65" i="148"/>
  <c r="I64" i="148"/>
  <c r="I65" i="148"/>
  <c r="O60" i="148"/>
  <c r="E58" i="148" s="1"/>
  <c r="O61" i="148"/>
  <c r="O56" i="148"/>
  <c r="E54" i="148" s="1"/>
  <c r="O57" i="148"/>
  <c r="O52" i="148"/>
  <c r="E50" i="148" s="1"/>
  <c r="O53" i="148"/>
  <c r="O48" i="148"/>
  <c r="E46" i="148" s="1"/>
  <c r="O49" i="148"/>
  <c r="O44" i="148"/>
  <c r="E42" i="148" s="1"/>
  <c r="O45" i="148"/>
  <c r="O40" i="148"/>
  <c r="E38" i="148" s="1"/>
  <c r="O41" i="148"/>
  <c r="O36" i="148"/>
  <c r="E34" i="148" s="1"/>
  <c r="O37" i="148"/>
  <c r="O32" i="148"/>
  <c r="E30" i="148" s="1"/>
  <c r="O33" i="148"/>
  <c r="O28" i="148"/>
  <c r="E26" i="148" s="1"/>
  <c r="O29" i="148"/>
  <c r="O24" i="148"/>
  <c r="E22" i="148" s="1"/>
  <c r="O25" i="148"/>
  <c r="O20" i="148"/>
  <c r="E18" i="148" s="1"/>
  <c r="O21" i="148"/>
  <c r="O16" i="148"/>
  <c r="O17" i="148"/>
  <c r="O12" i="148"/>
  <c r="E10" i="148" s="1"/>
  <c r="O13" i="148"/>
  <c r="J63" i="148"/>
  <c r="L63" i="148"/>
  <c r="M63" i="148"/>
  <c r="N63" i="148"/>
  <c r="I63" i="148"/>
  <c r="J90" i="144"/>
  <c r="K90" i="144"/>
  <c r="L90" i="144"/>
  <c r="M90" i="144"/>
  <c r="N90" i="144"/>
  <c r="I90" i="144"/>
  <c r="O84" i="144"/>
  <c r="E82" i="144" s="1"/>
  <c r="O85" i="144"/>
  <c r="O80" i="144"/>
  <c r="E78" i="144" s="1"/>
  <c r="O81" i="144"/>
  <c r="O76" i="144"/>
  <c r="E74" i="144" s="1"/>
  <c r="O77" i="144"/>
  <c r="O72" i="144"/>
  <c r="E70" i="144" s="1"/>
  <c r="O73" i="144"/>
  <c r="O68" i="144"/>
  <c r="E66" i="144" s="1"/>
  <c r="O69" i="144"/>
  <c r="O64" i="144"/>
  <c r="E62" i="144" s="1"/>
  <c r="O65" i="144"/>
  <c r="O60" i="144"/>
  <c r="E58" i="144" s="1"/>
  <c r="O61" i="144"/>
  <c r="O56" i="144"/>
  <c r="E54" i="144" s="1"/>
  <c r="O57" i="144"/>
  <c r="O52" i="144"/>
  <c r="E50" i="144" s="1"/>
  <c r="O53" i="144"/>
  <c r="O48" i="144"/>
  <c r="E46" i="144" s="1"/>
  <c r="O49" i="144"/>
  <c r="O44" i="144"/>
  <c r="E42" i="144" s="1"/>
  <c r="O45" i="144"/>
  <c r="O40" i="144"/>
  <c r="E38" i="144" s="1"/>
  <c r="O41" i="144"/>
  <c r="O36" i="144"/>
  <c r="E34" i="144" s="1"/>
  <c r="O37" i="144"/>
  <c r="O32" i="144"/>
  <c r="E30" i="144" s="1"/>
  <c r="O33" i="144"/>
  <c r="O28" i="144"/>
  <c r="E26" i="144" s="1"/>
  <c r="O29" i="144"/>
  <c r="O24" i="144"/>
  <c r="E22" i="144" s="1"/>
  <c r="O25" i="144"/>
  <c r="O20" i="144"/>
  <c r="E18" i="144" s="1"/>
  <c r="O21" i="144"/>
  <c r="O16" i="144"/>
  <c r="E14" i="144" s="1"/>
  <c r="O17" i="144"/>
  <c r="O12" i="144"/>
  <c r="E10" i="144" s="1"/>
  <c r="O13" i="144"/>
  <c r="I292" i="149" l="1"/>
  <c r="E94" i="149"/>
  <c r="N292" i="149"/>
  <c r="L30" i="115" s="1"/>
  <c r="M18" i="109" s="1"/>
  <c r="J292" i="149"/>
  <c r="M292" i="149"/>
  <c r="L28" i="115" s="1"/>
  <c r="L292" i="149"/>
  <c r="O292" i="149"/>
  <c r="L29" i="115" s="1"/>
  <c r="M17" i="109" s="1"/>
  <c r="K292" i="149"/>
  <c r="O64" i="148"/>
  <c r="E141" i="149"/>
  <c r="E251" i="149"/>
  <c r="O90" i="144"/>
  <c r="O65" i="148"/>
  <c r="N290" i="149"/>
  <c r="J290" i="149"/>
  <c r="O290" i="149"/>
  <c r="I290" i="149"/>
  <c r="L290" i="149"/>
  <c r="M290" i="149"/>
  <c r="O91" i="144"/>
  <c r="E242" i="149"/>
  <c r="E166" i="149"/>
  <c r="P125" i="149"/>
  <c r="P126" i="149"/>
  <c r="P124" i="149"/>
  <c r="P95" i="149"/>
  <c r="P96" i="149"/>
  <c r="P97" i="149"/>
  <c r="P71" i="149"/>
  <c r="P72" i="149"/>
  <c r="P73" i="149"/>
  <c r="E70" i="149"/>
  <c r="P64" i="149"/>
  <c r="E61" i="149"/>
  <c r="P63" i="149"/>
  <c r="P62" i="149"/>
  <c r="P16" i="149"/>
  <c r="E40" i="149"/>
  <c r="P17" i="149"/>
  <c r="P18" i="149"/>
  <c r="J117" i="147"/>
  <c r="J30" i="115" s="1"/>
  <c r="K18" i="109" s="1"/>
  <c r="I117" i="147"/>
  <c r="K113" i="147"/>
  <c r="K114" i="147"/>
  <c r="E112" i="147" s="1"/>
  <c r="K115" i="147"/>
  <c r="K109" i="147"/>
  <c r="K110" i="147"/>
  <c r="E108" i="147" s="1"/>
  <c r="K111" i="147"/>
  <c r="K103" i="147"/>
  <c r="K104" i="147"/>
  <c r="E102" i="147" s="1"/>
  <c r="K105" i="147"/>
  <c r="K98" i="147"/>
  <c r="K99" i="147"/>
  <c r="E97" i="147" s="1"/>
  <c r="K100" i="147"/>
  <c r="K93" i="147"/>
  <c r="K94" i="147"/>
  <c r="E92" i="147" s="1"/>
  <c r="K95" i="147"/>
  <c r="K88" i="147"/>
  <c r="K89" i="147"/>
  <c r="E87" i="147" s="1"/>
  <c r="K90" i="147"/>
  <c r="K83" i="147"/>
  <c r="K84" i="147"/>
  <c r="E82" i="147" s="1"/>
  <c r="K85" i="147"/>
  <c r="K78" i="147"/>
  <c r="K79" i="147"/>
  <c r="E77" i="147" s="1"/>
  <c r="K80" i="147"/>
  <c r="K69" i="147"/>
  <c r="K70" i="147"/>
  <c r="E68" i="147" s="1"/>
  <c r="K71" i="147"/>
  <c r="K60" i="147"/>
  <c r="K61" i="147"/>
  <c r="E59" i="147" s="1"/>
  <c r="K55" i="147"/>
  <c r="K56" i="147"/>
  <c r="E54" i="147" s="1"/>
  <c r="K57" i="147"/>
  <c r="K50" i="147"/>
  <c r="K51" i="147"/>
  <c r="E49" i="147" s="1"/>
  <c r="K52" i="147"/>
  <c r="K44" i="147"/>
  <c r="K45" i="147"/>
  <c r="E43" i="147" s="1"/>
  <c r="K46" i="147"/>
  <c r="K39" i="147"/>
  <c r="K40" i="147"/>
  <c r="E38" i="147" s="1"/>
  <c r="K41" i="147"/>
  <c r="K35" i="147"/>
  <c r="K36" i="147"/>
  <c r="E34" i="147" s="1"/>
  <c r="K37" i="147"/>
  <c r="K31" i="147"/>
  <c r="K32" i="147"/>
  <c r="E30" i="147" s="1"/>
  <c r="K33" i="147"/>
  <c r="K27" i="147"/>
  <c r="K28" i="147"/>
  <c r="E26" i="147" s="1"/>
  <c r="K29" i="147"/>
  <c r="K23" i="147"/>
  <c r="K24" i="147"/>
  <c r="E22" i="147" s="1"/>
  <c r="K25" i="147"/>
  <c r="K19" i="147"/>
  <c r="K20" i="147"/>
  <c r="E18" i="147" s="1"/>
  <c r="K21" i="147"/>
  <c r="K15" i="147"/>
  <c r="K16" i="147"/>
  <c r="E14" i="147" s="1"/>
  <c r="K17" i="147"/>
  <c r="K11" i="147"/>
  <c r="K12" i="147"/>
  <c r="E10" i="147" s="1"/>
  <c r="K13" i="147"/>
  <c r="J141" i="182"/>
  <c r="J142" i="182"/>
  <c r="J145" i="182"/>
  <c r="J146" i="182"/>
  <c r="J149" i="182"/>
  <c r="J150" i="182"/>
  <c r="J153" i="182"/>
  <c r="J154" i="182"/>
  <c r="J161" i="182"/>
  <c r="J162" i="182"/>
  <c r="J169" i="182"/>
  <c r="J170" i="182"/>
  <c r="J174" i="182"/>
  <c r="J175" i="182"/>
  <c r="J181" i="182"/>
  <c r="J182" i="182"/>
  <c r="J185" i="182"/>
  <c r="J186" i="182"/>
  <c r="J189" i="182"/>
  <c r="J190" i="182"/>
  <c r="J193" i="182"/>
  <c r="J194" i="182"/>
  <c r="J199" i="182"/>
  <c r="J200" i="182"/>
  <c r="J204" i="182"/>
  <c r="J205" i="182"/>
  <c r="J208" i="182"/>
  <c r="J209" i="182"/>
  <c r="J214" i="182"/>
  <c r="J215" i="182"/>
  <c r="J218" i="182"/>
  <c r="J219" i="182"/>
  <c r="J222" i="182"/>
  <c r="J223" i="182"/>
  <c r="J226" i="182"/>
  <c r="J227" i="182"/>
  <c r="J230" i="182"/>
  <c r="J231" i="182"/>
  <c r="J234" i="182"/>
  <c r="J235" i="182"/>
  <c r="R263" i="182"/>
  <c r="R264" i="182"/>
  <c r="Q263" i="182"/>
  <c r="P263" i="182"/>
  <c r="P264" i="182"/>
  <c r="O263" i="182"/>
  <c r="O264" i="182"/>
  <c r="N263" i="182"/>
  <c r="M263" i="182"/>
  <c r="M264" i="182"/>
  <c r="L264" i="182"/>
  <c r="K264" i="182"/>
  <c r="R258" i="182"/>
  <c r="R259" i="182"/>
  <c r="Q258" i="182"/>
  <c r="Q259" i="182"/>
  <c r="P258" i="182"/>
  <c r="P259" i="182"/>
  <c r="O258" i="182"/>
  <c r="O259" i="182"/>
  <c r="N258" i="182"/>
  <c r="N259" i="182"/>
  <c r="M258" i="182"/>
  <c r="M259" i="182"/>
  <c r="L258" i="182"/>
  <c r="L259" i="182"/>
  <c r="K258" i="182"/>
  <c r="Q264" i="182"/>
  <c r="N243" i="182"/>
  <c r="O243" i="182"/>
  <c r="P243" i="182"/>
  <c r="Q243" i="182"/>
  <c r="R243" i="182"/>
  <c r="J160" i="182"/>
  <c r="J132" i="182"/>
  <c r="J133" i="182"/>
  <c r="J131" i="182"/>
  <c r="J125" i="182"/>
  <c r="J124" i="182"/>
  <c r="J121" i="182"/>
  <c r="J120" i="182"/>
  <c r="J117" i="182"/>
  <c r="J116" i="182"/>
  <c r="J112" i="182"/>
  <c r="J111" i="182"/>
  <c r="J108" i="182"/>
  <c r="J107" i="182"/>
  <c r="J104" i="182"/>
  <c r="J103" i="182"/>
  <c r="J100" i="182"/>
  <c r="J99" i="182"/>
  <c r="J96" i="182"/>
  <c r="J95" i="182"/>
  <c r="J92" i="182"/>
  <c r="J91" i="182"/>
  <c r="J88" i="182"/>
  <c r="J87" i="182"/>
  <c r="J84" i="182"/>
  <c r="J83" i="182"/>
  <c r="J79" i="182"/>
  <c r="J78" i="182"/>
  <c r="J75" i="182"/>
  <c r="J74" i="182"/>
  <c r="J71" i="182"/>
  <c r="J70" i="182"/>
  <c r="J67" i="182"/>
  <c r="J66" i="182"/>
  <c r="L61" i="182"/>
  <c r="M61" i="182"/>
  <c r="N61" i="182"/>
  <c r="O61" i="182"/>
  <c r="P61" i="182"/>
  <c r="Q61" i="182"/>
  <c r="R61" i="182"/>
  <c r="K61" i="182"/>
  <c r="K252" i="182" s="1"/>
  <c r="J59" i="182"/>
  <c r="J52" i="182"/>
  <c r="J53" i="182"/>
  <c r="J48" i="182"/>
  <c r="J49" i="182"/>
  <c r="J44" i="182"/>
  <c r="J45" i="182"/>
  <c r="P292" i="149" l="1"/>
  <c r="P291" i="149"/>
  <c r="E15" i="149"/>
  <c r="K117" i="147"/>
  <c r="K119" i="147"/>
  <c r="J258" i="182"/>
  <c r="J259" i="182"/>
  <c r="E123" i="149"/>
  <c r="K118" i="147"/>
  <c r="N264" i="182"/>
  <c r="L263" i="182"/>
  <c r="K263" i="182"/>
  <c r="J244" i="182"/>
  <c r="J245" i="182"/>
  <c r="J128" i="182"/>
  <c r="J62" i="182"/>
  <c r="R40" i="182"/>
  <c r="R253" i="182" s="1"/>
  <c r="Q40" i="182"/>
  <c r="Q253" i="182" s="1"/>
  <c r="P40" i="182"/>
  <c r="P253" i="182" s="1"/>
  <c r="O40" i="182"/>
  <c r="O253" i="182" s="1"/>
  <c r="N40" i="182"/>
  <c r="N253" i="182" s="1"/>
  <c r="M40" i="182"/>
  <c r="M253" i="182" s="1"/>
  <c r="L40" i="182"/>
  <c r="L253" i="182" s="1"/>
  <c r="K40" i="182"/>
  <c r="K253" i="182" s="1"/>
  <c r="J36" i="182"/>
  <c r="J32" i="182"/>
  <c r="J31" i="182"/>
  <c r="J27" i="182"/>
  <c r="J26" i="182"/>
  <c r="J22" i="182"/>
  <c r="J21" i="182"/>
  <c r="J17" i="182"/>
  <c r="J16" i="182"/>
  <c r="J11" i="182"/>
  <c r="J12" i="182"/>
  <c r="J10" i="182"/>
  <c r="N249" i="182" l="1"/>
  <c r="L249" i="182"/>
  <c r="R249" i="182"/>
  <c r="M249" i="182"/>
  <c r="Q249" i="182"/>
  <c r="P249" i="182"/>
  <c r="L10" i="115" s="1"/>
  <c r="O249" i="182"/>
  <c r="J264" i="182"/>
  <c r="P136" i="182"/>
  <c r="P248" i="182" s="1"/>
  <c r="L136" i="182"/>
  <c r="L248" i="182" s="1"/>
  <c r="R136" i="182"/>
  <c r="R248" i="182" s="1"/>
  <c r="K136" i="182"/>
  <c r="K248" i="182" s="1"/>
  <c r="M136" i="182"/>
  <c r="M248" i="182" s="1"/>
  <c r="O136" i="182"/>
  <c r="O248" i="182" s="1"/>
  <c r="Q136" i="182"/>
  <c r="Q248" i="182" s="1"/>
  <c r="N136" i="182"/>
  <c r="N248" i="182" s="1"/>
  <c r="J263" i="182"/>
  <c r="J40" i="182"/>
  <c r="J139" i="181"/>
  <c r="I141" i="181"/>
  <c r="I140" i="181"/>
  <c r="I133" i="181"/>
  <c r="I132" i="181"/>
  <c r="R128" i="181"/>
  <c r="Q128" i="181"/>
  <c r="P128" i="181"/>
  <c r="O128" i="181"/>
  <c r="N128" i="181"/>
  <c r="M128" i="181"/>
  <c r="L128" i="181"/>
  <c r="K128" i="181"/>
  <c r="I125" i="181"/>
  <c r="I124" i="181"/>
  <c r="I121" i="181"/>
  <c r="I120" i="181"/>
  <c r="I117" i="181"/>
  <c r="I116" i="181"/>
  <c r="I112" i="181"/>
  <c r="I111" i="181"/>
  <c r="I108" i="181"/>
  <c r="I107" i="181"/>
  <c r="I104" i="181"/>
  <c r="I103" i="181"/>
  <c r="I100" i="181"/>
  <c r="I99" i="181"/>
  <c r="I96" i="181"/>
  <c r="I95" i="181"/>
  <c r="I92" i="181"/>
  <c r="I91" i="181"/>
  <c r="I88" i="181"/>
  <c r="I87" i="181"/>
  <c r="I84" i="181"/>
  <c r="I83" i="181"/>
  <c r="I80" i="181"/>
  <c r="I79" i="181"/>
  <c r="I76" i="181"/>
  <c r="I75" i="181"/>
  <c r="I72" i="181"/>
  <c r="I71" i="181"/>
  <c r="I68" i="181"/>
  <c r="I67" i="181"/>
  <c r="I64" i="181"/>
  <c r="K58" i="181"/>
  <c r="L58" i="181"/>
  <c r="M58" i="181"/>
  <c r="N58" i="181"/>
  <c r="O58" i="181"/>
  <c r="P58" i="181"/>
  <c r="Q58" i="181"/>
  <c r="I56" i="181"/>
  <c r="I52" i="181"/>
  <c r="I53" i="181"/>
  <c r="I49" i="181"/>
  <c r="I45" i="181"/>
  <c r="I37" i="181"/>
  <c r="I36" i="181"/>
  <c r="I31" i="181"/>
  <c r="I27" i="181"/>
  <c r="I26" i="181"/>
  <c r="I22" i="181"/>
  <c r="I21" i="181"/>
  <c r="I17" i="181"/>
  <c r="I16" i="181"/>
  <c r="I11" i="181"/>
  <c r="I12" i="181"/>
  <c r="I35" i="181"/>
  <c r="R40" i="181"/>
  <c r="R137" i="181"/>
  <c r="R145" i="181" s="1"/>
  <c r="Q40" i="181"/>
  <c r="Q137" i="181"/>
  <c r="Q145" i="181" s="1"/>
  <c r="I145" i="181" s="1"/>
  <c r="P40" i="181"/>
  <c r="P137" i="181"/>
  <c r="P145" i="181" s="1"/>
  <c r="O40" i="181"/>
  <c r="O137" i="181"/>
  <c r="O145" i="181" s="1"/>
  <c r="L50" i="113" s="1"/>
  <c r="G18" i="109" s="1"/>
  <c r="N40" i="181"/>
  <c r="N137" i="181"/>
  <c r="N145" i="181" s="1"/>
  <c r="L45" i="113" s="1"/>
  <c r="M40" i="181"/>
  <c r="M137" i="181"/>
  <c r="M145" i="181" s="1"/>
  <c r="L48" i="113" s="1"/>
  <c r="L40" i="181"/>
  <c r="L137" i="181"/>
  <c r="L145" i="181" s="1"/>
  <c r="L40" i="113" s="1"/>
  <c r="G11" i="109" s="1"/>
  <c r="K40" i="181"/>
  <c r="K137" i="181"/>
  <c r="K145" i="181" s="1"/>
  <c r="L19" i="113" s="1"/>
  <c r="J40" i="181"/>
  <c r="J145" i="181"/>
  <c r="L36" i="113" s="1"/>
  <c r="J220" i="134"/>
  <c r="J28" i="115" s="1"/>
  <c r="K220" i="134"/>
  <c r="J29" i="115" s="1"/>
  <c r="K17" i="109" s="1"/>
  <c r="I220" i="134"/>
  <c r="L163" i="134"/>
  <c r="L164" i="134"/>
  <c r="E162" i="134" s="1"/>
  <c r="L165" i="134"/>
  <c r="L159" i="134"/>
  <c r="L160" i="134"/>
  <c r="E158" i="134" s="1"/>
  <c r="L161" i="134"/>
  <c r="L153" i="134"/>
  <c r="L154" i="134"/>
  <c r="E152" i="134" s="1"/>
  <c r="L155" i="134"/>
  <c r="L148" i="134"/>
  <c r="L149" i="134"/>
  <c r="E147" i="134" s="1"/>
  <c r="L150" i="134"/>
  <c r="L144" i="134"/>
  <c r="L145" i="134"/>
  <c r="E143" i="134" s="1"/>
  <c r="L146" i="134"/>
  <c r="L140" i="134"/>
  <c r="L141" i="134"/>
  <c r="E139" i="134" s="1"/>
  <c r="L142" i="134"/>
  <c r="L136" i="134"/>
  <c r="L137" i="134"/>
  <c r="E135" i="134" s="1"/>
  <c r="L138" i="134"/>
  <c r="L132" i="134"/>
  <c r="L133" i="134"/>
  <c r="E131" i="134" s="1"/>
  <c r="L134" i="134"/>
  <c r="L128" i="134"/>
  <c r="L129" i="134"/>
  <c r="E127" i="134" s="1"/>
  <c r="L130" i="134"/>
  <c r="L124" i="134"/>
  <c r="L125" i="134"/>
  <c r="E123" i="134" s="1"/>
  <c r="L126" i="134"/>
  <c r="L120" i="134"/>
  <c r="L121" i="134"/>
  <c r="E119" i="134" s="1"/>
  <c r="L122" i="134"/>
  <c r="L116" i="134"/>
  <c r="L117" i="134"/>
  <c r="E115" i="134" s="1"/>
  <c r="L118" i="134"/>
  <c r="L112" i="134"/>
  <c r="L113" i="134"/>
  <c r="E111" i="134" s="1"/>
  <c r="L114" i="134"/>
  <c r="L108" i="134"/>
  <c r="L109" i="134"/>
  <c r="E107" i="134" s="1"/>
  <c r="L110" i="134"/>
  <c r="L104" i="134"/>
  <c r="L105" i="134"/>
  <c r="E103" i="134" s="1"/>
  <c r="L106" i="134"/>
  <c r="L100" i="134"/>
  <c r="L101" i="134"/>
  <c r="E99" i="134" s="1"/>
  <c r="L102" i="134"/>
  <c r="L96" i="134"/>
  <c r="L97" i="134"/>
  <c r="E95" i="134" s="1"/>
  <c r="L98" i="134"/>
  <c r="L92" i="134"/>
  <c r="L93" i="134"/>
  <c r="E91" i="134" s="1"/>
  <c r="L94" i="134"/>
  <c r="L88" i="134"/>
  <c r="L89" i="134"/>
  <c r="E87" i="134" s="1"/>
  <c r="L90" i="134"/>
  <c r="L84" i="134"/>
  <c r="L85" i="134"/>
  <c r="E83" i="134" s="1"/>
  <c r="L86" i="134"/>
  <c r="L80" i="134"/>
  <c r="L81" i="134"/>
  <c r="E79" i="134" s="1"/>
  <c r="L82" i="134"/>
  <c r="L76" i="134"/>
  <c r="L77" i="134"/>
  <c r="E75" i="134" s="1"/>
  <c r="L78" i="134"/>
  <c r="L72" i="134"/>
  <c r="L73" i="134"/>
  <c r="E71" i="134" s="1"/>
  <c r="L74" i="134"/>
  <c r="L68" i="134"/>
  <c r="L69" i="134"/>
  <c r="E67" i="134" s="1"/>
  <c r="L70" i="134"/>
  <c r="L64" i="134"/>
  <c r="L65" i="134"/>
  <c r="E63" i="134" s="1"/>
  <c r="L66" i="134"/>
  <c r="L60" i="134"/>
  <c r="L61" i="134"/>
  <c r="E59" i="134" s="1"/>
  <c r="L62" i="134"/>
  <c r="L55" i="134"/>
  <c r="L56" i="134"/>
  <c r="E54" i="134" s="1"/>
  <c r="L57" i="134"/>
  <c r="L51" i="134"/>
  <c r="L52" i="134"/>
  <c r="E50" i="134" s="1"/>
  <c r="L53" i="134"/>
  <c r="L47" i="134"/>
  <c r="L48" i="134"/>
  <c r="E46" i="134" s="1"/>
  <c r="L49" i="134"/>
  <c r="L43" i="134"/>
  <c r="L44" i="134"/>
  <c r="E42" i="134" s="1"/>
  <c r="L45" i="134"/>
  <c r="L39" i="134"/>
  <c r="L40" i="134"/>
  <c r="E38" i="134" s="1"/>
  <c r="L41" i="134"/>
  <c r="L35" i="134"/>
  <c r="L36" i="134"/>
  <c r="L37" i="134"/>
  <c r="L31" i="134"/>
  <c r="L32" i="134"/>
  <c r="L33" i="134"/>
  <c r="L27" i="134"/>
  <c r="L28" i="134"/>
  <c r="L29" i="134"/>
  <c r="L25" i="134"/>
  <c r="L23" i="134"/>
  <c r="L24" i="134"/>
  <c r="L21" i="134"/>
  <c r="L20" i="134"/>
  <c r="L19" i="134"/>
  <c r="L15" i="134"/>
  <c r="L11" i="134"/>
  <c r="L17" i="134"/>
  <c r="L16" i="134"/>
  <c r="E14" i="134" s="1"/>
  <c r="L12" i="134"/>
  <c r="L13" i="134"/>
  <c r="J173" i="185"/>
  <c r="K173" i="185"/>
  <c r="L8" i="115" l="1"/>
  <c r="I137" i="181"/>
  <c r="I128" i="181"/>
  <c r="I40" i="181"/>
  <c r="L220" i="134"/>
  <c r="J136" i="182"/>
  <c r="K174" i="185"/>
  <c r="N136" i="181"/>
  <c r="N144" i="181" s="1"/>
  <c r="J136" i="181"/>
  <c r="J144" i="181" s="1"/>
  <c r="L136" i="181"/>
  <c r="L144" i="181" s="1"/>
  <c r="P136" i="181"/>
  <c r="P144" i="181" s="1"/>
  <c r="R136" i="181"/>
  <c r="R144" i="181" s="1"/>
  <c r="K136" i="181"/>
  <c r="K144" i="181" s="1"/>
  <c r="M136" i="181"/>
  <c r="M144" i="181" s="1"/>
  <c r="O136" i="181"/>
  <c r="O144" i="181" s="1"/>
  <c r="Q136" i="181"/>
  <c r="Q144" i="181" s="1"/>
  <c r="J137" i="182"/>
  <c r="J248" i="182"/>
  <c r="J253" i="182"/>
  <c r="J249" i="182"/>
  <c r="J254" i="182"/>
  <c r="L222" i="134"/>
  <c r="J174" i="185"/>
  <c r="L16" i="115"/>
  <c r="K9" i="115"/>
  <c r="L9" i="115"/>
  <c r="M16" i="109" s="1"/>
  <c r="K35" i="115"/>
  <c r="L35" i="115"/>
  <c r="K31" i="115"/>
  <c r="L31" i="115"/>
  <c r="K27" i="115"/>
  <c r="L27" i="115"/>
  <c r="K15" i="115"/>
  <c r="L22" i="115"/>
  <c r="M19" i="109" s="1"/>
  <c r="K66" i="113"/>
  <c r="L66" i="113"/>
  <c r="K62" i="113"/>
  <c r="F27" i="109" s="1"/>
  <c r="L62" i="113"/>
  <c r="G27" i="109" s="1"/>
  <c r="K58" i="113"/>
  <c r="F23" i="109" s="1"/>
  <c r="L58" i="113"/>
  <c r="G23" i="109" s="1"/>
  <c r="K51" i="113"/>
  <c r="L51" i="113"/>
  <c r="K46" i="113"/>
  <c r="F17" i="109" s="1"/>
  <c r="L46" i="113"/>
  <c r="G17" i="109" s="1"/>
  <c r="K42" i="113"/>
  <c r="F16" i="109" s="1"/>
  <c r="L42" i="113"/>
  <c r="G16" i="109" s="1"/>
  <c r="K31" i="113"/>
  <c r="F10" i="109" s="1"/>
  <c r="L31" i="113"/>
  <c r="G10" i="109" s="1"/>
  <c r="K21" i="113"/>
  <c r="K20" i="113" s="1"/>
  <c r="F9" i="109" s="1"/>
  <c r="L21" i="113"/>
  <c r="K9" i="113"/>
  <c r="K8" i="113" s="1"/>
  <c r="F8" i="109" s="1"/>
  <c r="F14" i="109" s="1"/>
  <c r="L9" i="113"/>
  <c r="L8" i="113" s="1"/>
  <c r="G8" i="109" s="1"/>
  <c r="M42" i="105"/>
  <c r="N42" i="105"/>
  <c r="M41" i="105"/>
  <c r="N41" i="105"/>
  <c r="L41" i="105"/>
  <c r="L42" i="105"/>
  <c r="K41" i="105"/>
  <c r="K42" i="105"/>
  <c r="J41" i="105"/>
  <c r="J42" i="105"/>
  <c r="K40" i="105"/>
  <c r="L40" i="105"/>
  <c r="M40" i="105"/>
  <c r="N40" i="105"/>
  <c r="J40" i="105"/>
  <c r="I58" i="105"/>
  <c r="I57" i="105"/>
  <c r="I56" i="105"/>
  <c r="I590" i="105"/>
  <c r="I589" i="105"/>
  <c r="I586" i="105"/>
  <c r="I585" i="105"/>
  <c r="I582" i="105"/>
  <c r="I581" i="105"/>
  <c r="I578" i="105"/>
  <c r="I577" i="105"/>
  <c r="I574" i="105"/>
  <c r="I573" i="105"/>
  <c r="I570" i="105"/>
  <c r="I569" i="105"/>
  <c r="I566" i="105"/>
  <c r="I565" i="105"/>
  <c r="I561" i="105"/>
  <c r="I560" i="105"/>
  <c r="I557" i="105"/>
  <c r="I556" i="105"/>
  <c r="I553" i="105"/>
  <c r="I552" i="105"/>
  <c r="I549" i="105"/>
  <c r="I548" i="105"/>
  <c r="I545" i="105"/>
  <c r="I544" i="105"/>
  <c r="I541" i="105"/>
  <c r="I540" i="105"/>
  <c r="N537" i="105"/>
  <c r="N666" i="105" s="1"/>
  <c r="N536" i="105"/>
  <c r="N535" i="105"/>
  <c r="I532" i="105"/>
  <c r="I531" i="105"/>
  <c r="I528" i="105"/>
  <c r="I527" i="105"/>
  <c r="I524" i="105"/>
  <c r="I523" i="105"/>
  <c r="I520" i="105"/>
  <c r="I519" i="105"/>
  <c r="I516" i="105"/>
  <c r="I515" i="105"/>
  <c r="I512" i="105"/>
  <c r="I511" i="105"/>
  <c r="I508" i="105"/>
  <c r="I507" i="105"/>
  <c r="I504" i="105"/>
  <c r="I503" i="105"/>
  <c r="I500" i="105"/>
  <c r="I499" i="105"/>
  <c r="I496" i="105"/>
  <c r="I495" i="105"/>
  <c r="I492" i="105"/>
  <c r="I491" i="105"/>
  <c r="I488" i="105"/>
  <c r="I487" i="105"/>
  <c r="I484" i="105"/>
  <c r="I483" i="105"/>
  <c r="I480" i="105"/>
  <c r="I479" i="105"/>
  <c r="I476" i="105"/>
  <c r="I475" i="105"/>
  <c r="I472" i="105"/>
  <c r="I471" i="105"/>
  <c r="I468" i="105"/>
  <c r="I467" i="105"/>
  <c r="I464" i="105"/>
  <c r="I463" i="105"/>
  <c r="I460" i="105"/>
  <c r="I459" i="105"/>
  <c r="I455" i="105"/>
  <c r="I454" i="105"/>
  <c r="I451" i="105"/>
  <c r="I450" i="105"/>
  <c r="I447" i="105"/>
  <c r="I446" i="105"/>
  <c r="I443" i="105"/>
  <c r="I442" i="105"/>
  <c r="I438" i="105"/>
  <c r="I437" i="105"/>
  <c r="I434" i="105"/>
  <c r="I433" i="105"/>
  <c r="I430" i="105"/>
  <c r="I429" i="105"/>
  <c r="I426" i="105"/>
  <c r="I425" i="105"/>
  <c r="I422" i="105"/>
  <c r="I421" i="105"/>
  <c r="I418" i="105"/>
  <c r="I417" i="105"/>
  <c r="I414" i="105"/>
  <c r="I413" i="105"/>
  <c r="I410" i="105"/>
  <c r="I409" i="105"/>
  <c r="I404" i="105"/>
  <c r="I403" i="105"/>
  <c r="I400" i="105"/>
  <c r="I399" i="105"/>
  <c r="I392" i="105"/>
  <c r="I391" i="105"/>
  <c r="I387" i="105"/>
  <c r="I386" i="105"/>
  <c r="I383" i="105"/>
  <c r="I382" i="105"/>
  <c r="I376" i="105"/>
  <c r="I375" i="105"/>
  <c r="I372" i="105"/>
  <c r="I371" i="105"/>
  <c r="I368" i="105"/>
  <c r="I367" i="105"/>
  <c r="I364" i="105"/>
  <c r="I363" i="105"/>
  <c r="I360" i="105"/>
  <c r="I359" i="105"/>
  <c r="I356" i="105"/>
  <c r="I355" i="105"/>
  <c r="I352" i="105"/>
  <c r="I351" i="105"/>
  <c r="I348" i="105"/>
  <c r="I347" i="105"/>
  <c r="I344" i="105"/>
  <c r="I343" i="105"/>
  <c r="I340" i="105"/>
  <c r="I339" i="105"/>
  <c r="I335" i="105"/>
  <c r="I334" i="105"/>
  <c r="I331" i="105"/>
  <c r="I328" i="105"/>
  <c r="I327" i="105"/>
  <c r="I323" i="105"/>
  <c r="I322" i="105"/>
  <c r="I319" i="105"/>
  <c r="I318" i="105"/>
  <c r="I315" i="105"/>
  <c r="I314" i="105"/>
  <c r="I311" i="105"/>
  <c r="I310" i="105"/>
  <c r="I307" i="105"/>
  <c r="I306" i="105"/>
  <c r="I303" i="105"/>
  <c r="I302" i="105"/>
  <c r="I299" i="105"/>
  <c r="I298" i="105"/>
  <c r="I295" i="105"/>
  <c r="I294" i="105"/>
  <c r="I291" i="105"/>
  <c r="I290" i="105"/>
  <c r="I287" i="105"/>
  <c r="I286" i="105"/>
  <c r="N242" i="105"/>
  <c r="N243" i="105"/>
  <c r="N662" i="105" s="1"/>
  <c r="M242" i="105"/>
  <c r="M243" i="105"/>
  <c r="L242" i="105"/>
  <c r="L243" i="105"/>
  <c r="L662" i="105" s="1"/>
  <c r="K242" i="105"/>
  <c r="K243" i="105"/>
  <c r="J242" i="105"/>
  <c r="J243" i="105"/>
  <c r="I283" i="105"/>
  <c r="I282" i="105"/>
  <c r="I279" i="105"/>
  <c r="I278" i="105"/>
  <c r="I275" i="105"/>
  <c r="I274" i="105"/>
  <c r="I271" i="105"/>
  <c r="I270" i="105"/>
  <c r="I267" i="105"/>
  <c r="I266" i="105"/>
  <c r="I263" i="105"/>
  <c r="I262" i="105"/>
  <c r="I259" i="105"/>
  <c r="I258" i="105"/>
  <c r="I255" i="105"/>
  <c r="I254" i="105"/>
  <c r="I251" i="105"/>
  <c r="I250" i="105"/>
  <c r="I247" i="105"/>
  <c r="I246" i="105"/>
  <c r="I239" i="105"/>
  <c r="I238" i="105"/>
  <c r="I235" i="105"/>
  <c r="I234" i="105"/>
  <c r="I231" i="105"/>
  <c r="I230" i="105"/>
  <c r="I227" i="105"/>
  <c r="I226" i="105"/>
  <c r="N209" i="105"/>
  <c r="N210" i="105"/>
  <c r="M209" i="105"/>
  <c r="M210" i="105"/>
  <c r="L209" i="105"/>
  <c r="L210" i="105"/>
  <c r="K209" i="105"/>
  <c r="K210" i="105"/>
  <c r="J209" i="105"/>
  <c r="J210" i="105"/>
  <c r="I223" i="105"/>
  <c r="I222" i="105"/>
  <c r="I218" i="105"/>
  <c r="I217" i="105"/>
  <c r="I214" i="105"/>
  <c r="I213" i="105"/>
  <c r="I206" i="105"/>
  <c r="I205" i="105"/>
  <c r="I200" i="105"/>
  <c r="I199" i="105"/>
  <c r="J196" i="105"/>
  <c r="N195" i="105"/>
  <c r="N196" i="105"/>
  <c r="M195" i="105"/>
  <c r="M196" i="105"/>
  <c r="L195" i="105"/>
  <c r="L196" i="105"/>
  <c r="K195" i="105"/>
  <c r="K196" i="105"/>
  <c r="J195" i="105"/>
  <c r="I192" i="105"/>
  <c r="I191" i="105"/>
  <c r="I188" i="105"/>
  <c r="I187" i="105"/>
  <c r="I182" i="105"/>
  <c r="I181" i="105"/>
  <c r="I178" i="105"/>
  <c r="I177" i="105"/>
  <c r="I173" i="105"/>
  <c r="I172" i="105"/>
  <c r="I169" i="105"/>
  <c r="I168" i="105"/>
  <c r="I158" i="105"/>
  <c r="I157" i="105"/>
  <c r="I144" i="105"/>
  <c r="I143" i="105"/>
  <c r="I140" i="105"/>
  <c r="I139" i="105"/>
  <c r="I136" i="105"/>
  <c r="I135" i="105"/>
  <c r="I132" i="105"/>
  <c r="I131" i="105"/>
  <c r="I128" i="105"/>
  <c r="I127" i="105"/>
  <c r="I124" i="105"/>
  <c r="I123" i="105"/>
  <c r="N119" i="105"/>
  <c r="N120" i="105"/>
  <c r="M119" i="105"/>
  <c r="M120" i="105"/>
  <c r="L119" i="105"/>
  <c r="L120" i="105"/>
  <c r="K119" i="105"/>
  <c r="K120" i="105"/>
  <c r="J119" i="105"/>
  <c r="J120" i="105"/>
  <c r="I115" i="105"/>
  <c r="I114" i="105"/>
  <c r="I111" i="105"/>
  <c r="I110" i="105"/>
  <c r="I107" i="105"/>
  <c r="I106" i="105"/>
  <c r="I103" i="105"/>
  <c r="I102" i="105"/>
  <c r="I79" i="105"/>
  <c r="I78" i="105"/>
  <c r="I75" i="105"/>
  <c r="I74" i="105"/>
  <c r="I71" i="105"/>
  <c r="I70" i="105"/>
  <c r="I66" i="105"/>
  <c r="I65" i="105"/>
  <c r="I62" i="105"/>
  <c r="I61" i="105"/>
  <c r="I54" i="105"/>
  <c r="I53" i="105"/>
  <c r="I50" i="105"/>
  <c r="I49" i="105"/>
  <c r="I46" i="105"/>
  <c r="I45" i="105"/>
  <c r="I28" i="105"/>
  <c r="I27" i="105"/>
  <c r="I24" i="105"/>
  <c r="I23" i="105"/>
  <c r="I20" i="105"/>
  <c r="I19" i="105"/>
  <c r="I16" i="105"/>
  <c r="I15" i="105"/>
  <c r="I12" i="105"/>
  <c r="I11" i="105"/>
  <c r="G9" i="109" l="1"/>
  <c r="L20" i="113"/>
  <c r="M20" i="109"/>
  <c r="K7" i="115"/>
  <c r="L16" i="109"/>
  <c r="L15" i="115"/>
  <c r="K670" i="105"/>
  <c r="M670" i="105"/>
  <c r="L670" i="105"/>
  <c r="N670" i="105"/>
  <c r="K662" i="105"/>
  <c r="M9" i="109" s="1"/>
  <c r="M662" i="105"/>
  <c r="M11" i="109" s="1"/>
  <c r="J669" i="105"/>
  <c r="L669" i="105"/>
  <c r="N669" i="105"/>
  <c r="K661" i="105"/>
  <c r="L9" i="109" s="1"/>
  <c r="M661" i="105"/>
  <c r="L11" i="109" s="1"/>
  <c r="N661" i="105"/>
  <c r="L12" i="109" s="1"/>
  <c r="N665" i="105"/>
  <c r="M10" i="109"/>
  <c r="K669" i="105"/>
  <c r="M669" i="105"/>
  <c r="J661" i="105"/>
  <c r="L8" i="109" s="1"/>
  <c r="L661" i="105"/>
  <c r="L10" i="109" s="1"/>
  <c r="M12" i="109"/>
  <c r="G28" i="109"/>
  <c r="G34" i="109"/>
  <c r="G20" i="109"/>
  <c r="G32" i="109" s="1"/>
  <c r="G14" i="109"/>
  <c r="L41" i="113"/>
  <c r="I665" i="105"/>
  <c r="L57" i="113"/>
  <c r="L55" i="113" s="1"/>
  <c r="L28" i="109"/>
  <c r="K57" i="113"/>
  <c r="K55" i="113" s="1"/>
  <c r="F35" i="109"/>
  <c r="L7" i="115"/>
  <c r="I537" i="105"/>
  <c r="I536" i="105"/>
  <c r="I136" i="181"/>
  <c r="I144" i="181" s="1"/>
  <c r="K13" i="115"/>
  <c r="K34" i="115" s="1"/>
  <c r="K41" i="115" s="1"/>
  <c r="F28" i="109"/>
  <c r="K41" i="113"/>
  <c r="L7" i="113"/>
  <c r="K7" i="113"/>
  <c r="I243" i="105"/>
  <c r="I242" i="105"/>
  <c r="I210" i="105"/>
  <c r="I196" i="105"/>
  <c r="I195" i="105"/>
  <c r="I209" i="105"/>
  <c r="I120" i="105"/>
  <c r="I119" i="105"/>
  <c r="I40" i="105"/>
  <c r="I42" i="105"/>
  <c r="I41" i="105"/>
  <c r="G21" i="109" l="1"/>
  <c r="L53" i="113"/>
  <c r="L70" i="113" s="1"/>
  <c r="F34" i="109"/>
  <c r="F20" i="109"/>
  <c r="L20" i="109"/>
  <c r="I669" i="105"/>
  <c r="I666" i="105"/>
  <c r="K53" i="113"/>
  <c r="K70" i="113" s="1"/>
  <c r="I661" i="105"/>
  <c r="F34" i="134"/>
  <c r="E34" i="134" s="1"/>
  <c r="F30" i="134"/>
  <c r="E30" i="134" s="1"/>
  <c r="F26" i="134"/>
  <c r="E26" i="134" s="1"/>
  <c r="F22" i="134"/>
  <c r="E22" i="134" s="1"/>
  <c r="F18" i="134"/>
  <c r="E18" i="134" s="1"/>
  <c r="F10" i="134"/>
  <c r="E10" i="134" s="1"/>
  <c r="M152" i="182"/>
  <c r="M243" i="182" s="1"/>
  <c r="P215" i="149"/>
  <c r="K211" i="149"/>
  <c r="K243" i="149" s="1"/>
  <c r="G29" i="109" l="1"/>
  <c r="G37" i="109" s="1"/>
  <c r="F21" i="109"/>
  <c r="F29" i="109" s="1"/>
  <c r="F37" i="109" s="1"/>
  <c r="F32" i="109"/>
  <c r="K54" i="113"/>
  <c r="P243" i="149"/>
  <c r="K290" i="149"/>
  <c r="P290" i="149" s="1"/>
  <c r="J22" i="113"/>
  <c r="J25" i="113"/>
  <c r="J59" i="113"/>
  <c r="J63" i="113"/>
  <c r="G36" i="109" l="1"/>
  <c r="F36" i="109"/>
  <c r="N358" i="105"/>
  <c r="I173" i="185"/>
  <c r="H173" i="185"/>
  <c r="G173" i="185"/>
  <c r="F173" i="185"/>
  <c r="I153" i="185"/>
  <c r="H153" i="185"/>
  <c r="H174" i="185" s="1"/>
  <c r="G153" i="185"/>
  <c r="F153" i="185"/>
  <c r="N664" i="105" l="1"/>
  <c r="I664" i="105" s="1"/>
  <c r="F174" i="185"/>
  <c r="G174" i="185"/>
  <c r="I174" i="185"/>
  <c r="J44" i="113" l="1"/>
  <c r="O20" i="173" l="1"/>
  <c r="AA34" i="173" l="1"/>
  <c r="Q34" i="173"/>
  <c r="AA31" i="173"/>
  <c r="Q31" i="173"/>
  <c r="AA29" i="173"/>
  <c r="Q29" i="173"/>
  <c r="AA27" i="173"/>
  <c r="Q27" i="173"/>
  <c r="G34" i="173" l="1"/>
  <c r="G31" i="173"/>
  <c r="G29" i="173"/>
  <c r="G27" i="173"/>
  <c r="AA37" i="173" l="1"/>
  <c r="Q37" i="173"/>
  <c r="G37" i="173" l="1"/>
  <c r="O25" i="173"/>
  <c r="Z38" i="173"/>
  <c r="Y24" i="173"/>
  <c r="AA24" i="173" s="1"/>
  <c r="AA14" i="173"/>
  <c r="AA17" i="173"/>
  <c r="AA18" i="173"/>
  <c r="AA19" i="173"/>
  <c r="AA22" i="173"/>
  <c r="AA23" i="173"/>
  <c r="AA36" i="173"/>
  <c r="AA33" i="173"/>
  <c r="P38" i="173"/>
  <c r="Q12" i="173"/>
  <c r="Q14" i="173"/>
  <c r="Q15" i="173"/>
  <c r="Q16" i="173"/>
  <c r="Q17" i="173"/>
  <c r="Q18" i="173"/>
  <c r="Q19" i="173"/>
  <c r="Q21" i="173"/>
  <c r="Q22" i="173"/>
  <c r="Q23" i="173"/>
  <c r="Q24" i="173"/>
  <c r="Q25" i="173"/>
  <c r="Q36" i="173"/>
  <c r="Q33" i="173"/>
  <c r="Q11" i="173"/>
  <c r="AA25" i="173"/>
  <c r="G24" i="173" l="1"/>
  <c r="G25" i="173"/>
  <c r="Y16" i="173" l="1"/>
  <c r="AA16" i="173" s="1"/>
  <c r="Y15" i="173"/>
  <c r="R131" i="181"/>
  <c r="R43" i="181"/>
  <c r="R58" i="181" s="1"/>
  <c r="R35" i="181"/>
  <c r="R30" i="181"/>
  <c r="R25" i="181"/>
  <c r="R20" i="181"/>
  <c r="R15" i="181"/>
  <c r="R10" i="181"/>
  <c r="R39" i="181" l="1"/>
  <c r="J9" i="113"/>
  <c r="J8" i="113" s="1"/>
  <c r="I588" i="105" l="1"/>
  <c r="R257" i="182"/>
  <c r="Q257" i="182"/>
  <c r="P257" i="182"/>
  <c r="O257" i="182"/>
  <c r="N257" i="182"/>
  <c r="M257" i="182"/>
  <c r="L257" i="182"/>
  <c r="K257" i="182"/>
  <c r="I256" i="182"/>
  <c r="H256" i="182"/>
  <c r="G256" i="182"/>
  <c r="Q262" i="182"/>
  <c r="P262" i="182"/>
  <c r="O262" i="182"/>
  <c r="N262" i="182"/>
  <c r="M262" i="182"/>
  <c r="I242" i="182"/>
  <c r="I261" i="182" s="1"/>
  <c r="H242" i="182"/>
  <c r="H261" i="182" s="1"/>
  <c r="G242" i="182"/>
  <c r="G261" i="182" s="1"/>
  <c r="J233" i="182"/>
  <c r="J229" i="182"/>
  <c r="J225" i="182"/>
  <c r="J221" i="182"/>
  <c r="J217" i="182"/>
  <c r="J213" i="182"/>
  <c r="J207" i="182"/>
  <c r="J203" i="182"/>
  <c r="J198" i="182"/>
  <c r="J192" i="182"/>
  <c r="L188" i="182"/>
  <c r="K188" i="182"/>
  <c r="J184" i="182"/>
  <c r="L180" i="182"/>
  <c r="K180" i="182"/>
  <c r="J173" i="182"/>
  <c r="J168" i="182"/>
  <c r="J152" i="182"/>
  <c r="J148" i="182"/>
  <c r="J144" i="182"/>
  <c r="J140" i="182"/>
  <c r="I126" i="182"/>
  <c r="H126" i="182"/>
  <c r="G126" i="182"/>
  <c r="J123" i="182"/>
  <c r="J119" i="182"/>
  <c r="J115" i="182"/>
  <c r="J110" i="182"/>
  <c r="J106" i="182"/>
  <c r="J102" i="182"/>
  <c r="J98" i="182"/>
  <c r="J94" i="182"/>
  <c r="J90" i="182"/>
  <c r="J86" i="182"/>
  <c r="J82" i="182"/>
  <c r="J77" i="182"/>
  <c r="J73" i="182"/>
  <c r="J69" i="182"/>
  <c r="J65" i="182"/>
  <c r="J61" i="182"/>
  <c r="I60" i="182"/>
  <c r="H60" i="182"/>
  <c r="G60" i="182"/>
  <c r="J51" i="182"/>
  <c r="J47" i="182"/>
  <c r="J43" i="182"/>
  <c r="R39" i="182"/>
  <c r="R252" i="182" s="1"/>
  <c r="Q39" i="182"/>
  <c r="Q252" i="182" s="1"/>
  <c r="P39" i="182"/>
  <c r="P252" i="182" s="1"/>
  <c r="O39" i="182"/>
  <c r="O252" i="182" s="1"/>
  <c r="N39" i="182"/>
  <c r="N252" i="182" s="1"/>
  <c r="M39" i="182"/>
  <c r="M252" i="182" s="1"/>
  <c r="L39" i="182"/>
  <c r="L252" i="182" s="1"/>
  <c r="I38" i="182"/>
  <c r="H38" i="182"/>
  <c r="G38" i="182"/>
  <c r="J35" i="182"/>
  <c r="J30" i="182"/>
  <c r="J25" i="182"/>
  <c r="J20" i="182"/>
  <c r="J15" i="182"/>
  <c r="Q139" i="181"/>
  <c r="P139" i="181"/>
  <c r="I131" i="181"/>
  <c r="R127" i="181"/>
  <c r="R135" i="181" s="1"/>
  <c r="R143" i="181" s="1"/>
  <c r="Q127" i="181"/>
  <c r="P127" i="181"/>
  <c r="O127" i="181"/>
  <c r="N127" i="181"/>
  <c r="M127" i="181"/>
  <c r="L127" i="181"/>
  <c r="K127" i="181"/>
  <c r="J127" i="181"/>
  <c r="G126" i="181"/>
  <c r="F126" i="181"/>
  <c r="I123" i="181"/>
  <c r="I119" i="181"/>
  <c r="I115" i="181"/>
  <c r="I110" i="181"/>
  <c r="I106" i="181"/>
  <c r="I102" i="181"/>
  <c r="I98" i="181"/>
  <c r="I94" i="181"/>
  <c r="I90" i="181"/>
  <c r="I86" i="181"/>
  <c r="I82" i="181"/>
  <c r="I78" i="181"/>
  <c r="I74" i="181"/>
  <c r="I70" i="181"/>
  <c r="I66" i="181"/>
  <c r="I62" i="181"/>
  <c r="H57" i="181"/>
  <c r="G57" i="181"/>
  <c r="F57" i="181"/>
  <c r="I51" i="181"/>
  <c r="I47" i="181"/>
  <c r="I43" i="181"/>
  <c r="Q39" i="181"/>
  <c r="P39" i="181"/>
  <c r="O39" i="181"/>
  <c r="N39" i="181"/>
  <c r="M39" i="181"/>
  <c r="L39" i="181"/>
  <c r="K39" i="181"/>
  <c r="J39" i="181"/>
  <c r="H38" i="181"/>
  <c r="G38" i="181"/>
  <c r="F38" i="181"/>
  <c r="I30" i="181"/>
  <c r="I25" i="181"/>
  <c r="I20" i="181"/>
  <c r="I15" i="181"/>
  <c r="I10" i="181"/>
  <c r="I58" i="181" l="1"/>
  <c r="J39" i="182"/>
  <c r="K243" i="182"/>
  <c r="L243" i="182"/>
  <c r="L262" i="182" s="1"/>
  <c r="J127" i="182"/>
  <c r="J180" i="182"/>
  <c r="O135" i="182"/>
  <c r="O247" i="182" s="1"/>
  <c r="G134" i="182"/>
  <c r="G246" i="182" s="1"/>
  <c r="L135" i="182"/>
  <c r="I39" i="181"/>
  <c r="J135" i="181"/>
  <c r="J143" i="181" s="1"/>
  <c r="J36" i="113" s="1"/>
  <c r="N135" i="181"/>
  <c r="N143" i="181" s="1"/>
  <c r="J45" i="113" s="1"/>
  <c r="F134" i="181"/>
  <c r="F142" i="181" s="1"/>
  <c r="O135" i="181"/>
  <c r="O143" i="181" s="1"/>
  <c r="K135" i="181"/>
  <c r="K143" i="181" s="1"/>
  <c r="J19" i="113" s="1"/>
  <c r="H251" i="182"/>
  <c r="K135" i="182"/>
  <c r="G134" i="181"/>
  <c r="G142" i="181" s="1"/>
  <c r="L135" i="181"/>
  <c r="L143" i="181" s="1"/>
  <c r="P135" i="181"/>
  <c r="P143" i="181" s="1"/>
  <c r="G251" i="182"/>
  <c r="H134" i="182"/>
  <c r="H246" i="182" s="1"/>
  <c r="M135" i="182"/>
  <c r="M247" i="182" s="1"/>
  <c r="Q135" i="182"/>
  <c r="Q247" i="182" s="1"/>
  <c r="H134" i="181"/>
  <c r="H142" i="181" s="1"/>
  <c r="M135" i="181"/>
  <c r="M143" i="181" s="1"/>
  <c r="Q135" i="181"/>
  <c r="Q143" i="181" s="1"/>
  <c r="I134" i="182"/>
  <c r="I246" i="182" s="1"/>
  <c r="N135" i="182"/>
  <c r="N247" i="182" s="1"/>
  <c r="R135" i="182"/>
  <c r="R247" i="182" s="1"/>
  <c r="I127" i="181"/>
  <c r="I139" i="181"/>
  <c r="I251" i="182"/>
  <c r="J188" i="182"/>
  <c r="J257" i="182"/>
  <c r="P135" i="182"/>
  <c r="P247" i="182" s="1"/>
  <c r="R262" i="182"/>
  <c r="J243" i="182" l="1"/>
  <c r="J252" i="182"/>
  <c r="L247" i="182"/>
  <c r="I135" i="181"/>
  <c r="I143" i="181" s="1"/>
  <c r="K247" i="182"/>
  <c r="K262" i="182"/>
  <c r="J262" i="182" s="1"/>
  <c r="J135" i="182"/>
  <c r="J40" i="113"/>
  <c r="J48" i="113"/>
  <c r="J10" i="115"/>
  <c r="J8" i="115" l="1"/>
  <c r="J247" i="182"/>
  <c r="E193" i="105"/>
  <c r="K118" i="105" l="1"/>
  <c r="L118" i="105"/>
  <c r="M118" i="105"/>
  <c r="N118" i="105"/>
  <c r="J118" i="105"/>
  <c r="I138" i="105"/>
  <c r="I580" i="105" l="1"/>
  <c r="I462" i="105"/>
  <c r="I458" i="105"/>
  <c r="I432" i="105"/>
  <c r="I584" i="105"/>
  <c r="I385" i="105"/>
  <c r="I118" i="105" l="1"/>
  <c r="N208" i="105"/>
  <c r="K208" i="105"/>
  <c r="L208" i="105"/>
  <c r="M208" i="105"/>
  <c r="J208" i="105"/>
  <c r="I212" i="105"/>
  <c r="I134" i="105"/>
  <c r="I130" i="105"/>
  <c r="I126" i="105"/>
  <c r="I208" i="105" l="1"/>
  <c r="I77" i="105"/>
  <c r="I64" i="105"/>
  <c r="I60" i="105"/>
  <c r="I18" i="105"/>
  <c r="P248" i="149" l="1"/>
  <c r="F242" i="149"/>
  <c r="G242" i="149"/>
  <c r="P235" i="149"/>
  <c r="P239" i="149"/>
  <c r="P231" i="149"/>
  <c r="P227" i="149"/>
  <c r="P223" i="149"/>
  <c r="P219" i="149"/>
  <c r="P211" i="149"/>
  <c r="F205" i="149" l="1"/>
  <c r="G205" i="149"/>
  <c r="P202" i="149"/>
  <c r="P198" i="149"/>
  <c r="F192" i="149"/>
  <c r="G192" i="149"/>
  <c r="P189" i="149"/>
  <c r="P185" i="149"/>
  <c r="P181" i="149"/>
  <c r="F175" i="149"/>
  <c r="G175" i="149"/>
  <c r="P172" i="149"/>
  <c r="E175" i="149" s="1"/>
  <c r="F166" i="149"/>
  <c r="G166" i="149"/>
  <c r="P138" i="149"/>
  <c r="P129" i="149"/>
  <c r="P120" i="149"/>
  <c r="P116" i="149"/>
  <c r="P112" i="149"/>
  <c r="P108" i="149"/>
  <c r="P104" i="149"/>
  <c r="P100" i="149"/>
  <c r="P88" i="149"/>
  <c r="P84" i="149"/>
  <c r="P80" i="149"/>
  <c r="P54" i="149"/>
  <c r="P50" i="149"/>
  <c r="P33" i="149"/>
  <c r="P29" i="149"/>
  <c r="P25" i="149"/>
  <c r="P132" i="149" l="1"/>
  <c r="P70" i="149"/>
  <c r="P15" i="148" l="1"/>
  <c r="E14" i="148" s="1"/>
  <c r="P62" i="148" l="1"/>
  <c r="H16" i="115"/>
  <c r="H9" i="115"/>
  <c r="G9" i="115"/>
  <c r="Y38" i="173" l="1"/>
  <c r="S38" i="173"/>
  <c r="O38" i="173"/>
  <c r="K38" i="173"/>
  <c r="J38" i="173"/>
  <c r="I38" i="173"/>
  <c r="H38" i="173"/>
  <c r="K194" i="105" l="1"/>
  <c r="K668" i="105" s="1"/>
  <c r="L194" i="105"/>
  <c r="L668" i="105" s="1"/>
  <c r="M194" i="105"/>
  <c r="M668" i="105" s="1"/>
  <c r="N194" i="105"/>
  <c r="N668" i="105" s="1"/>
  <c r="J194" i="105"/>
  <c r="J668" i="105" s="1"/>
  <c r="I204" i="105"/>
  <c r="I668" i="105" l="1"/>
  <c r="G9" i="113"/>
  <c r="J16" i="115" l="1"/>
  <c r="P67" i="149" l="1"/>
  <c r="E81" i="105" l="1"/>
  <c r="I576" i="105"/>
  <c r="I526" i="105"/>
  <c r="M241" i="105" l="1"/>
  <c r="N241" i="105"/>
  <c r="J241" i="105"/>
  <c r="K241" i="105"/>
  <c r="L241" i="105"/>
  <c r="I249" i="105"/>
  <c r="E240" i="105"/>
  <c r="G240" i="105"/>
  <c r="F240" i="105"/>
  <c r="F81" i="105"/>
  <c r="K660" i="105" l="1"/>
  <c r="K9" i="109" s="1"/>
  <c r="J660" i="105"/>
  <c r="K8" i="109" s="1"/>
  <c r="N660" i="105"/>
  <c r="K12" i="109" s="1"/>
  <c r="L660" i="105"/>
  <c r="M660" i="105"/>
  <c r="K11" i="109" s="1"/>
  <c r="I660" i="105" l="1"/>
  <c r="T38" i="173"/>
  <c r="W21" i="173"/>
  <c r="AA21" i="173" s="1"/>
  <c r="W20" i="173"/>
  <c r="V20" i="173"/>
  <c r="N38" i="173"/>
  <c r="M20" i="173"/>
  <c r="L20" i="173"/>
  <c r="W15" i="173"/>
  <c r="AA15" i="173" s="1"/>
  <c r="W13" i="173"/>
  <c r="AA13" i="173" s="1"/>
  <c r="M13" i="173"/>
  <c r="Q13" i="173" s="1"/>
  <c r="W12" i="173"/>
  <c r="U12" i="173"/>
  <c r="AA20" i="173" l="1"/>
  <c r="U38" i="173"/>
  <c r="AA12" i="173"/>
  <c r="L38" i="173"/>
  <c r="Q20" i="173"/>
  <c r="Q38" i="173" s="1"/>
  <c r="W38" i="173"/>
  <c r="M38" i="173"/>
  <c r="X38" i="173"/>
  <c r="G33" i="173"/>
  <c r="G19" i="173"/>
  <c r="G22" i="173"/>
  <c r="G13" i="173"/>
  <c r="V38" i="173"/>
  <c r="G11" i="173"/>
  <c r="G18" i="173"/>
  <c r="G21" i="173"/>
  <c r="G23" i="173"/>
  <c r="G16" i="173"/>
  <c r="G12" i="173"/>
  <c r="G14" i="173"/>
  <c r="G15" i="173"/>
  <c r="G17" i="173"/>
  <c r="G36" i="173"/>
  <c r="O47" i="148"/>
  <c r="O43" i="148"/>
  <c r="O51" i="148"/>
  <c r="O39" i="148"/>
  <c r="AA38" i="173" l="1"/>
  <c r="G20" i="173"/>
  <c r="G38" i="173" s="1"/>
  <c r="O35" i="144"/>
  <c r="H35" i="115" l="1"/>
  <c r="H31" i="115"/>
  <c r="H27" i="115"/>
  <c r="H22" i="115"/>
  <c r="H15" i="115" s="1"/>
  <c r="H7" i="115"/>
  <c r="H66" i="113"/>
  <c r="H58" i="113"/>
  <c r="H51" i="113"/>
  <c r="H46" i="113"/>
  <c r="H42" i="113"/>
  <c r="H31" i="113"/>
  <c r="H21" i="113"/>
  <c r="H20" i="113" s="1"/>
  <c r="H9" i="113"/>
  <c r="H8" i="113" s="1"/>
  <c r="I350" i="105"/>
  <c r="I374" i="105"/>
  <c r="I317" i="105"/>
  <c r="I321" i="105"/>
  <c r="I326" i="105"/>
  <c r="I333" i="105"/>
  <c r="I338" i="105"/>
  <c r="I342" i="105"/>
  <c r="I346" i="105"/>
  <c r="I354" i="105"/>
  <c r="I362" i="105"/>
  <c r="I366" i="105"/>
  <c r="I370" i="105"/>
  <c r="I381" i="105"/>
  <c r="I390" i="105"/>
  <c r="I398" i="105"/>
  <c r="I402" i="105"/>
  <c r="I408" i="105"/>
  <c r="I412" i="105"/>
  <c r="I416" i="105"/>
  <c r="I420" i="105"/>
  <c r="I424" i="105"/>
  <c r="I428" i="105"/>
  <c r="I436" i="105"/>
  <c r="I441" i="105"/>
  <c r="I445" i="105"/>
  <c r="I449" i="105"/>
  <c r="I453" i="105"/>
  <c r="I466" i="105"/>
  <c r="I470" i="105"/>
  <c r="I474" i="105"/>
  <c r="I478" i="105"/>
  <c r="I482" i="105"/>
  <c r="I486" i="105"/>
  <c r="I490" i="105"/>
  <c r="I494" i="105"/>
  <c r="I498" i="105"/>
  <c r="I502" i="105"/>
  <c r="I506" i="105"/>
  <c r="I510" i="105"/>
  <c r="I514" i="105"/>
  <c r="I518" i="105"/>
  <c r="I522" i="105"/>
  <c r="I530" i="105"/>
  <c r="E534" i="105"/>
  <c r="F534" i="105"/>
  <c r="G534" i="105"/>
  <c r="I535" i="105"/>
  <c r="I539" i="105"/>
  <c r="I543" i="105"/>
  <c r="I547" i="105"/>
  <c r="I551" i="105"/>
  <c r="I555" i="105"/>
  <c r="I559" i="105"/>
  <c r="I564" i="105"/>
  <c r="I568" i="105"/>
  <c r="I572" i="105"/>
  <c r="G81" i="105"/>
  <c r="O35" i="148"/>
  <c r="K31" i="148"/>
  <c r="J62" i="113"/>
  <c r="E27" i="109" s="1"/>
  <c r="O59" i="148"/>
  <c r="O55" i="148"/>
  <c r="I142" i="105"/>
  <c r="I109" i="105"/>
  <c r="I105" i="105"/>
  <c r="I101" i="105"/>
  <c r="P46" i="149"/>
  <c r="P37" i="149"/>
  <c r="P286" i="149"/>
  <c r="P58" i="149"/>
  <c r="P21" i="149"/>
  <c r="O83" i="144"/>
  <c r="O59" i="144"/>
  <c r="O55" i="144"/>
  <c r="O43" i="144"/>
  <c r="O39" i="144"/>
  <c r="O23" i="144"/>
  <c r="O15" i="144"/>
  <c r="O11" i="144"/>
  <c r="O27" i="148"/>
  <c r="O23" i="148"/>
  <c r="O79" i="144"/>
  <c r="O75" i="144"/>
  <c r="O71" i="144"/>
  <c r="O67" i="144"/>
  <c r="O63" i="144"/>
  <c r="O51" i="144"/>
  <c r="O47" i="144"/>
  <c r="O31" i="144"/>
  <c r="O27" i="144"/>
  <c r="O19" i="144"/>
  <c r="P12" i="149"/>
  <c r="O15" i="148"/>
  <c r="O11" i="148"/>
  <c r="I253" i="105"/>
  <c r="I16" i="115"/>
  <c r="E26" i="109"/>
  <c r="E35" i="109" s="1"/>
  <c r="I113" i="105"/>
  <c r="G207" i="105"/>
  <c r="F207" i="105"/>
  <c r="E207" i="105"/>
  <c r="G193" i="105"/>
  <c r="F193" i="105"/>
  <c r="G117" i="105"/>
  <c r="F117" i="105"/>
  <c r="E117" i="105"/>
  <c r="J22" i="115"/>
  <c r="I22" i="115"/>
  <c r="G22" i="115"/>
  <c r="G16" i="115"/>
  <c r="I225" i="105"/>
  <c r="G7" i="115"/>
  <c r="I42" i="113"/>
  <c r="G42" i="113"/>
  <c r="K26" i="109"/>
  <c r="K23" i="109"/>
  <c r="E24" i="109"/>
  <c r="I313" i="105"/>
  <c r="I309" i="105"/>
  <c r="I305" i="105"/>
  <c r="I301" i="105"/>
  <c r="I297" i="105"/>
  <c r="I293" i="105"/>
  <c r="I289" i="105"/>
  <c r="I285" i="105"/>
  <c r="I281" i="105"/>
  <c r="I277" i="105"/>
  <c r="I273" i="105"/>
  <c r="I269" i="105"/>
  <c r="I265" i="105"/>
  <c r="I261" i="105"/>
  <c r="I257" i="105"/>
  <c r="I245" i="105"/>
  <c r="I237" i="105"/>
  <c r="I233" i="105"/>
  <c r="I229" i="105"/>
  <c r="I221" i="105"/>
  <c r="I216" i="105"/>
  <c r="I198" i="105"/>
  <c r="I190" i="105"/>
  <c r="I186" i="105"/>
  <c r="I180" i="105"/>
  <c r="I176" i="105"/>
  <c r="I171" i="105"/>
  <c r="I156" i="105"/>
  <c r="I122" i="105"/>
  <c r="I73" i="105"/>
  <c r="I69" i="105"/>
  <c r="I52" i="105"/>
  <c r="I48" i="105"/>
  <c r="I44" i="105"/>
  <c r="I26" i="105"/>
  <c r="I22" i="105"/>
  <c r="I14" i="105"/>
  <c r="I10" i="105"/>
  <c r="J31" i="113"/>
  <c r="J35" i="115"/>
  <c r="I35" i="115"/>
  <c r="G35" i="115"/>
  <c r="J31" i="115"/>
  <c r="I31" i="115"/>
  <c r="G31" i="115"/>
  <c r="I27" i="115"/>
  <c r="G27" i="115"/>
  <c r="I7" i="115"/>
  <c r="J66" i="113"/>
  <c r="I66" i="113"/>
  <c r="G66" i="113"/>
  <c r="I62" i="113"/>
  <c r="G62" i="113"/>
  <c r="I58" i="113"/>
  <c r="G58" i="113"/>
  <c r="J51" i="113"/>
  <c r="I51" i="113"/>
  <c r="G51" i="113"/>
  <c r="J46" i="113"/>
  <c r="J41" i="113" s="1"/>
  <c r="I46" i="113"/>
  <c r="G46" i="113"/>
  <c r="J42" i="113"/>
  <c r="I31" i="113"/>
  <c r="G31" i="113"/>
  <c r="J21" i="113"/>
  <c r="J20" i="113" s="1"/>
  <c r="I21" i="113"/>
  <c r="I20" i="113" s="1"/>
  <c r="G21" i="113"/>
  <c r="G20" i="113" s="1"/>
  <c r="I9" i="113"/>
  <c r="I8" i="113" s="1"/>
  <c r="G8" i="113"/>
  <c r="O31" i="148" l="1"/>
  <c r="K63" i="148"/>
  <c r="K19" i="109"/>
  <c r="J15" i="115"/>
  <c r="E9" i="109"/>
  <c r="J7" i="113"/>
  <c r="G57" i="113"/>
  <c r="G55" i="113" s="1"/>
  <c r="G41" i="113"/>
  <c r="I15" i="115"/>
  <c r="I13" i="115" s="1"/>
  <c r="I34" i="115" s="1"/>
  <c r="I41" i="115" s="1"/>
  <c r="I41" i="113"/>
  <c r="I57" i="113"/>
  <c r="I55" i="113" s="1"/>
  <c r="K28" i="109"/>
  <c r="H41" i="113"/>
  <c r="H62" i="113"/>
  <c r="H57" i="113" s="1"/>
  <c r="H55" i="113" s="1"/>
  <c r="H13" i="115"/>
  <c r="H34" i="115" s="1"/>
  <c r="H41" i="115" s="1"/>
  <c r="I167" i="105"/>
  <c r="G15" i="115"/>
  <c r="G13" i="115" s="1"/>
  <c r="G34" i="115" s="1"/>
  <c r="G41" i="115" s="1"/>
  <c r="J9" i="115"/>
  <c r="K16" i="109" s="1"/>
  <c r="E10" i="109"/>
  <c r="E11" i="109"/>
  <c r="E16" i="109"/>
  <c r="E18" i="109"/>
  <c r="I7" i="113"/>
  <c r="G7" i="113"/>
  <c r="H7" i="113"/>
  <c r="I241" i="105"/>
  <c r="K13" i="109"/>
  <c r="I194" i="105"/>
  <c r="O19" i="148"/>
  <c r="I358" i="105"/>
  <c r="O63" i="148" l="1"/>
  <c r="K10" i="109"/>
  <c r="G53" i="113"/>
  <c r="G54" i="113" s="1"/>
  <c r="H53" i="113"/>
  <c r="H70" i="113" s="1"/>
  <c r="J58" i="113"/>
  <c r="I53" i="113"/>
  <c r="I54" i="113" s="1"/>
  <c r="E8" i="109"/>
  <c r="E14" i="109" s="1"/>
  <c r="E23" i="109" l="1"/>
  <c r="E34" i="109" s="1"/>
  <c r="J57" i="113"/>
  <c r="J55" i="113" s="1"/>
  <c r="G70" i="113"/>
  <c r="H54" i="113"/>
  <c r="I70" i="113"/>
  <c r="J27" i="115"/>
  <c r="J13" i="115" s="1"/>
  <c r="E28" i="109"/>
  <c r="J53" i="113"/>
  <c r="E17" i="109"/>
  <c r="E20" i="109" s="1"/>
  <c r="J7" i="115"/>
  <c r="E21" i="109" l="1"/>
  <c r="E29" i="109" s="1"/>
  <c r="E36" i="109" s="1"/>
  <c r="J70" i="113"/>
  <c r="K20" i="109"/>
  <c r="J34" i="115"/>
  <c r="J54" i="113" s="1"/>
  <c r="K14" i="109"/>
  <c r="E32" i="109" l="1"/>
  <c r="E37" i="109"/>
  <c r="K21" i="109"/>
  <c r="E31" i="109"/>
  <c r="J41" i="115"/>
  <c r="K29" i="109" l="1"/>
  <c r="E30" i="109"/>
  <c r="E33" i="109" s="1"/>
  <c r="K37" i="109" l="1"/>
  <c r="K36" i="109"/>
  <c r="P151" i="149"/>
  <c r="P163" i="149"/>
  <c r="P159" i="149"/>
  <c r="P155" i="149"/>
  <c r="P147" i="149"/>
  <c r="J31" i="105"/>
  <c r="J662" i="105" l="1"/>
  <c r="M8" i="109" s="1"/>
  <c r="M14" i="109" s="1"/>
  <c r="J670" i="105"/>
  <c r="I662" i="105"/>
  <c r="L14" i="115" s="1"/>
  <c r="L13" i="115" s="1"/>
  <c r="I31" i="105"/>
  <c r="G31" i="109" l="1"/>
  <c r="M21" i="109"/>
  <c r="M29" i="109" s="1"/>
  <c r="I670" i="105"/>
  <c r="L14" i="109"/>
  <c r="L21" i="109" s="1"/>
  <c r="G30" i="109" l="1"/>
  <c r="G33" i="109" s="1"/>
  <c r="M37" i="109"/>
  <c r="M36" i="109"/>
  <c r="L34" i="115"/>
  <c r="L41" i="115" l="1"/>
  <c r="L54" i="113"/>
  <c r="F30" i="109"/>
  <c r="F31" i="109"/>
  <c r="L29" i="109" l="1"/>
  <c r="F33" i="109"/>
  <c r="L37" i="109" l="1"/>
  <c r="L36" i="109"/>
</calcChain>
</file>

<file path=xl/sharedStrings.xml><?xml version="1.0" encoding="utf-8"?>
<sst xmlns="http://schemas.openxmlformats.org/spreadsheetml/2006/main" count="3018" uniqueCount="929">
  <si>
    <t>adatok eFt-ban</t>
  </si>
  <si>
    <t>A</t>
  </si>
  <si>
    <t>C</t>
  </si>
  <si>
    <t>B</t>
  </si>
  <si>
    <t>D</t>
  </si>
  <si>
    <t>E</t>
  </si>
  <si>
    <t>Megnevezés</t>
  </si>
  <si>
    <t>Temetők üzemeltetésével kapcsolatos feladatok</t>
  </si>
  <si>
    <t>Parkfenntartás</t>
  </si>
  <si>
    <t>Köztisztasági feladatok</t>
  </si>
  <si>
    <t>Városi kiemelt fesztiválok</t>
  </si>
  <si>
    <t>Városi lap kiadásai</t>
  </si>
  <si>
    <t>Kitüntetések</t>
  </si>
  <si>
    <t>MINDÖSSZESEN:</t>
  </si>
  <si>
    <t>Veszprém Megyei Jogú Város Önkormányzata</t>
  </si>
  <si>
    <t>F</t>
  </si>
  <si>
    <t>G</t>
  </si>
  <si>
    <t>H</t>
  </si>
  <si>
    <t>Cím</t>
  </si>
  <si>
    <t>Alcím</t>
  </si>
  <si>
    <t>Feladatellátás jellege*</t>
  </si>
  <si>
    <t>Teljes költség</t>
  </si>
  <si>
    <t>Önkormányzati felújítási kiadások</t>
  </si>
  <si>
    <t>K</t>
  </si>
  <si>
    <t>NK</t>
  </si>
  <si>
    <t>Eötvös Károly Megyei Könyvtár</t>
  </si>
  <si>
    <t>VMJV Polgármesteri Hivatal</t>
  </si>
  <si>
    <t>* Feladatellátás jellege:</t>
  </si>
  <si>
    <t>K= Magyarország helyi önkormányzatairól szóló 2011. évi CLXXXIX. törvény 13. § (1) bekezdése szerinti kötelező feladatok</t>
  </si>
  <si>
    <t>NK= Önkormányzat által önként vállalt feladatok</t>
  </si>
  <si>
    <t>J</t>
  </si>
  <si>
    <t>Önkormányzati beruházási kiadások</t>
  </si>
  <si>
    <t>Laczkó Dezső Múzeum</t>
  </si>
  <si>
    <t>Informatikai kiadások</t>
  </si>
  <si>
    <t>I</t>
  </si>
  <si>
    <t>L</t>
  </si>
  <si>
    <t>M</t>
  </si>
  <si>
    <t>Működési költségvetési kiadások</t>
  </si>
  <si>
    <t>Személyi juttatások</t>
  </si>
  <si>
    <t>Munk.a. terh. jár. és szoc.hj.adó</t>
  </si>
  <si>
    <t>Dologi kiadások</t>
  </si>
  <si>
    <t>Egyéb működési kiadások</t>
  </si>
  <si>
    <t>Nemzeti ünnepek kiadásaira</t>
  </si>
  <si>
    <t>Nemzetközi kapcsolatok</t>
  </si>
  <si>
    <t>Marketing tevékenység, marketing stratégia</t>
  </si>
  <si>
    <t>ebből: - Veszprémi Ünnepi Játékok</t>
  </si>
  <si>
    <t xml:space="preserve">          - Gizella Napok</t>
  </si>
  <si>
    <t xml:space="preserve">          - Tánc Fesztivál </t>
  </si>
  <si>
    <t xml:space="preserve">          - Veszprémi Utcazene Fesztivál</t>
  </si>
  <si>
    <t xml:space="preserve">          - Auer Hegedűfesztivál</t>
  </si>
  <si>
    <t>Eseti rendezvények</t>
  </si>
  <si>
    <t>Köztéri szobrok, emléktáblák, lektorátus</t>
  </si>
  <si>
    <t>I. Világháborús Centenáriumi Emlékezés költségei</t>
  </si>
  <si>
    <t>Kiadványok, folyóiratok támogatása</t>
  </si>
  <si>
    <t>Méz Rádió támogatása</t>
  </si>
  <si>
    <t>ebből: - Mendelssohn Kamarazenekar</t>
  </si>
  <si>
    <t xml:space="preserve"> - Veszprém Város Vegyeskara</t>
  </si>
  <si>
    <t xml:space="preserve"> - Veszprémi Táncegyüttesért Alapítvány</t>
  </si>
  <si>
    <t xml:space="preserve"> - Liszt F. Kórus</t>
  </si>
  <si>
    <t>Szaléziánum támogatása</t>
  </si>
  <si>
    <t>Sziveri János Intézet működtetése</t>
  </si>
  <si>
    <t>Filharmónia koncertek támogatás</t>
  </si>
  <si>
    <t>Tanórán kívüli tevékenység támogatása</t>
  </si>
  <si>
    <t>Sportpálya fenntartás, ill. fenntartói tám.</t>
  </si>
  <si>
    <t>Sportcélok és feladatok (sportigazgatás)</t>
  </si>
  <si>
    <t>Polgármesteri keret</t>
  </si>
  <si>
    <t>Városi civil keret</t>
  </si>
  <si>
    <t xml:space="preserve"> ebből : - Nyugdíjas szervezetek számára pályázati keret</t>
  </si>
  <si>
    <t xml:space="preserve">            - Pályázati keret</t>
  </si>
  <si>
    <t>Köztemetés</t>
  </si>
  <si>
    <t xml:space="preserve">Közcélú és közhasznú foglalkoztatás </t>
  </si>
  <si>
    <t>Települési szilárdhulladék szállítás ártámogatás</t>
  </si>
  <si>
    <t>Máltai Szeretetszolgálatnak pénzeszköz átadás (ellátási szerződés)</t>
  </si>
  <si>
    <t>Lelkisegély szolgálat</t>
  </si>
  <si>
    <t>Hittudományi Főiskola támogatása</t>
  </si>
  <si>
    <t>Foglalkoztatás eü. szolg.</t>
  </si>
  <si>
    <t>Munkavédelmi feladatok</t>
  </si>
  <si>
    <t>Közbeszerzési eljárások költségei</t>
  </si>
  <si>
    <t xml:space="preserve">Önkormányzat igazgatási tevékenysége </t>
  </si>
  <si>
    <t>Igazgatás - Állam felé befizetési kötelezettség</t>
  </si>
  <si>
    <t>ÁFA befizetés</t>
  </si>
  <si>
    <t>Kamatkiadások</t>
  </si>
  <si>
    <t>Városi Közbiztonság Keret</t>
  </si>
  <si>
    <t>Nem lakáscélú helyiségek üzemeltetési költségei</t>
  </si>
  <si>
    <t>Közüzemi Zrt. jutaléka</t>
  </si>
  <si>
    <t>Városi TV közszolgálati műsorok támogatása</t>
  </si>
  <si>
    <t>Kittenberger K. Növény- és Vadaspark KHT működéséhez hozzájárulás</t>
  </si>
  <si>
    <t>Peres ügyek, Kártérítési díjak kifizetése ingatlantulajdonosok részére</t>
  </si>
  <si>
    <t>Jutasi úti műfüves pálya fenntartása (LUC)</t>
  </si>
  <si>
    <t>TDM Irodától szolgáltatás vásárlása</t>
  </si>
  <si>
    <t>Településfejlesztési feladatok</t>
  </si>
  <si>
    <t>Rekultivációt megelőző telephely fenntartási költség</t>
  </si>
  <si>
    <t>Aluljárók csapadékvíz átemelőinek üzemeltetése</t>
  </si>
  <si>
    <t>Szökőkutak, ivókutak szolgáltatási díjai</t>
  </si>
  <si>
    <t>Közvilágítás</t>
  </si>
  <si>
    <t>Közműalagút működtetése</t>
  </si>
  <si>
    <t>Környezetvédelmi feladat (Városüzemeltetés feladatai)</t>
  </si>
  <si>
    <t>Környezetvédelmi feladat (Közigazgatási Iroda feladatai)</t>
  </si>
  <si>
    <t>Nemzetiségi önkormányzatok kiadásai:</t>
  </si>
  <si>
    <t xml:space="preserve"> ebből: - Roma Nemzetiségi Önkormányzat</t>
  </si>
  <si>
    <t>- Német Nemzetiségi Önkormányzat</t>
  </si>
  <si>
    <t>- Örmény Nemzetiségi Önkormányzat</t>
  </si>
  <si>
    <t>- Lengyel Nemzetiségi Önkormányzat</t>
  </si>
  <si>
    <t>- Ukrán Nemzetiségi Önkormányzat</t>
  </si>
  <si>
    <t>Választókerületi keretből civil szervezetek támogatása</t>
  </si>
  <si>
    <t>Ebből: Önkormányzat által ellátott kötelező feladatok összesen:</t>
  </si>
  <si>
    <t>Ebből: Önkormányzat által ellátott önként vállalt feladatok összesen:</t>
  </si>
  <si>
    <t>KIMUTATÁS</t>
  </si>
  <si>
    <t>Göllesz Viktor Fogyatékos Személyek Nappali Intézménye</t>
  </si>
  <si>
    <t>VMJV Önkormányzata</t>
  </si>
  <si>
    <t>Összesen</t>
  </si>
  <si>
    <t>Iparűzési adó</t>
  </si>
  <si>
    <t>Építményadó</t>
  </si>
  <si>
    <t>Telekadó</t>
  </si>
  <si>
    <t>Kommunális adó</t>
  </si>
  <si>
    <t>Idegenforgalmi adó</t>
  </si>
  <si>
    <t>Gépjárműadó</t>
  </si>
  <si>
    <t>Veszprém Megyei Jogú Város Önkormányzata Intézményei</t>
  </si>
  <si>
    <t>Működési költségvetési bevételek</t>
  </si>
  <si>
    <t>Felhalmozási költségvetési bevételek</t>
  </si>
  <si>
    <t>Irányító szervtől kapott támogatás</t>
  </si>
  <si>
    <t>Működési bevételek</t>
  </si>
  <si>
    <t>Működési célú támogatás Áht-on belülről</t>
  </si>
  <si>
    <t>Működési célú átvett pénzeszköz</t>
  </si>
  <si>
    <t>Felhalmozási bevétel</t>
  </si>
  <si>
    <t>Felhalmozási célú támogatás Áht.-on belülről</t>
  </si>
  <si>
    <t>Felhalmozási célú átvett pénzeszköz</t>
  </si>
  <si>
    <t>Közcélú és közhasznú foglalkoztatás</t>
  </si>
  <si>
    <t>(Ringató Óvoda, Erdei Tagóvoda, Kuckó Tagóvoda)</t>
  </si>
  <si>
    <t>(Egry ltp. Óvoda, Nárcisz Tagóvoda)</t>
  </si>
  <si>
    <t>(Csillag úti Óvoda, Cholnoky ltp. Óvoda)</t>
  </si>
  <si>
    <t>(Kastélykert Óvoda, Ficánka Óvoda)</t>
  </si>
  <si>
    <t>Veszprémi Petőfi Színház</t>
  </si>
  <si>
    <t>INTÉZMÉNYEK ÖSSZESEN:</t>
  </si>
  <si>
    <t>VMJV Polgármesteri Hivatal által ellátott kötelező és önként vállalt feladatok</t>
  </si>
  <si>
    <t>N</t>
  </si>
  <si>
    <t>O</t>
  </si>
  <si>
    <t>P</t>
  </si>
  <si>
    <t>Felhalmozási költségvetési kiadások</t>
  </si>
  <si>
    <t>Egyéb felhalmozási célú kiadások</t>
  </si>
  <si>
    <t>Igazgatási tevékenység</t>
  </si>
  <si>
    <t>Gondnokság</t>
  </si>
  <si>
    <t>Ebből:</t>
  </si>
  <si>
    <t>Önkormányzati kötelező feladatokat ellátó intézmények összesen</t>
  </si>
  <si>
    <t>Önkormányzat által önként vállalt feladatokat ellátó intézmények összesen</t>
  </si>
  <si>
    <t>VMJV Polgármesteri Hivatal által ellátott kötelező és államigazgatási feladatok összesen</t>
  </si>
  <si>
    <t>Veszprém Megyei Jogú Város Önkormányzatának</t>
  </si>
  <si>
    <t>Működési célú támogatások Áht-on belülről</t>
  </si>
  <si>
    <t>Önkormányzatok működési támogatásai</t>
  </si>
  <si>
    <t>Működési célú költségvetési támogatások és kiegészítő támogatások</t>
  </si>
  <si>
    <t>Egyéb működési célú támogatások bevételei</t>
  </si>
  <si>
    <t>ebből: Társadalombizt. Alapból származó támogatás</t>
  </si>
  <si>
    <t>Önkormányzati Intézmények  működési célú támogatások Áht-on belülről</t>
  </si>
  <si>
    <t>Közhatalmi bevételek</t>
  </si>
  <si>
    <t>Adók</t>
  </si>
  <si>
    <t>Egyéb pótlékok, bírságok</t>
  </si>
  <si>
    <t>Egyéb közhatalmi bevételek (bírságok, igazgatási szolgáltatási díjak)</t>
  </si>
  <si>
    <t>Önkormányzati Intézmények működési bevételek</t>
  </si>
  <si>
    <t>Működési célú átvett pénzeszközök</t>
  </si>
  <si>
    <t>Önkormányzati Intézmények működési célú átvett pénzeszközök</t>
  </si>
  <si>
    <t>Felhalmozási célú támogatások Áht-on belülről</t>
  </si>
  <si>
    <t>Felhalmozási célú önkormányzati támogatások</t>
  </si>
  <si>
    <t>Egyéb felhalmozási célú támogatások bevételei</t>
  </si>
  <si>
    <t>Önkormányzati Intézmények felhalmozási célú támogatások Áht-on belülről</t>
  </si>
  <si>
    <t>Felhalmozási bevételek</t>
  </si>
  <si>
    <t>Ingatlanok értékesítése</t>
  </si>
  <si>
    <t>Önkormányzati Intézmények felhalmozási bevételei</t>
  </si>
  <si>
    <t>Felhalmozási célú átvett pénzeszközök</t>
  </si>
  <si>
    <t>Önkormányzati Intézmények felhalmozási célú átvett pénzeszközök</t>
  </si>
  <si>
    <t>Lakásalap</t>
  </si>
  <si>
    <t>Költségvetési bevételek összesen</t>
  </si>
  <si>
    <t>Költségvetési egyenleg összege</t>
  </si>
  <si>
    <t>Finanszírozási bevételek</t>
  </si>
  <si>
    <t>Intézmények</t>
  </si>
  <si>
    <t>VMJV Polgármesteri Hivatala</t>
  </si>
  <si>
    <t>Beruházási hitelfelvétel</t>
  </si>
  <si>
    <t>Előző évi hitelszerződéseken alapuló felvétel</t>
  </si>
  <si>
    <t>Bevételi főösszeg</t>
  </si>
  <si>
    <t xml:space="preserve">Cím  </t>
  </si>
  <si>
    <t>Intézményi költségvetési kiadások</t>
  </si>
  <si>
    <t>Céltartalékok</t>
  </si>
  <si>
    <t>Általános tartalék</t>
  </si>
  <si>
    <t>Lakásalap kiadása</t>
  </si>
  <si>
    <t>Költségvetési kiadások összesen</t>
  </si>
  <si>
    <t>Finanszírozási kiadások</t>
  </si>
  <si>
    <t>Működési finanszírozási kiadások</t>
  </si>
  <si>
    <t>Felhalmozási finanszírozási kiadások</t>
  </si>
  <si>
    <t xml:space="preserve"> - Hiteltörlesztés</t>
  </si>
  <si>
    <t xml:space="preserve"> - Lakásalap hiteltörlesztése</t>
  </si>
  <si>
    <t>Kiadási főösszeg</t>
  </si>
  <si>
    <t>VESZPRÉM MEGYEI JOGÚ VÁROS ÖNKORMÁNYZATÁNAK MŰKÖDÉSI ÉS FELHALMOZÁSI</t>
  </si>
  <si>
    <t>MŰKÖDÉSI KÖLTSÉGVETÉSI BEVÉTELEK</t>
  </si>
  <si>
    <t>MŰKÖDÉSI KÖLTSÉGVETÉSI KIADÁSOK</t>
  </si>
  <si>
    <t>Működési célú támogatások államháztartáson belülről</t>
  </si>
  <si>
    <t>Munkaadókat terhelő járulékok és szociális hozzájárulási adó</t>
  </si>
  <si>
    <t>Ellátottak pénzbeli juttatásai</t>
  </si>
  <si>
    <t>Egyéb működési célú kiadások (tartalékok nélkül)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</si>
  <si>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</si>
  <si>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</si>
  <si>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</si>
  <si>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</si>
  <si>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</si>
  <si>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</si>
  <si>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</si>
  <si>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költségvetési bevételek összesen</t>
  </si>
  <si>
    <t>Felhalmozási költségvetési kiadások 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</si>
  <si>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</si>
  <si>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</si>
  <si>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</si>
  <si>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</si>
  <si>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>Hosszú lejáratú hitel felvétele</t>
  </si>
  <si>
    <t>Hosszú lejáratú hitel tőkeösszegének törlesztése</t>
  </si>
  <si>
    <t>Finanszírozási bevételek összesen</t>
  </si>
  <si>
    <t>Finanszírozási kiadások összesen</t>
  </si>
  <si>
    <t>ÖSSZES BEVÉTEL</t>
  </si>
  <si>
    <t>ÖSSZES KIADÁS</t>
  </si>
  <si>
    <t>ebből működési:</t>
  </si>
  <si>
    <t>ebből felhalmozási: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</si>
  <si>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</si>
  <si>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</si>
  <si>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</si>
  <si>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</si>
  <si>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</si>
  <si>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>Kiemelt művészeti együttesek támogatása</t>
  </si>
  <si>
    <t>Swing-Swing Kft. Szolgáltatás vásárlás</t>
  </si>
  <si>
    <t>Bérleményekkel, haszonbérletekkel kapcsolatos feladatok</t>
  </si>
  <si>
    <t>Csapadékcsatornák üzemeltetési szolgáltatásai</t>
  </si>
  <si>
    <t>Felhalmozási célú átvett pénzeszközök (kölcsönök visszatérülése)</t>
  </si>
  <si>
    <t>Felhalmozási célú költségvetési maradvány igénybevétele</t>
  </si>
  <si>
    <t>Működési célú  költségvetési maradvány igénybevétele</t>
  </si>
  <si>
    <t>Előző évi  költségvetési maradvány</t>
  </si>
  <si>
    <t>Államháztartáson belüli megelőlegezések</t>
  </si>
  <si>
    <t>Államháztartáson belüli megelőlegezések visszafizetése</t>
  </si>
  <si>
    <t>Veszprémi Ringató Körzeti Óvoda</t>
  </si>
  <si>
    <t>Veszprémi Egry úti Körzeti Óvoda</t>
  </si>
  <si>
    <t>Veszprémi Csillag úti Körzeti Óvoda</t>
  </si>
  <si>
    <t>Veszprémi Kastélykert Körzeti Óvoda</t>
  </si>
  <si>
    <t>Veszprémi Intézményi Szolgáltató Szervezet</t>
  </si>
  <si>
    <t>Nyári diákmunka</t>
  </si>
  <si>
    <t>Pannon Várszínház támogatás</t>
  </si>
  <si>
    <t>Végleges forgalomba helyezéshez szükséges ingatlanrendezés</t>
  </si>
  <si>
    <t>Pápai u.-Jutasi u. belső krt mellékkötelezettségek</t>
  </si>
  <si>
    <t>Városi rendezvények</t>
  </si>
  <si>
    <t>SÉD folyóirat költségei</t>
  </si>
  <si>
    <t>M.J.V.SZ. tám. Kárpátalja megsegítésére</t>
  </si>
  <si>
    <t>ebből:  - Lélektér Alapítvány</t>
  </si>
  <si>
    <t xml:space="preserve">           - Tanulmányi ösztöndíj</t>
  </si>
  <si>
    <t xml:space="preserve">           - Fiatalok napja rendezvény</t>
  </si>
  <si>
    <t>Lakbértámogatás</t>
  </si>
  <si>
    <t>Települési támogatások</t>
  </si>
  <si>
    <t>Parkolók üzemeltetési költsége</t>
  </si>
  <si>
    <t>ebből: - Vár Ucca Műhely támogatása</t>
  </si>
  <si>
    <t xml:space="preserve">          - Veszprémi Szemle Várostörténeti Közhasznú Alapítvány Támogatása</t>
  </si>
  <si>
    <t>ebből:  - Rendkívüli támogatás</t>
  </si>
  <si>
    <t>Egészségügyi feladatok ellátását szolgáló ingatlanrész bérleti díja és rezsiköltségek</t>
  </si>
  <si>
    <t>Szolgáltatások, közvetített szolgáltatások ellenértéke</t>
  </si>
  <si>
    <t>Tulajdonosi bevételek</t>
  </si>
  <si>
    <t>ÁFA bevételek és visszatérülések</t>
  </si>
  <si>
    <t xml:space="preserve">Egyéb működési  bevételek </t>
  </si>
  <si>
    <t>Költségvetési hiány belső finanszírozására szolgáló bevételek</t>
  </si>
  <si>
    <t>Költségvetési hiány külső finanszírozására szolgáló bevételek</t>
  </si>
  <si>
    <t>Feladatellátás jellege</t>
  </si>
  <si>
    <t>Egyéb városüzemeltetési feladatok</t>
  </si>
  <si>
    <t>VKSZ Zrt. által ellátott városüzemeltetési feladatok</t>
  </si>
  <si>
    <t>VKSZ Zrt. által ellátott intézményüzemeltetési feladatok</t>
  </si>
  <si>
    <t>Intézményi működtetők költsége</t>
  </si>
  <si>
    <t>Szenvedélybetegek ellátásának működési kiadásaihoz támogatás</t>
  </si>
  <si>
    <t>Költségvetési maradvány</t>
  </si>
  <si>
    <t>eredeti előirányzat</t>
  </si>
  <si>
    <t>(Hársfa Tagóvoda, Bóbita Óvoda)</t>
  </si>
  <si>
    <t>Veszprémi Bóbita Körzeti Óvoda</t>
  </si>
  <si>
    <t>Veszprémi Vadvirág Körzeti Óvoda</t>
  </si>
  <si>
    <t>Bérlakások üzemeltetési költségei</t>
  </si>
  <si>
    <t>17</t>
  </si>
  <si>
    <t>Vagyongazdálkodással és ingatlanhasznosítással összefüggő fel. (Földhivatali eljárások, vagyonértékelés)</t>
  </si>
  <si>
    <t>Gizella Múzeum támogatása</t>
  </si>
  <si>
    <t>(Csillagvár Waldorf Tagóvoda, Vadvirág Óvoda)</t>
  </si>
  <si>
    <t>Q</t>
  </si>
  <si>
    <t>Veszprémi Bölcsődei és Egészségügyi Alapellátási Integrált Intézmény</t>
  </si>
  <si>
    <t xml:space="preserve"> - Gizella Kórus/Dowland Alapítvány</t>
  </si>
  <si>
    <t xml:space="preserve">Központi orvosi ügyelet </t>
  </si>
  <si>
    <t>ELENA projekt előkészítési feladatokra konzorciumi hozzájárulás</t>
  </si>
  <si>
    <t xml:space="preserve">           - Veszprémi Ifjúsági Közalapítvány</t>
  </si>
  <si>
    <t xml:space="preserve"> Európai Uniós forrásból finanszírozott támogatással megvalósuló programok, projektek bevételeiről és kiadásairól az Ávr. 24. § (1) bekezdés a.) és bd.) pontjainak megfelelően</t>
  </si>
  <si>
    <t>Program megnevezés</t>
  </si>
  <si>
    <t>Program megvalósításának ideje</t>
  </si>
  <si>
    <t>Saját erő</t>
  </si>
  <si>
    <t>EU támogatás összesen</t>
  </si>
  <si>
    <t>EU támogatás</t>
  </si>
  <si>
    <t>VMJV Önkormányzat</t>
  </si>
  <si>
    <t xml:space="preserve">Veszprémi Bóbita Körzeti Óvoda </t>
  </si>
  <si>
    <r>
      <t>Ebből</t>
    </r>
    <r>
      <rPr>
        <i/>
        <sz val="10"/>
        <rFont val="Palatino Linotype"/>
        <family val="1"/>
        <charset val="238"/>
      </rPr>
      <t>: költségvetési támogatás</t>
    </r>
  </si>
  <si>
    <t>Projekt forrás összetétel</t>
  </si>
  <si>
    <t>Projekt költség megbontás</t>
  </si>
  <si>
    <t>2016. évi            tény</t>
  </si>
  <si>
    <t>2016. évi                tény</t>
  </si>
  <si>
    <t>1-16</t>
  </si>
  <si>
    <t>a Veszprém Megyei Jogú Város Önkormányzata Támogatási Szerződéssel rendelkező</t>
  </si>
  <si>
    <t>Eü. Alapellátás</t>
  </si>
  <si>
    <t>Megyei Könyvtár kistelepülési könyvtári és közművelődési célú kiegészítő állami támogatás</t>
  </si>
  <si>
    <t>Stadion üzemeltetése</t>
  </si>
  <si>
    <t>Városi ifjúsági keret</t>
  </si>
  <si>
    <t>Rendszeres gyermekvédelmi kedvezmény/pénzbeli ellátás</t>
  </si>
  <si>
    <t>Szünidei gyermekétkeztetés</t>
  </si>
  <si>
    <t xml:space="preserve">          - Lakásfenntartási támogatás </t>
  </si>
  <si>
    <t xml:space="preserve">          - Albérleti támogatás</t>
  </si>
  <si>
    <t xml:space="preserve">          - Temetési támogatás</t>
  </si>
  <si>
    <t xml:space="preserve">          - Térítési díj</t>
  </si>
  <si>
    <t xml:space="preserve">          - Gyógyszertámogatás</t>
  </si>
  <si>
    <t xml:space="preserve">         - Adósságcsökkentési támogatás</t>
  </si>
  <si>
    <t xml:space="preserve">         - Szünidei gyermekétkeztetés</t>
  </si>
  <si>
    <t>Nevelési szolgáltatás</t>
  </si>
  <si>
    <t>Német Nemzetiségi Önk. helységének bérleti díja</t>
  </si>
  <si>
    <t>Szolidaritási hozzájárulás</t>
  </si>
  <si>
    <t xml:space="preserve">Észak-Nyugati Közlekedési Központ Zrt. Helyi közösségi közlekedés közszolgáltatás és veszteségkiegyenlítés </t>
  </si>
  <si>
    <t>Térinformatikai rendszer adatfeltöltés, fakataszter</t>
  </si>
  <si>
    <t>DAT térképfrissítés, földkönyv, közműnyilvántartás, GPS</t>
  </si>
  <si>
    <t>Hiány finanszírozása belső finanszírozásra szolgáló költségvetési bevétel összegével</t>
  </si>
  <si>
    <t>Hiány finanszírozása külső finanszírozásra szolgáló költségvetési bevétel összegével</t>
  </si>
  <si>
    <t>Csillagvár Waldorf Tagóvoda</t>
  </si>
  <si>
    <t>Hársfa Tagóvoda</t>
  </si>
  <si>
    <t>Nárcisz Tagóvoda</t>
  </si>
  <si>
    <t>Cholnoky Jenő Ltp. Tagóvoda</t>
  </si>
  <si>
    <t>Ficánka Tagóvoda</t>
  </si>
  <si>
    <t>Hóvirág Bölcsőde</t>
  </si>
  <si>
    <t>Vackor Bölcsőde</t>
  </si>
  <si>
    <t>Aprófalvi Bölcsőde</t>
  </si>
  <si>
    <t>Módszertani Bölcsőde</t>
  </si>
  <si>
    <t>Fogorvosi körzeteknek működési hozzájárulás</t>
  </si>
  <si>
    <t>Fogorvosi körzetek részére pályázati alap</t>
  </si>
  <si>
    <t>Állatmenhelyek támogatása</t>
  </si>
  <si>
    <t>Helikoni Ünnepségek Keszthelyen (diákok nevezési díjai)</t>
  </si>
  <si>
    <t>Hatósági engedélyek beszerzése, hatályban tartása</t>
  </si>
  <si>
    <t>Gyulafirátót 10089/4 hrsz-ú ingatlan közműfejlesztési költségei</t>
  </si>
  <si>
    <t>TOP-6.3.3-16-VP1-2017-00001 Dózsaváros, Pápai úti csapadékvíz-elvezető rendszer fejlesztése</t>
  </si>
  <si>
    <t>Kulturális kínálat bővítés/ amatőr művészeti csoportok támogatása</t>
  </si>
  <si>
    <t>Veszprémi Kistérségi Társulásnak pénzeszköz átadás (Egyesített Szoc.Int.)</t>
  </si>
  <si>
    <t>Közutak, hidak fenntartása</t>
  </si>
  <si>
    <t xml:space="preserve"> - Viziközmű fejlesztés</t>
  </si>
  <si>
    <t>Művészetek Háza Veszprém Művelődési Ház és Kiállítóhely</t>
  </si>
  <si>
    <t>Kabóca Bábszínház</t>
  </si>
  <si>
    <t>2017. évi tény</t>
  </si>
  <si>
    <t>601835-CITIZ-1-2018-1-HU-CITIZ-NT Reveal YouropEaN Cultural Heritage/Tárd fel  európai kulturális örökségedet (ENriCH)</t>
  </si>
  <si>
    <t>Veszprémi Családsegítő és Gyermekjóléti Integrált Intézmény</t>
  </si>
  <si>
    <t>Agóra Veszprém Kulturális Központ</t>
  </si>
  <si>
    <t xml:space="preserve">Agóra Veszprém Kulturális Központ </t>
  </si>
  <si>
    <t>1-17</t>
  </si>
  <si>
    <t>18</t>
  </si>
  <si>
    <t>Napsugár Bölcsőde</t>
  </si>
  <si>
    <t>TOP-6.4.1-16-VP1-2018-00002 Kerékpárút építése Márkó-Bánd települések irányába</t>
  </si>
  <si>
    <t>Oktatási intézmények támogatása</t>
  </si>
  <si>
    <t>Téli rezsicsökkentésben nem részesültek egyszeri támogatása</t>
  </si>
  <si>
    <t>VESZOL - Veszprém, Pápai u. 37. sz. munkásszálló működetési feladatai</t>
  </si>
  <si>
    <t>TOP orvosi rendelők felújításához tartozó költöztetési munkák</t>
  </si>
  <si>
    <t>Felújításra kerülő bölcsődék költöztetési, eszközszállítási feladatai</t>
  </si>
  <si>
    <t>Infrastruktúra fejlesztési feladatokhoz kapcsolódó kiadások</t>
  </si>
  <si>
    <t>GINOP - 7.1.9-17-2018-00023 Veszprém kulturális turisztikai kínálatának fejlesztése</t>
  </si>
  <si>
    <t>Védett sírok felújítása az Alsóvárosi temetőben</t>
  </si>
  <si>
    <t>Brusznyai Árpád Alapítvány támogatása</t>
  </si>
  <si>
    <t>Működési célú tartalékok</t>
  </si>
  <si>
    <t>Felhalmozási célú tartalékok</t>
  </si>
  <si>
    <t>Működési célú céltartalékok</t>
  </si>
  <si>
    <t>Felhalmozási célú céltartalékok</t>
  </si>
  <si>
    <t>R</t>
  </si>
  <si>
    <t>S</t>
  </si>
  <si>
    <t>URBACT Innova Tor</t>
  </si>
  <si>
    <t>Projekt teljes költség</t>
  </si>
  <si>
    <t>TOP-6.5.1-16-VP1-2018-00002 Völgyikút utca 2. szám alatti épület energetikai megújítása</t>
  </si>
  <si>
    <t>TOP-6.2.1-16-VP1-2018-00001  A Veszprémi Bölcsődei és Egészségügyi Alapellátási Integrált Intézmény Módszertani Bölcsődéje megújítása, illetve bölcsődei eszközbeszerzések</t>
  </si>
  <si>
    <t xml:space="preserve"> - Beruházási kiadásokra képzett céltartalék                     </t>
  </si>
  <si>
    <t xml:space="preserve"> - Intézményi beruházáshoz kapcsolódó létszámbővítés</t>
  </si>
  <si>
    <t xml:space="preserve">          - Beiskolázási támogatás</t>
  </si>
  <si>
    <t>2022. év</t>
  </si>
  <si>
    <t>2018. évi tény</t>
  </si>
  <si>
    <t>VMJV Polgármesteri Hivatal összesen:</t>
  </si>
  <si>
    <t>Munk.a. terh. Jár. És szoc.hj.adó</t>
  </si>
  <si>
    <t>TOP-6.3.2-16-VP1-2018-00001 Kulturális negyed</t>
  </si>
  <si>
    <t>Egyéb működési célú kiadások</t>
  </si>
  <si>
    <t>Teljes költség*</t>
  </si>
  <si>
    <t>* Az intézményeknél kimutatott adatokat is tartalmazza</t>
  </si>
  <si>
    <t>Működési költségvetési                                                                         kiadások</t>
  </si>
  <si>
    <r>
      <rPr>
        <b/>
        <sz val="10"/>
        <rFont val="Palatino Linotype"/>
        <family val="1"/>
        <charset val="238"/>
      </rPr>
      <t>TOP – 6.9.2 -16-VP1-2018-00001</t>
    </r>
    <r>
      <rPr>
        <sz val="10"/>
        <rFont val="Palatino Linotype"/>
        <family val="1"/>
        <charset val="238"/>
      </rPr>
      <t xml:space="preserve"> Közösségfejlesztés Veszprém város településrészein</t>
    </r>
  </si>
  <si>
    <t>Helyi és nemzetiségi önkormányzati képviselők 2019. évi választása</t>
  </si>
  <si>
    <t xml:space="preserve"> - Adóbevételekkel szembeni kötelezettség</t>
  </si>
  <si>
    <t>Óvodák összesen:</t>
  </si>
  <si>
    <t>Egészségügyi és szociális intézmények összesen:</t>
  </si>
  <si>
    <t>Kulturális és közművelődési intézmények összesen:</t>
  </si>
  <si>
    <t xml:space="preserve">Előir. csop. </t>
  </si>
  <si>
    <t>Kie-melt előir.</t>
  </si>
  <si>
    <t xml:space="preserve">Kie-melt előir. </t>
  </si>
  <si>
    <t xml:space="preserve"> Erdei és Kuckó Tagóvoda</t>
  </si>
  <si>
    <t>Önkormányzati működési kiadások</t>
  </si>
  <si>
    <t>INTÉZMÉNYEK BERUHÁZÁSI KIADÁSAI ÖSSZESEN:</t>
  </si>
  <si>
    <t>VMJV  Polgármesteri Hivatal beruházási kiadásai összesen:</t>
  </si>
  <si>
    <t>BERUHÁZÁSI KIADÁSOK MINDÖSSZESEN:</t>
  </si>
  <si>
    <t>TOP-6.6.1-16-VP1-2018-00004 Vilonyai utca 2/B szám alatti orvosi rendelő megújítása</t>
  </si>
  <si>
    <t>TOP-6.1.5-16-VP1-2017-00001 Északi Iparterület Közlekedés-fejlesztése</t>
  </si>
  <si>
    <t>TOP-6.4.1-16-VP1-2018-00002 Márkó-Bánd települések irányába kerékpárút építése</t>
  </si>
  <si>
    <t>KEHOP-5.4.1-16-2016-00142 "Veszprém, az energiatudatos város"</t>
  </si>
  <si>
    <t xml:space="preserve">TOP-7.1.1-16-H-ERFA-2019-00078 Szent Miklós-szegi Kálvária domb és környékének infrastrukturális felújítása és funkcióbővítése </t>
  </si>
  <si>
    <t>"Scholl of Participation" - Creative Europe projekt</t>
  </si>
  <si>
    <t>"Ister DTP Interreg Projekt</t>
  </si>
  <si>
    <t>TOP-7.1.1-16-H-ERFA-2019-00372 Barátságparki csalánkert</t>
  </si>
  <si>
    <t>KEHOP-1.2.1-18-2019-00247 Veszprém MJV klímastratégia kidolgozása és klímatudatosságot erősítő, szemléletformáló programok megvalósítása</t>
  </si>
  <si>
    <t>Erasmus+ KA1 " Media of the Future</t>
  </si>
  <si>
    <t>Iparos Park</t>
  </si>
  <si>
    <t>Veszprémi Petőfi Színház komplex fejlesztése</t>
  </si>
  <si>
    <t>Veszprémi Zeneművészeti Szakgimnázium és Alapfokú Művészeti Iskola intézményegysége, a Csermák Antal Zeneiskola felújításának megvalósítása</t>
  </si>
  <si>
    <t>Veszprémi új Városi Jégcsarnok építése</t>
  </si>
  <si>
    <t>Veszprémi Atlétikai Stadion megvalósítás - II. ütem</t>
  </si>
  <si>
    <t>MVP feladatok előkészítés költségei</t>
  </si>
  <si>
    <t>Beruházások közműdíjai</t>
  </si>
  <si>
    <t>Vízrendezési feladatok, árkok felújítása</t>
  </si>
  <si>
    <t>Európa Kulturális Fővárosa II. ütem</t>
  </si>
  <si>
    <t>Működési kiadások</t>
  </si>
  <si>
    <t>Közvilágítás fejlesztése (Zrínyi Miklós utca és a Káposztáskert utca)</t>
  </si>
  <si>
    <t>CLLD - Városrészi közösségi és kulturális terek infrastrukturális felújítása, átépítése</t>
  </si>
  <si>
    <t>Járásszékhely múzeumok szakmai támogatása</t>
  </si>
  <si>
    <t>Káposztáskert utcai távközlési kábel áthelyezése és új kiépítése</t>
  </si>
  <si>
    <t>Magyar Kórusok találkozója</t>
  </si>
  <si>
    <t>Programiroda Kft. törzstőke emelés</t>
  </si>
  <si>
    <t xml:space="preserve">Programiroda Kft. tőketartalékba helyezés </t>
  </si>
  <si>
    <t>Veszprém - Balaton 2023 Zrt. törzstőke emelés</t>
  </si>
  <si>
    <t>Veszprém - Balaton 2023 Zrt. tőketartalékba helyezés</t>
  </si>
  <si>
    <t xml:space="preserve">207/2019. (IX.26.) Közgy.h. GFT beruházás: Veszprém Séd 3. sz. kút bekötővezeték, Kút bekötése a települési hálózatba </t>
  </si>
  <si>
    <t>207/2019. (IX.26.) Közgy.h. GFT beruházás:  Veszprém Méhes utca, Támfal építéshez kapcsolódó ivóvíz-hálózat bővítés</t>
  </si>
  <si>
    <t xml:space="preserve">207/2019. (IX.26.) Közgy.h. GFT beruházás: Veszprém Reguly A. utca, Barnamezős beruházásokhoz kapcsolódóan ivóvízvezeték kapacitás bővítés </t>
  </si>
  <si>
    <t>Gyulafirátóti Bölcsőde</t>
  </si>
  <si>
    <t>Védőnői Szolgálat</t>
  </si>
  <si>
    <r>
      <rPr>
        <b/>
        <sz val="10"/>
        <rFont val="Palatino Linotype"/>
        <family val="1"/>
        <charset val="238"/>
      </rPr>
      <t xml:space="preserve">TOP – 6.9.2 -16-VP1-2018-00001 </t>
    </r>
    <r>
      <rPr>
        <sz val="10"/>
        <rFont val="Palatino Linotype"/>
        <family val="1"/>
        <charset val="238"/>
      </rPr>
      <t>Közösségfejlesztés Veszprém város településrészein</t>
    </r>
  </si>
  <si>
    <r>
      <rPr>
        <b/>
        <sz val="10"/>
        <rFont val="Palatino Linotype"/>
        <family val="1"/>
        <charset val="238"/>
      </rPr>
      <t xml:space="preserve">EFOP-3.3.2-16-2016-00107 </t>
    </r>
    <r>
      <rPr>
        <sz val="10"/>
        <rFont val="Palatino Linotype"/>
        <family val="1"/>
        <charset val="238"/>
      </rPr>
      <t>Kulturális intézmények a köznevelés eredményességéért</t>
    </r>
  </si>
  <si>
    <t>Közösség Kádártáért Egyesület</t>
  </si>
  <si>
    <t>Virágzó Veszprém Egyesület</t>
  </si>
  <si>
    <t>Lokálpatrióták a Városért Egyesület</t>
  </si>
  <si>
    <t>Veszprémi Kultúráért Közalapítvány (új kuratórium, könyvvizsgálat költségeire)</t>
  </si>
  <si>
    <t>Gerence Hagyományőrző Néptáncegyüttes támogatása</t>
  </si>
  <si>
    <t xml:space="preserve">            - Civil irodai szolgáltatások, civil ház</t>
  </si>
  <si>
    <t xml:space="preserve">            - Civil nap költségei</t>
  </si>
  <si>
    <t>Pszichiátriai betegek nappali ellátás ("Horgony" Pszichiátriai Betegekért Közhasznú Alapítvány)</t>
  </si>
  <si>
    <t>V-Busz Kft. 2019. évi ellentételezés</t>
  </si>
  <si>
    <t>Intézményi karbantartási költségek</t>
  </si>
  <si>
    <t>Intézményi közüzemi költségek</t>
  </si>
  <si>
    <t>Kolostorok és kertek működtetése</t>
  </si>
  <si>
    <t>Viziközmű vagyonértékelés költségei</t>
  </si>
  <si>
    <t>Köztéri Szobor Alap</t>
  </si>
  <si>
    <t>Endrődi Sándor emlékév programjaira</t>
  </si>
  <si>
    <t>Kelet-nyugati gyűjtőút zajvédő létesítmény tervezése</t>
  </si>
  <si>
    <t>TOP-6.9.2-16-VP1-2018-00001 Közösségfejlesztés Veszprém város településrészein</t>
  </si>
  <si>
    <t xml:space="preserve">A  </t>
  </si>
  <si>
    <t>T</t>
  </si>
  <si>
    <t>2019. évi tény</t>
  </si>
  <si>
    <t>2018-2020</t>
  </si>
  <si>
    <t>2019-2021</t>
  </si>
  <si>
    <t>2019-2022</t>
  </si>
  <si>
    <t>* Az Urbact Innova-tor támogatása a szerződésben €-ban van meghatározva, az átszámítás 316.39 Ft/EUR-val történt</t>
  </si>
  <si>
    <t>Projekthez kapcsolódó működési bevétel (ÁFA)</t>
  </si>
  <si>
    <t>Újjáépítésre kerülő óvodák költöztetési munkák</t>
  </si>
  <si>
    <t xml:space="preserve">          - Comitatus Társadalomkutató Egyesület - Comitatus Önkormányzati Szemle</t>
  </si>
  <si>
    <t>V-Busz Kft. szolgáltatás vásárlás</t>
  </si>
  <si>
    <t>**Az intézményeknél kimutatott adatokat is tartalmazza</t>
  </si>
  <si>
    <t>** Az intézményeknél kimutatott adatokat is tartalmazza</t>
  </si>
  <si>
    <t>ERASMUS+ Program</t>
  </si>
  <si>
    <t>Koronavírus elleni védekezés költségeire</t>
  </si>
  <si>
    <t>Informatika</t>
  </si>
  <si>
    <t>TOP-6.4.1-16-VP1-17-00001 Szabadságpuszta településrész és Felsőörs Község közötti kerékpárút beruházása</t>
  </si>
  <si>
    <t>TOP-6.3.4.1-16 Kerékpárút és kerékpárforgalmi létesítmények építése Veszprém-Gyulafirátót</t>
  </si>
  <si>
    <t>TOP-7.1.1-16-VP1-2020-00002 Kulturális negyed</t>
  </si>
  <si>
    <t>TOP-6.5.1-16-VP1-2017-00001 Veszprém városára vonatkozó Fenntartható Energia és Klíma Akcióterv (SECAP) elkészítése című projekt fenntartási jelentése</t>
  </si>
  <si>
    <t>EMMI és Belügyminisztérium "Idősbarát Önkormányzati Díj"</t>
  </si>
  <si>
    <t>Jókai utca 8.</t>
  </si>
  <si>
    <t>Európa Kulturális Főváros 2023 beruházások előkészítése (önerő)</t>
  </si>
  <si>
    <t>2020. évi tény</t>
  </si>
  <si>
    <t>TOP-6.2.1-16-VP1-2020-00003 A Veszprémi Bölcsődei és Egészségügyi Alapellátási Integrált Intézmény Módszertani Bölcsődéje megújítása, illetve bölcsődei eszközbeszerzések</t>
  </si>
  <si>
    <t>TOP-6.4.1-16-VP1-2019-00003 Kerékpárút és kerékpárforgalmi létesítmények építése Veszprém - Gyulafirátót szakaszon</t>
  </si>
  <si>
    <t>TOP-6.3.2-16-VP1-2020-00002 Kulturális negyed</t>
  </si>
  <si>
    <t>2021-2022</t>
  </si>
  <si>
    <t>2020-2022</t>
  </si>
  <si>
    <t>*** A projekt a támogatási szerződés szerint nettó módon finanszírozott.</t>
  </si>
  <si>
    <t>GINOP - 7.1.9-17-2018-00023 Veszprém kulturális turisztikai kínálatának fejlesztése***</t>
  </si>
  <si>
    <t>GFT beruházás: FI-2014-604_x000D_
Veszprém 1. számú (Zrínyi utca) nyomásfokozó, Nemesvámosi nyomásfokozó: HARIBO termelési üzem fejlesztése III. ütemhez kapcsolódóan a nyomásfokozó kapacitásbővítése (1 db átemelő szivattyú)</t>
  </si>
  <si>
    <t>GFT beruházás: FI-2014-16_x000D_
Veszprém ivóvíz-hálózat, Szabályozott fertőtlenítő rendszer fejlesztése</t>
  </si>
  <si>
    <t>GFT beruházás: FI-2014-1461_x000D_
Veszprém Sédvölgyi vízbázis, Belső védőterület bővítés</t>
  </si>
  <si>
    <t>GFT beruházás: FI-2014-1291_x000D_
Veszprém Szennyvíztisztító Telep, Rácsgépház: csigaszivattyúk elé kőfogó telepítése (1 db)</t>
  </si>
  <si>
    <t>1. számú Török Ignác utcai Idősek Otthona - lift építés</t>
  </si>
  <si>
    <t>Városgazdálkodás (hulladékgyűjtők, kutyaürülék gyűjtők, síkosságmentesítő ládák elhelyezése)</t>
  </si>
  <si>
    <t>Ingatlanrendezési ügyek (kisajátítások, más célú haszn.,humuszvédelmi terv, erdővédelmi járulék)</t>
  </si>
  <si>
    <t>Jégcsarnok üzemidő- és szolgáltatás vásárlás</t>
  </si>
  <si>
    <t>Repülőtér üzemeltetése, szolgáltatás vásárlás</t>
  </si>
  <si>
    <t xml:space="preserve">          - Vészhelyzeti támogatás (krízis segély)</t>
  </si>
  <si>
    <t>Ebrendészeti feladatok</t>
  </si>
  <si>
    <t>Közterület Felügyelet</t>
  </si>
  <si>
    <t>TOP és MVP beruházásokhoz kapcsolódó energetikai tanusítvány</t>
  </si>
  <si>
    <t>UNESCO Zene városa</t>
  </si>
  <si>
    <t>Európa Ifjúsági Fővárosa 2024 pályázat benyújtása</t>
  </si>
  <si>
    <t>Szociális bérlakás felújítások (vasútállomás rehabilitáció érdekében)</t>
  </si>
  <si>
    <t>Koronavírus védekezés költségeire és gazdasági hatásának enyhítésére</t>
  </si>
  <si>
    <t>Polgármesteri Hivatal</t>
  </si>
  <si>
    <t>Integrált irányítási rendszer fenntartása (ISO, GDPR)</t>
  </si>
  <si>
    <t xml:space="preserve"> - Intézményi felmentési idő, jub.jut., végkielégítés és működési kiadások</t>
  </si>
  <si>
    <t xml:space="preserve">Európa Kulturális Fővárosa III. ütem </t>
  </si>
  <si>
    <t>Európa Kulturális Fővárosa I. ütem</t>
  </si>
  <si>
    <r>
      <rPr>
        <b/>
        <sz val="10"/>
        <rFont val="Palatino Linotype"/>
        <family val="1"/>
        <charset val="238"/>
      </rPr>
      <t>EFOP-3.3.2-16-2016-00107</t>
    </r>
    <r>
      <rPr>
        <sz val="10"/>
        <rFont val="Palatino Linotype"/>
        <family val="1"/>
        <charset val="238"/>
      </rPr>
      <t xml:space="preserve"> Kulturális intézmények a köznevelés eredményességéért</t>
    </r>
  </si>
  <si>
    <t xml:space="preserve">         - Veszprém várostörténeti kiadványok előkészítése</t>
  </si>
  <si>
    <t xml:space="preserve">          - Ex Symposion Alapítvány</t>
  </si>
  <si>
    <t>2021. évi eredeti előirányzat</t>
  </si>
  <si>
    <t>TOP-7-1-16H-ESZA-2019-01192 A családra, mint a társadalom alapegységére építő komplex programok</t>
  </si>
  <si>
    <r>
      <t xml:space="preserve">TOP-7.1.1-16-H-ESZA-2019-01202 </t>
    </r>
    <r>
      <rPr>
        <sz val="10"/>
        <rFont val="Palatino Linotype"/>
        <family val="1"/>
        <charset val="238"/>
      </rPr>
      <t>"Élmény, közösség, tudás" családi programok az Agórával</t>
    </r>
  </si>
  <si>
    <t>Európa Kulturális Fővárosa VII. ütem</t>
  </si>
  <si>
    <t>Népszámlálás 2022.</t>
  </si>
  <si>
    <t xml:space="preserve">Európai Fenntartható Városfejlesztési Hálózat "Global Goals for Cities" Urbact III. </t>
  </si>
  <si>
    <t>Európa Kulturális Fővárosa VIII. ütem</t>
  </si>
  <si>
    <t>Európa Kulturális Fővárosa XI. ütem</t>
  </si>
  <si>
    <t>Európa Kulturális Fővárosa XII. ütem</t>
  </si>
  <si>
    <t>Európa Ifjúsági Fővárosa</t>
  </si>
  <si>
    <t>Európa Kulturális Fővárosa XIII. ütem</t>
  </si>
  <si>
    <t>Európa Kulturális Fővárosa XIV. ütem</t>
  </si>
  <si>
    <t>2020. évi              tény</t>
  </si>
  <si>
    <t>ebből: Koronavírus elleni védekezés adomány</t>
  </si>
  <si>
    <t>2022. évi előirányzat</t>
  </si>
  <si>
    <t>2020. évi           tény</t>
  </si>
  <si>
    <t>Önkormányzati érdekeket érintő településrendezési eszközök módosítása</t>
  </si>
  <si>
    <t>Veszprém 0393/1 hrsz-ú ingatlanon tervezett Állatvédelmi Kompetenciaközpont megépítése érdekében szükséges, szabályozási tervben foglalt út funkciójú ingatlan kisajátítás</t>
  </si>
  <si>
    <t>2022. év utáni javaslat</t>
  </si>
  <si>
    <t>Állatkerti bekötőút kiviteli terv</t>
  </si>
  <si>
    <t>Szemünkfénye program keretében beépített fűtéstechnikai eszközök vásárlása</t>
  </si>
  <si>
    <t>Toborzó u. 2. villamoshálózat fejlesztés</t>
  </si>
  <si>
    <t>KEHOP-2.1.11. "Víziközmű hálózatok átalakítására, hatékonyságnövelő fejlesztésére, víziközmű rendszerek műszaki állapotának felmérésére, problémák feltárására" című pályázat</t>
  </si>
  <si>
    <t xml:space="preserve">          szennyvíz rekonstrukció önrésze</t>
  </si>
  <si>
    <t xml:space="preserve">          ívóvíz rekonstrukció önrésze</t>
  </si>
  <si>
    <t>VESZOL - Veszprém, Pápai u. 37. sz. munkásszálló működetési feladatai - tönkrement bútorok, eszközök pótlása, ózongenerátor, egyéb kis értékű tárgyi eszközök beszerzése</t>
  </si>
  <si>
    <t>Thököly utcai támfal egy szakaszára vonatkozó szakértői vélemény</t>
  </si>
  <si>
    <t>Veszprém, Erdész utca, 2379. hrsz csapadékvíz elvezetés</t>
  </si>
  <si>
    <t>Ficánka Tagóvoda - gázkazánok cseréje</t>
  </si>
  <si>
    <t>Veszprém Fiatal Sportolóiért Alapítvány - beruházási célú támogatás</t>
  </si>
  <si>
    <t>Közterületi játszóeszközök felújítása (78/2003 GKM rendelet)</t>
  </si>
  <si>
    <t>Önkormányzati bérlakások felújítása</t>
  </si>
  <si>
    <t>Köztéri padok felújítása</t>
  </si>
  <si>
    <t>Labdapályák és sporteszközök felújítása</t>
  </si>
  <si>
    <t>Gyulafirátót, Kádárta útfelújítások lebonyolítói tevékenysége</t>
  </si>
  <si>
    <t>Veszprémi Csillag Úti Körzeti Óvoda</t>
  </si>
  <si>
    <t>Ételszállító lift cseréje és akna felújítása</t>
  </si>
  <si>
    <t xml:space="preserve">Épület vízszigetelése, csoportszobákban a salétromos belsővakolat megszüntetése  </t>
  </si>
  <si>
    <t>Esővíz lefolyók kialakítása</t>
  </si>
  <si>
    <t>Csillagvár-Waldorf Tagóvoda</t>
  </si>
  <si>
    <t>Szennyvízelvezetés rekonstrukciója</t>
  </si>
  <si>
    <t>Veszprémi Bölcsődei és Eü.Alapell. Integrált Int.</t>
  </si>
  <si>
    <t>Cholnoky u. 19. Védőnői Szolgálat</t>
  </si>
  <si>
    <t>Tetőszigetelés felújítása</t>
  </si>
  <si>
    <t>Jutasi út 59. rendelők</t>
  </si>
  <si>
    <t>Felülvilágító csere</t>
  </si>
  <si>
    <t>Kiskörősi utca 72. Dr. Vajcs Tímea</t>
  </si>
  <si>
    <t>Nyílászáró csere (nyithatóság miatt)</t>
  </si>
  <si>
    <t>Tetőfelületek PVC szigetelése 1 pavilon</t>
  </si>
  <si>
    <t>Gázkazán csere</t>
  </si>
  <si>
    <t>Latinovics -Bujtor Játékszín tetőszigetelés felújítása</t>
  </si>
  <si>
    <t>Tűzjelző rendszer felújítása</t>
  </si>
  <si>
    <t>1. sz. Idősek Otthona (Török I. u. 10.)</t>
  </si>
  <si>
    <t>A főzőkonyha  folyosó, lépcsőház repedéseinek statikai felülvizsgálata, javítás</t>
  </si>
  <si>
    <t>VKTT Egyesített Szociális Intézmény</t>
  </si>
  <si>
    <t>Intézményben lévő mosdók és fürdők, zuhanyzók, akadálymentesítése, felújítása I. emeleten</t>
  </si>
  <si>
    <t>2021. évi              várható*</t>
  </si>
  <si>
    <t>Teljesítés                      2020.          12.31.-ig**</t>
  </si>
  <si>
    <t>Veszprém belterületi közúthálózat fejlesztési céljainak és kapcsolódó tereinek megvalósítása (támogatás és önerő)</t>
  </si>
  <si>
    <t>800 méteres futókör építése a "Kolostorok és Kertek a veszprémi vár tövében" elnevezésű közpark területén</t>
  </si>
  <si>
    <t>Modern Városok Program keretében megvalósuló veszprémi belterületi közúthálózat fejlesztése projekt során az építési engedélyhez nem kötött felújítások, rekonstrukciók előkészítéséhez kapcsolódó beruházás lebonyolítói tevékenység ellátása a lakóutak és fő közlekedési utak tekintetében</t>
  </si>
  <si>
    <t>Zöld Busz Demonstárciós Mintaprojekt (elektromos buszok töltésére alkalmas nagyteljesítmény töltőállomás kivitelezése és kapcsolódó működési kiadások)</t>
  </si>
  <si>
    <t>Európai Uniós forrásból finanszírozott támogatással megvalósuló programok, projektek 2022. évi költségvetési kiadásainak előirányzata</t>
  </si>
  <si>
    <t>Teljesítés                      2020.          12.31.-ig*</t>
  </si>
  <si>
    <r>
      <t>TOP Plusz 1.3-1-21 "Fenntartható városfejlesztési stratégiák támogatása" pályázat, FVS és TVP készítése</t>
    </r>
    <r>
      <rPr>
        <sz val="12"/>
        <rFont val="Tahoma"/>
        <family val="2"/>
        <charset val="238"/>
      </rPr>
      <t xml:space="preserve"> </t>
    </r>
  </si>
  <si>
    <t>Várkert, Tűztorony</t>
  </si>
  <si>
    <t>Digitális Alagút</t>
  </si>
  <si>
    <t>Várbörtön</t>
  </si>
  <si>
    <t>Volt bútorgyár</t>
  </si>
  <si>
    <t>Hősök kapuja kiállítási tér kiegészítő fejlesztése/vízszigetelési munkája</t>
  </si>
  <si>
    <t>Laczkó Dezső Múzeum korszerűsítése, akadálymentesítése</t>
  </si>
  <si>
    <t>Kádár utcai parkoló</t>
  </si>
  <si>
    <t>Európa Kulturális Fővárosa X. ütem</t>
  </si>
  <si>
    <t>Dózsavárosi Könyvtár bővítésének, átalakításának és felújításának tervezése, engedélyeztetése</t>
  </si>
  <si>
    <t>Népmesék játszótér fejlesztése</t>
  </si>
  <si>
    <t>Térfigyelő rendszer fejlesztése</t>
  </si>
  <si>
    <t>Karácsonyi köztéri dekoráció</t>
  </si>
  <si>
    <t>Átfogó infrastruktúra fejlesztés</t>
  </si>
  <si>
    <t>Séd völgy, tó faszerkezet felújítása</t>
  </si>
  <si>
    <t>Intézményi játszóezközök felújítása</t>
  </si>
  <si>
    <t>X. ütem összesen</t>
  </si>
  <si>
    <t>VIII. ütem összesen</t>
  </si>
  <si>
    <t>VII. ütem összesen</t>
  </si>
  <si>
    <t>XI. ütem összesen</t>
  </si>
  <si>
    <t>Auer Ház</t>
  </si>
  <si>
    <t>Mártírok parkolóház</t>
  </si>
  <si>
    <t>Várkert</t>
  </si>
  <si>
    <t>XII. ütem összesen</t>
  </si>
  <si>
    <t>XIII. ütem összesen</t>
  </si>
  <si>
    <t>Acticity</t>
  </si>
  <si>
    <t>XIV. ütem összesen</t>
  </si>
  <si>
    <t>Kiskúti csárda</t>
  </si>
  <si>
    <t>Halle utcai parkoló</t>
  </si>
  <si>
    <t>Séd-völgyi futókör</t>
  </si>
  <si>
    <t>Játszóterek</t>
  </si>
  <si>
    <t>Európa Kulturális Fővárosa XV. ütem</t>
  </si>
  <si>
    <t>XV. ütem összesen</t>
  </si>
  <si>
    <t>Európa Kulturális Fővárosa XVI. ütem</t>
  </si>
  <si>
    <t>XVI. ütem összesen</t>
  </si>
  <si>
    <t>Püspökkert</t>
  </si>
  <si>
    <t>Európa Kulturális Fővárosa XVII. ütem</t>
  </si>
  <si>
    <t>Kulturális negyed - zöld város</t>
  </si>
  <si>
    <t>CLLD kulcsprojekt (Szent Miklós szeg)</t>
  </si>
  <si>
    <t>Európa Kulturális Fővárosa XVIII. ütem</t>
  </si>
  <si>
    <t>XVIII. ütem összesen</t>
  </si>
  <si>
    <t>Csermák lépcső</t>
  </si>
  <si>
    <t>Európa Kulturális Főváros 2022. évi költségvetési kiadásainak előirányzata</t>
  </si>
  <si>
    <t>Európa Kulturális Fővárosa XIX. ütem</t>
  </si>
  <si>
    <t>XIX. ütem összesen</t>
  </si>
  <si>
    <t>Európa Kulturális Fővárosa XX. ütem</t>
  </si>
  <si>
    <t>XX. ütem összesen</t>
  </si>
  <si>
    <t xml:space="preserve">          - Magyar Mozgógép Fesztivál</t>
  </si>
  <si>
    <t xml:space="preserve">          - Bakony Expo</t>
  </si>
  <si>
    <t>Autóbusz pályaudvar</t>
  </si>
  <si>
    <t>Várbörtön III:</t>
  </si>
  <si>
    <t>Fejesvölgyi parkoló</t>
  </si>
  <si>
    <t>Városrészi közösségi tér - Táborállás park</t>
  </si>
  <si>
    <t>Lovassy közösségi tér</t>
  </si>
  <si>
    <t xml:space="preserve">Kulturális negyed </t>
  </si>
  <si>
    <t>Összmagyar Sport és Kulturális Találkozó</t>
  </si>
  <si>
    <t>Volánbusz Zrt. Szolgáltató részére elővárosi és regionális járatokon történő helyi személyszállítási közszolgáltatási feladatok ellátásához hozzájárulás</t>
  </si>
  <si>
    <t>Handball Team Zrt. Szolgáltatás vásárlás</t>
  </si>
  <si>
    <t>Városgazdálkodási szolgáltatás</t>
  </si>
  <si>
    <t xml:space="preserve"> - Projekt kiadásokhoz kapcsolódó céltartalék</t>
  </si>
  <si>
    <t>Programiroda - városi nagyrendezvények</t>
  </si>
  <si>
    <t>ebből: - Városi Gyereknap</t>
  </si>
  <si>
    <t xml:space="preserve">          - Nemzeti ünnep - Augusztus 20.</t>
  </si>
  <si>
    <t xml:space="preserve">          - Nemzeti ünnep - Október 23</t>
  </si>
  <si>
    <t xml:space="preserve">          - Szent Mihály napi búcsú</t>
  </si>
  <si>
    <t>Környezet terhelés vizsgálat K_Ny-i főtengely I. ütem</t>
  </si>
  <si>
    <t>Regőczi István Alapítvány - Covid árvák megsegítésének támogatása</t>
  </si>
  <si>
    <t>MKOSZ Szabadtéri Pályák Kihelyezési Programja - 2 db sérült kosárlabda palánk cseréje, szerelése (H.Botev Ált. Isk.)</t>
  </si>
  <si>
    <t>Közfeladat ellátási szerződés Veszprémi Labdarúgó és Sportszervező Kft-vel.</t>
  </si>
  <si>
    <t>2022. évi bevételi előirányzat</t>
  </si>
  <si>
    <r>
      <rPr>
        <b/>
        <sz val="10"/>
        <rFont val="Palatino Linotype"/>
        <family val="1"/>
        <charset val="238"/>
      </rPr>
      <t xml:space="preserve">TOP – 7.1.1-16-H-ESZA-2019-01192 </t>
    </r>
    <r>
      <rPr>
        <sz val="10"/>
        <rFont val="Palatino Linotype"/>
        <family val="1"/>
        <charset val="238"/>
      </rPr>
      <t>A családra, mint a társadalom alapegységére építő komplex programok</t>
    </r>
  </si>
  <si>
    <r>
      <rPr>
        <b/>
        <sz val="10"/>
        <rFont val="Palatino Linotype"/>
        <family val="1"/>
        <charset val="238"/>
      </rPr>
      <t>TOP – 7.1.1-16-H-ESZA-2019-01202</t>
    </r>
    <r>
      <rPr>
        <sz val="10"/>
        <rFont val="Palatino Linotype"/>
        <family val="1"/>
        <charset val="238"/>
      </rPr>
      <t xml:space="preserve"> "Élmény, közösség, tudás" családi programok az Agórával</t>
    </r>
  </si>
  <si>
    <r>
      <t xml:space="preserve">TOP-7.1.1-16-H-ESZA-2020-01437 </t>
    </r>
    <r>
      <rPr>
        <sz val="10"/>
        <rFont val="Palatino Linotype"/>
        <family val="1"/>
        <charset val="238"/>
      </rPr>
      <t>HangSzín/zene-kép-alkotás</t>
    </r>
  </si>
  <si>
    <r>
      <t xml:space="preserve">TOP-7.1.1-16-H-ESZA-202-01419 </t>
    </r>
    <r>
      <rPr>
        <sz val="10"/>
        <rFont val="Palatino Linotype"/>
        <family val="1"/>
        <charset val="238"/>
      </rPr>
      <t>Veszprém Vár múltjának interaktív bemutatása</t>
    </r>
  </si>
  <si>
    <r>
      <t xml:space="preserve">EFOP-3.3.2-16-2016-00107 </t>
    </r>
    <r>
      <rPr>
        <sz val="10"/>
        <rFont val="Palatino Linotype"/>
        <family val="1"/>
        <charset val="238"/>
      </rPr>
      <t>Kulturális intézmények a köznevelés eredményességéért</t>
    </r>
  </si>
  <si>
    <r>
      <t xml:space="preserve">TOP-7.1.1-16-H-ESZA-2020-01214 </t>
    </r>
    <r>
      <rPr>
        <sz val="10"/>
        <rFont val="Palatino Linotype"/>
        <family val="1"/>
        <charset val="238"/>
      </rPr>
      <t>A város, mint otthon és óriási játszótér (Kulturális-művészeti kapcitások fejlesztése a Kabóca Bábszínházban)</t>
    </r>
  </si>
  <si>
    <t>2022. évi kiadási előirányzat</t>
  </si>
  <si>
    <r>
      <t xml:space="preserve">TOP-7.1.1-16-H-ESZA-2020-01214 </t>
    </r>
    <r>
      <rPr>
        <sz val="10"/>
        <rFont val="Palatino Linotype"/>
        <family val="1"/>
        <charset val="238"/>
      </rPr>
      <t>A város, mint otthon és óriási játszótér (Kulturális-művészeti kapacitások fejlesztése a Kabóca Bábszínházban)</t>
    </r>
  </si>
  <si>
    <t>ebből: - Európa Kulturális Főváros XX. ütem</t>
  </si>
  <si>
    <t>2022. évi Országgyűlési képviselők választása és népszavazás</t>
  </si>
  <si>
    <t>Sport és Élsport</t>
  </si>
  <si>
    <t>Szabadidő- és Diáksport</t>
  </si>
  <si>
    <t>Programiroda Kft. - kulturális, művészeti rendezvények támogatása</t>
  </si>
  <si>
    <t>2023-tól</t>
  </si>
  <si>
    <t>U</t>
  </si>
  <si>
    <t>V</t>
  </si>
  <si>
    <t>W</t>
  </si>
  <si>
    <t>X</t>
  </si>
  <si>
    <t>Önkormányzati feladatellátást szolgáló fejlesztések</t>
  </si>
  <si>
    <t>Jutas futókör</t>
  </si>
  <si>
    <t>Tárgyi eszközök beszerzése (kézi kőmalom, kézi kártoló, hangszerkészlet)</t>
  </si>
  <si>
    <t>Informatikai eszközök beszerzése (laptop)</t>
  </si>
  <si>
    <t>Tárgyi eszközök beszerzése (kézi kőmalom, kézi kártoló)</t>
  </si>
  <si>
    <t>Konyhai eszközök, gépek</t>
  </si>
  <si>
    <t>Tárgyi eszközök beszerzése</t>
  </si>
  <si>
    <t xml:space="preserve">Kisértékű tárgyi eszközök beszerzése </t>
  </si>
  <si>
    <t>Informatikai eszközök beszerzése (szünetmentes)</t>
  </si>
  <si>
    <r>
      <rPr>
        <b/>
        <sz val="10"/>
        <rFont val="Palatino Linotype"/>
        <family val="1"/>
        <charset val="238"/>
      </rPr>
      <t>TOP – 6.9.2 -16-VP1-2018-0000</t>
    </r>
    <r>
      <rPr>
        <sz val="10"/>
        <rFont val="Palatino Linotype"/>
        <family val="1"/>
        <charset val="238"/>
      </rPr>
      <t>1 Közösségfejlesztés Veszprém város településrészein</t>
    </r>
  </si>
  <si>
    <r>
      <rPr>
        <b/>
        <sz val="10"/>
        <rFont val="Palatino Linotype"/>
        <family val="1"/>
        <charset val="238"/>
      </rPr>
      <t xml:space="preserve">TOP – 7.1.1-16-H-ESZA-2019-01202 </t>
    </r>
    <r>
      <rPr>
        <sz val="10"/>
        <rFont val="Palatino Linotype"/>
        <family val="1"/>
        <charset val="238"/>
      </rPr>
      <t>"Élmény, közösség, tudás" családi programok az Agórával (konyhai eszközök)</t>
    </r>
  </si>
  <si>
    <t>Tárgyi eszközök beszerzése (pénztárgépek)</t>
  </si>
  <si>
    <r>
      <rPr>
        <b/>
        <sz val="10"/>
        <rFont val="Palatino Linotype"/>
        <family val="1"/>
        <charset val="238"/>
      </rPr>
      <t>TOP-7.1.1-16-H-ESZA-2020-01437</t>
    </r>
    <r>
      <rPr>
        <sz val="10"/>
        <rFont val="Palatino Linotype"/>
        <family val="1"/>
        <charset val="238"/>
      </rPr>
      <t xml:space="preserve"> HangSzín/zene-kép-alkotás</t>
    </r>
  </si>
  <si>
    <t>Könyvtári könyvek, egyéb doc. (CD, DVD stb.) jogszabályi előírás szerint</t>
  </si>
  <si>
    <t>Tárgyi eszközök beszerzésére (kazán)</t>
  </si>
  <si>
    <r>
      <rPr>
        <b/>
        <sz val="10"/>
        <rFont val="Palatino Linotype"/>
        <family val="1"/>
        <charset val="238"/>
      </rPr>
      <t>TOP-7.1.1-16-H-ESZA-202-01419</t>
    </r>
    <r>
      <rPr>
        <sz val="10"/>
        <rFont val="Palatino Linotype"/>
        <family val="1"/>
        <charset val="238"/>
      </rPr>
      <t xml:space="preserve"> Veszprém Vár múltjának interaktív bemutatása</t>
    </r>
  </si>
  <si>
    <r>
      <rPr>
        <b/>
        <sz val="10"/>
        <rFont val="Palatino Linotype"/>
        <family val="1"/>
        <charset val="238"/>
      </rPr>
      <t xml:space="preserve">TOP-7.1.1-16-H-ESZA-2020-01214 </t>
    </r>
    <r>
      <rPr>
        <sz val="10"/>
        <rFont val="Palatino Linotype"/>
        <family val="1"/>
        <charset val="238"/>
      </rPr>
      <t>A város, mint otthon és óriási játszótér (Kulturális-művészeti kapacitások fejlesztése a Kabóca Bábszínházban) - mobilszínpad</t>
    </r>
  </si>
  <si>
    <t>Világítótestek részleges cseréje</t>
  </si>
  <si>
    <t>Telefonközpont cseréje</t>
  </si>
  <si>
    <t>Tűzjelző rendszer megvalósítás</t>
  </si>
  <si>
    <t>Kis-Házasságkötő klíma berend.</t>
  </si>
  <si>
    <t>Irattár kialakítás, polcrendszer</t>
  </si>
  <si>
    <t>Beléptető rendszer kialakítás</t>
  </si>
  <si>
    <t>Gépkocsi nyomkövető rendszer</t>
  </si>
  <si>
    <t>COVID védekezés beszerzések</t>
  </si>
  <si>
    <t>Gépkocsi gumiabroncs beszerzés</t>
  </si>
  <si>
    <t>Bútorok beszerzése</t>
  </si>
  <si>
    <t>Tárgyi eszköz beszerzés</t>
  </si>
  <si>
    <t>Igazgatás</t>
  </si>
  <si>
    <t>Tárgyi eszköz beszerzés (szavazófülkék)</t>
  </si>
  <si>
    <t xml:space="preserve"> - Működési kiadásokra képzett céltartalék (átvett követelés)</t>
  </si>
  <si>
    <t>Fixre telepített sebességmérő (trafipax) - Gyulafirátótra</t>
  </si>
  <si>
    <t>Csereerdő telepítés - Márkó-Bánd kerékpárút</t>
  </si>
  <si>
    <t>Bútorgyár</t>
  </si>
  <si>
    <t xml:space="preserve">Részleges nyílászáró csere, tetőtéri hőszigetelés, akadálymentes vizesblok és közlekedőrámpa, akadálymentes tárgyaló, női-férfi vizesblokk kialakítása, felújítása </t>
  </si>
  <si>
    <t xml:space="preserve">Fenntartási költségek csökkentését célzó energetikai korszerűsítés </t>
  </si>
  <si>
    <t>Német Nemzetiségi Önkormányzat pályázati önerő - Egry Úti Körzeti Óvodában vízálló terasz árnyékoló készítése</t>
  </si>
  <si>
    <t>2016-2022</t>
  </si>
  <si>
    <t>2017-2022</t>
  </si>
  <si>
    <t>2018-2022</t>
  </si>
  <si>
    <t>Előirányzat csoport / Kiemelt előirányzat neve</t>
  </si>
  <si>
    <t>Helyi önkormányzatok működésének általános támogatása</t>
  </si>
  <si>
    <t>Települési önkormányzatok egyes köznevelési feladatainak támogatása</t>
  </si>
  <si>
    <t>Települési önkormányzatok egyes szociális és gyermekjóléti feladatainak támogatása</t>
  </si>
  <si>
    <t>Települési önkormányzatok kulturális feladatainak támogatása</t>
  </si>
  <si>
    <t>Elszámolásból származó bevételek</t>
  </si>
  <si>
    <t>Települési önkormányzatok gyermekétkeztetési feladatainak támogatása</t>
  </si>
  <si>
    <t>Teljesítés                      2020.          12.31.-ig</t>
  </si>
  <si>
    <t>Epipen injekció biztosítása gyermekjóléti, köznevelési intézményekben és házi gyermekorvosi rendelőkben</t>
  </si>
  <si>
    <r>
      <rPr>
        <b/>
        <sz val="11"/>
        <rFont val="Palatino Linotype"/>
        <family val="1"/>
        <charset val="238"/>
      </rPr>
      <t>V-Busz Kft.</t>
    </r>
    <r>
      <rPr>
        <sz val="11"/>
        <rFont val="Palatino Linotype"/>
        <family val="1"/>
        <charset val="238"/>
      </rPr>
      <t xml:space="preserve"> - elektromos autóbuszok beszerzése és ehhez kapcsolódó töltőinfrastruktúra képítése</t>
    </r>
  </si>
  <si>
    <t>2021. évi              tény*</t>
  </si>
  <si>
    <t>2021. évi tény</t>
  </si>
  <si>
    <t>2021. évi              tény</t>
  </si>
  <si>
    <t>XVII. ütem összesen</t>
  </si>
  <si>
    <t>2022. évi eredeti előirányzat</t>
  </si>
  <si>
    <t>Gumiburkolat udvarra</t>
  </si>
  <si>
    <t>Vár mászóka udvarra</t>
  </si>
  <si>
    <t>Fénymásoló</t>
  </si>
  <si>
    <t>Homokozó árnyékoló és takaró fólia</t>
  </si>
  <si>
    <t>Udvari szemetesek</t>
  </si>
  <si>
    <t>Tárgyi eszközök beszerzése (bútorok, szúnyogháló csoportszobákba, konyhai eszközök, informatikai eszközök, telefon, magnó, szőnyeg, porszívó, kúszó folyosó, vágógéphez sablonok)</t>
  </si>
  <si>
    <t>Tárgyi eszközök beszerzése (wifi továbbító készülék, homokozó ponyva, udvari játékok, szőnyegtisztító gép, villany tűzhely, konyhai eszközök, laminlógép, mozgásfejlesztő eszközök, szappanadagoló, hosszabbító kábel, cd-s rágdió, bútorok, szekrények, székek, polcok, játéktároló kosarak, gyermekágy, hűtőszekrény, vasaló, telefon)</t>
  </si>
  <si>
    <t>Informatikai eszközök beszerzése (notebook-operációs rendszerrel)</t>
  </si>
  <si>
    <t>Tárgyi eszköz beszerzése (gyermekszékek, szakmai játékok, vasalók)</t>
  </si>
  <si>
    <t>Csoportszobába klímatizálás</t>
  </si>
  <si>
    <t>Okoskijelző állvánnyal</t>
  </si>
  <si>
    <t>Kerékpárok álvánnyal</t>
  </si>
  <si>
    <t>Trambulin</t>
  </si>
  <si>
    <t>Multifunkciós nyomtató, szkenner, fénymásoló</t>
  </si>
  <si>
    <t>Szárítógép</t>
  </si>
  <si>
    <t>Mosógép</t>
  </si>
  <si>
    <t>Kombinált akadálypálya tornaszobába</t>
  </si>
  <si>
    <t>Udvari mászókák</t>
  </si>
  <si>
    <t>Homokozó ponyvák</t>
  </si>
  <si>
    <t>Tárgyi eszközök beszerzése (bútorok, beebot-ok, vízforralók, kéziturmix, kávéfőző, létrák, monitor)</t>
  </si>
  <si>
    <t>Tárgyi eszközök beszerzése (bútorok, mikró, vízforraló, salgó polcok, létrák)</t>
  </si>
  <si>
    <t>Kombinálható akadálypálya szivacsból tornaterembe</t>
  </si>
  <si>
    <t>Tárgyi eszközök beszerzése (konyhai és szakmai eszközök)</t>
  </si>
  <si>
    <t>Tárgyi eszközök beszerzése (szakmai eszközök)</t>
  </si>
  <si>
    <t xml:space="preserve">Szakmai eszközök, bútorok beszerzése </t>
  </si>
  <si>
    <t>Informatika eszközök (számítógépek, monitorok pótlása)</t>
  </si>
  <si>
    <t>Tárgyi eszközök beszerzése (telefonok, bútorok, eszközök, gépek)</t>
  </si>
  <si>
    <t>Kisértékű tárgyi eszköz vásárlás Pápai út 37. - CSÁO (digitális lázmérő, légzésfigyelő, elektromos streizáló (cumisüveg), fertőtlenítő állomás, bébiőr,  hűtő/fagyasztó, boyler,  bútor, szőnyeg, függöny, mobiltelefon, mikró, kávéfőző, vízmelegítő, ventilátor/hősugárzó, külső winchester, router, iratmegsemmisítő, porszívó, mérleg,  szárítógép, konyhai eszközök)</t>
  </si>
  <si>
    <t>Kisértékű tárgyi eszköz vásárlás Rózsa u. 48. ( fertőtlenítő állomás, digitális lázmérő, bútor, szőnyeg, függöny, mobiltelefon, mikró, kávéfőző, vízmelegítő, ventilátor /hősugárzó, külső winchester, router, iratmegsemmisítő, porszívó, játék/társasjáték, konyhai eszközök )</t>
  </si>
  <si>
    <t>Családok Átmeneti Otthona játszótér (kerítés és játszótéri eszközök)</t>
  </si>
  <si>
    <t>Személyautó</t>
  </si>
  <si>
    <t>Számítógép</t>
  </si>
  <si>
    <t>Beépített szekrények</t>
  </si>
  <si>
    <t>Tárgyi eszközök beszerzése (kisértékű tárgyi eszközök)</t>
  </si>
  <si>
    <t>Tárgyi eszközök beszerzése (fényképezőgép, telefon, péntárgép, szinpadtechnikai eszközök, irodabútor</t>
  </si>
  <si>
    <t>Informatikai eszközök (számítógép, monitor, nyomtató, laptop)</t>
  </si>
  <si>
    <t>Kamerarendszer Dubniczay palota, Vass Gyűjtemény</t>
  </si>
  <si>
    <t>NKA támogatásból Borkovics, Bokros műtárgyvásárlás</t>
  </si>
  <si>
    <t>NKA támogatásból Babinszky, Somody, Schmal műtárgyvásárlás</t>
  </si>
  <si>
    <t>Településképi Arculati Kézikönyv és Településképi rendelet módosítása</t>
  </si>
  <si>
    <t>Amerikai Kuckó (számítástechnikai eszközök)</t>
  </si>
  <si>
    <t>Kisértékű számítástechnikai eszközök beszerzése</t>
  </si>
  <si>
    <t>Kézikocsi 300 kg teherbírású    2 db  Felsőörsi raktárba</t>
  </si>
  <si>
    <t>Tárolórendszer  Egry képekhez 12 db láda /képzőművészeti gyűjteménybe /</t>
  </si>
  <si>
    <t>Villás raklapemelő /béka/ 2 db  Felsőörsi raktárba</t>
  </si>
  <si>
    <t>Összenyitható raktárkonténer  12 db Felsőörsi raktárbázisra</t>
  </si>
  <si>
    <t>Kisértékű tárgyi eszközök beszerzése</t>
  </si>
  <si>
    <t>2 darab számítógépes munkaállomás</t>
  </si>
  <si>
    <t>Mobil ipari porelszívó / Restaurátor műhely részére /</t>
  </si>
  <si>
    <t>Ipari mosogató dupla /restaurátor műhely részére  /</t>
  </si>
  <si>
    <t>Monitor színhelyes mikroszkóphoz /Műtárgyvédelmi osztályra /</t>
  </si>
  <si>
    <t>Fiókos rajztároló szekrény 3 db /Képzőművészeti gyűjteménybe /</t>
  </si>
  <si>
    <t>Fémvázas mobil tároló / Restaurátor műhely részére /</t>
  </si>
  <si>
    <t>Szekrény 2 részes fémrestaurátor műhelybe</t>
  </si>
  <si>
    <t>Számítástechnikai eszköz EKF pályázatban</t>
  </si>
  <si>
    <t>Éremtároló fémszekrények</t>
  </si>
  <si>
    <t xml:space="preserve">hálózati háttértároló </t>
  </si>
  <si>
    <t>Laptop 4 db</t>
  </si>
  <si>
    <t>Alumínium állvány</t>
  </si>
  <si>
    <t>2 darab szkenner (EPSON V850 Pro)</t>
  </si>
  <si>
    <t>led izzósor beépítéssel /Várkapu Bolt /</t>
  </si>
  <si>
    <t>Üvegműtárgyak beszerzése NKA támogatásból</t>
  </si>
  <si>
    <t>Informatikai eszközök</t>
  </si>
  <si>
    <t>Gépjármű beszerzés</t>
  </si>
  <si>
    <t>Hangtechnika</t>
  </si>
  <si>
    <t>Mikroport rendszer</t>
  </si>
  <si>
    <t>Videi stúdió technika</t>
  </si>
  <si>
    <t>Fénytechnika</t>
  </si>
  <si>
    <t>Mozart! Produkció eszközbeszerzései - hangtechnika</t>
  </si>
  <si>
    <t>Egyéb tárgyi eszközök, immateriális javak</t>
  </si>
  <si>
    <t>ebből: menekültek megsegítésére nyújtott adomány</t>
  </si>
  <si>
    <t>Gépkocsi beszerzések (Gondnokság és Közterületfelügyelet számára)</t>
  </si>
  <si>
    <t>Hetman Jan Tarnowski Alapítvány (Lengyelolrszág) - Ukrajnából menekülni kényszerülő megsegítése</t>
  </si>
  <si>
    <t>Humanitárius katasztrófa miatt érkező menekültek ellátási (élelmezési) költségei</t>
  </si>
  <si>
    <t>Hulladéklerakó rekultivációja</t>
  </si>
  <si>
    <t>Fűtési rendszer felújítás</t>
  </si>
  <si>
    <t>Cholnoky u. 19. Orvosi rendelő</t>
  </si>
  <si>
    <t>Külső homlokzat</t>
  </si>
  <si>
    <t>Bakonykarszt - lakossági vízbekötés</t>
  </si>
  <si>
    <t xml:space="preserve">         - Veszprém műemléki topográfia kötet kiadására</t>
  </si>
  <si>
    <t xml:space="preserve"> - Választókerületi keret</t>
  </si>
  <si>
    <t>Hulladékelszállítás, gyomtalanítás</t>
  </si>
  <si>
    <t>Köztéri műalkotások elhelyezése</t>
  </si>
  <si>
    <t>Tárgyi eszközök beszerzése (szőnyeg, szekrény, indukciós főzőlap, routerek)</t>
  </si>
  <si>
    <t>2022. évi módosított előirányzat 3.</t>
  </si>
  <si>
    <t>módosított előirányzat 3.</t>
  </si>
  <si>
    <t>Tárgyi eszközök beszerzése (autómata mosógép, kerti asztalok paddal, hűtőventillátorok, postaláda, zárautomatika, műfenyők, szakmai játékok, kártyaleolvasó)</t>
  </si>
  <si>
    <t>Humanitárius katasztrófa miatt érkező menekültek elhelyezési költségei</t>
  </si>
  <si>
    <t>Ukrajnából érkező menekültek részére (focilabdák, kosárlabdák, kézilabdák, kültéri asztalitenisz, asztalitenisz hálók, asztalitenisz ütők, állványos csocsó asztalok)</t>
  </si>
  <si>
    <r>
      <t>Nem lakáscélú helyiségek üzemeltetési költségei</t>
    </r>
    <r>
      <rPr>
        <sz val="11"/>
        <rFont val="Palatino Linotype"/>
        <family val="1"/>
        <charset val="238"/>
      </rPr>
      <t xml:space="preserve"> - Dózsa György u. 2 - villanybojler beszerzése</t>
    </r>
  </si>
  <si>
    <t>Európa Kulturális Fővárosa XXI. ütem</t>
  </si>
  <si>
    <t>XXI. ütem összesen</t>
  </si>
  <si>
    <t>Csikász Galéria felújítása, igazgatóságként működő épület új bejárat kialakítása</t>
  </si>
  <si>
    <t>Felkészülés a veszprémi EKF nyitórendezvényére - 1.ütem</t>
  </si>
  <si>
    <t>Európa Kulturális Fővárosa XXII. ütem</t>
  </si>
  <si>
    <t>XXII. ütem összesen</t>
  </si>
  <si>
    <t>Európa Kulturális Fővárosa XXIII. ütem</t>
  </si>
  <si>
    <t>Dózsavárosi Könyvtár felújítása</t>
  </si>
  <si>
    <t>Tárgyi eszközök beszerzése (kávéfőző, kompresszor, kerti faház, hűtőszekrény, e-személyi olvasó, routerek, porszívó)</t>
  </si>
  <si>
    <t>Informatikai eszközök beszerzése (nyomtató, mobiltelefonok, pendrivok, szekrény, laptop)</t>
  </si>
  <si>
    <t>Veszprém Balaton 2023 Zrt. - EKF - II. Jutas Piknik pályázati támogatás (babzsákfotelek)</t>
  </si>
  <si>
    <t>Karos árnyékoló szerkezet 2 db</t>
  </si>
  <si>
    <t>Tárgyi eszköz beszerzése (mikró, porszívó, szalagfüggöny, kerti tárolóláda, szőnyeg, napvitorla, gyerekasztal)</t>
  </si>
  <si>
    <t>Tárgyi eszköz beszerzése (ágvágó és sövénynyíró, mikró, hűtőszekrény, gyerekszék, gyerekfektető és tartó, szőnyeg, függöny, porszívó, projektor, digitális kijelző, mobiltelefon, laptop, tepsitartó állvány, öltőzőbútor, gurulós konyhai munkaasztal, napvitorla)</t>
  </si>
  <si>
    <t>Veszprém Balaton 2023 Zrt. pályázat - család- és látógatóbarát eszközbeszerzés</t>
  </si>
  <si>
    <t>Könyvtári érdekeltségnövelő támogatásból informatikai eszközbeszerzés</t>
  </si>
  <si>
    <t>Veszprém Balaton 2023 Zrt. -Radio Freguency Identification rendszer - eszközbeszerzés</t>
  </si>
  <si>
    <t>Számítógép, szoftver</t>
  </si>
  <si>
    <t>Fénytechnikus technikai eszköz vásárlás</t>
  </si>
  <si>
    <t>Kabóciádé (babzsákok, sörpadok, sörasztalok, kültéri szőnyegek, napvitorla, kis sátrak)</t>
  </si>
  <si>
    <t>Tárgyi eszközök beszerzése (fényképezőgép állvány, irodai székek, professzinonális létrák, kézi szerszámok)</t>
  </si>
  <si>
    <t>ebből:  - Gróf Széchenyi Ödön Tűzvédelmi Alapítvány 05. támogatása</t>
  </si>
  <si>
    <t>Erasmus+ Hangadó c. pályázat - Veszprém Ifjúsági Koncepciójának megújítása</t>
  </si>
  <si>
    <t>XXIII. ütem összesen</t>
  </si>
  <si>
    <t>Kulturális tartalomfejlesztés - működési kiadások</t>
  </si>
  <si>
    <t>Közművelődési szolgáltatás</t>
  </si>
  <si>
    <t>Városi közbiztonsági keret - a közbiztonság megerősítése érdekében a helyi lakóközösségek részére nyújtott önkormányzati támogatás (kamerarendszere létesítése vagy korszerűsítése)</t>
  </si>
  <si>
    <t>Veszprém-Gyulafirátót Pásztor utca feletti csapadékvíz elöntés védekezés és kárelhárítás költségeire</t>
  </si>
  <si>
    <t>Gyulafirátót településrész ÉNY-i területét érintő csapadékvíz elvezetés megoldásának tanulmányterve</t>
  </si>
  <si>
    <t>4.vk. Haszkovó 12 tömbház előtti kispark felújítása, asztal és padok kihelyezése</t>
  </si>
  <si>
    <t>4.vk. Haszkovó 13 tömbház mögötti kisparkba szemetes edény kihelyezése</t>
  </si>
  <si>
    <t>4. vk. Stromfeld A. 5 tömbház előtti közterületre 3 pad kihelyezése</t>
  </si>
  <si>
    <t xml:space="preserve"> ebből : 2. vk. 5 db. Fa elültetése a Pöltenberg Ernő utcai közpark keleti részében</t>
  </si>
  <si>
    <t>Veszprém Balaton 2023 Zrt. - EKF támogatás (Simoga projekt)</t>
  </si>
  <si>
    <t>Veszprém Balaton 2023 Zrt. - EKF támogatás (Fixir projekt)</t>
  </si>
  <si>
    <t>2.vk. VKTT Egyesített Szociális Intézmény: kamerarendszer telepítéséhez és az elektromos kapuk kialakításához (monitor beszerzés) támogatás</t>
  </si>
  <si>
    <t>7.vk. Aprófalvi Bölcsőde - babakocsi feljáró javítása</t>
  </si>
  <si>
    <t>7.vk. Cholnoky Jenő Általános Iskola - udvari játszóeszköz beszerzéséhez támogatás</t>
  </si>
  <si>
    <t>1.vk. Támogatása (eszközbeszerzés) 3 db. Kerékpár</t>
  </si>
  <si>
    <t>Szilágyi Keresztény Iskolai Alapítvány (11.vk.)</t>
  </si>
  <si>
    <t>Keresztény Szülők Alapítványa a Veszprém Megyei Diákokért (11.vk)</t>
  </si>
  <si>
    <t>Szent Imre Ifjúsági Alapítvány (11.vk)</t>
  </si>
  <si>
    <t>1.vk. Támogatása (eszközbeszerzés - Little Tikes piknik asztal 2db, tranbulin rugó védő, homokozójátékok)</t>
  </si>
  <si>
    <t>Helyi Esélyegyenlőségi Program felülvizsgálata</t>
  </si>
  <si>
    <t>Állatmenhely - állatvizsgáló kialakítása</t>
  </si>
  <si>
    <t>Éltes Mátyás Alapítvány (3.vk)</t>
  </si>
  <si>
    <t>ebből:  - Kozmutza Flóra Értelmileg sérült Gyermekekért Alapítány (3.vk)</t>
  </si>
  <si>
    <t>Csillagfény Alapítvány (6.vk)</t>
  </si>
  <si>
    <t>Panna Csodavilága Alapítvány (12.vk)</t>
  </si>
  <si>
    <t>Nap Gyermekei Alapítvány (12.vk)</t>
  </si>
  <si>
    <t>Dózsa Iskoláért Alapítvány (12.vk)</t>
  </si>
  <si>
    <t>Vadvirág Alapítvány (12.vk)</t>
  </si>
  <si>
    <t>Választókerületi keretek</t>
  </si>
  <si>
    <t>2022. évi eredeti  előirányzat</t>
  </si>
  <si>
    <t>módosítás -</t>
  </si>
  <si>
    <t>Európa Kulturális Fővárosa V. ütem</t>
  </si>
  <si>
    <t>V. ütem összesen</t>
  </si>
  <si>
    <t>EKF programhoz illeszkedő ingatlanvásárlás és felújítás támogatás visszafizetése (támogatásból megvásárolt 4726/2 hrsz-ú volt Szikvíz parkoló ingatlan értékesítése)</t>
  </si>
  <si>
    <t>Önkormányzati feladatok és egyéb kötelezettségek 2022. évi működési költségvetési kiadásainak I. félévi teljesítése</t>
  </si>
  <si>
    <t>teljesítés</t>
  </si>
  <si>
    <t xml:space="preserve">teljesítés </t>
  </si>
  <si>
    <t>2022. évi beruházási és egyéb felhalmozási célú kiadások 2022. I. félévi teljesítése</t>
  </si>
  <si>
    <t>2022. évi felújítási kiadások I. félévi teljesítése</t>
  </si>
  <si>
    <t>Modern Városok Program és más hazai finanszírozásból megvalósuló feladatok 2022. évi költségvetési kiadásainak I. félévi teljesítése</t>
  </si>
  <si>
    <t>Teljesítés</t>
  </si>
  <si>
    <t>2022. évi felhalmozási költségvetési kiadások I. félévi teljesítése</t>
  </si>
  <si>
    <t>2022. évi költségvetési kiadásai I. félévi teljesítése</t>
  </si>
  <si>
    <t xml:space="preserve">teljesítés- </t>
  </si>
  <si>
    <t>teljesítés-</t>
  </si>
  <si>
    <t>2022. évi költségvetési bevételei I. félévi teljesítése</t>
  </si>
  <si>
    <t>KÖLTSÉGVETÉSI BEVÉTELEI ÉS KIADÁSAI 2022. I. FÉLÉVI TELJESÍTÉSE</t>
  </si>
  <si>
    <t>2022. évi költségvetési bevételeinek I. félévi teljesítése</t>
  </si>
  <si>
    <t>Polgármesteri Hivatal Közhatalmi bevételek</t>
  </si>
  <si>
    <t>2022. I. félévi EU támogatás teljesítés</t>
  </si>
  <si>
    <t>2022. I. félévi kiadások teljesítése</t>
  </si>
  <si>
    <t>Y</t>
  </si>
  <si>
    <t>Z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</si>
  <si>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</si>
  <si>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</si>
  <si>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</si>
  <si>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</si>
  <si>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</si>
  <si>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</si>
  <si>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</si>
  <si>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</si>
  <si>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</si>
  <si>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</si>
  <si>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</si>
  <si>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1. melléklet</t>
  </si>
  <si>
    <t>adósságot keletkeztető ügyletekből származó kötelezettségei</t>
  </si>
  <si>
    <t>Hitel megnevezése</t>
  </si>
  <si>
    <t>Hitelt nyújtó pénzintézet</t>
  </si>
  <si>
    <t>Hitel- szerződés dátuma</t>
  </si>
  <si>
    <t>Lejárat idő- pontja</t>
  </si>
  <si>
    <t>Hitelkeret</t>
  </si>
  <si>
    <t>Hitel-állomány 2021.12.31</t>
  </si>
  <si>
    <t>Hitel- felvétel 2022. 1 félév</t>
  </si>
  <si>
    <t>Tőke-törlesztés 2022 I. félév</t>
  </si>
  <si>
    <t>Hitel-állomány  2022.06.30</t>
  </si>
  <si>
    <t>Hitelfelvétel 2022. II. félév</t>
  </si>
  <si>
    <t>Tőketörlesztés 2022. II. félév</t>
  </si>
  <si>
    <t>Hitelállomány  2022.12.31</t>
  </si>
  <si>
    <t>1.</t>
  </si>
  <si>
    <t>Hitelszerződés - SMO 2011.</t>
  </si>
  <si>
    <t>UniCredit Bank</t>
  </si>
  <si>
    <t>2.</t>
  </si>
  <si>
    <t>Hitelszerződés - MFB ÖIP 2013.</t>
  </si>
  <si>
    <t>Takarékbank</t>
  </si>
  <si>
    <t>3.</t>
  </si>
  <si>
    <t>Hitelszerződés - MFB ÖIP 2014</t>
  </si>
  <si>
    <t>4.</t>
  </si>
  <si>
    <t>Kölcsönszerződés - Célhitel 2014</t>
  </si>
  <si>
    <t>OTP Bank</t>
  </si>
  <si>
    <t>5.</t>
  </si>
  <si>
    <t>Kölcsönszerződés - Célhitel 2017</t>
  </si>
  <si>
    <t>6.</t>
  </si>
  <si>
    <t>Kölcsönszerződés - Célhitel 2019</t>
  </si>
  <si>
    <t>7.</t>
  </si>
  <si>
    <t>Fejlesztési hitel - 2021</t>
  </si>
  <si>
    <t>UniCreditBank</t>
  </si>
  <si>
    <t>8.</t>
  </si>
  <si>
    <t xml:space="preserve">Rövid lejáratú hitel </t>
  </si>
  <si>
    <t xml:space="preserve"> 2022.</t>
  </si>
  <si>
    <t>2022.</t>
  </si>
  <si>
    <t>I.</t>
  </si>
  <si>
    <t>Pénzintézetekkel szemben fenálló kötelezettségek összesen</t>
  </si>
  <si>
    <t>14. melléklet</t>
  </si>
  <si>
    <t>13.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</si>
</sst>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0.0%"/>
  </numFmts>
  <fonts count="5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Palatino Linotype"/>
      <family val="1"/>
      <charset val="238"/>
    </font>
    <font>
      <sz val="10"/>
      <name val="Arial"/>
      <family val="2"/>
      <charset val="238"/>
    </font>
    <font>
      <b/>
      <sz val="11"/>
      <name val="Palatino Linotype"/>
      <family val="1"/>
      <charset val="238"/>
    </font>
    <font>
      <i/>
      <sz val="11"/>
      <name val="Palatino Linotype"/>
      <family val="1"/>
      <charset val="238"/>
    </font>
    <font>
      <sz val="9"/>
      <name val="Palatino Linotype"/>
      <family val="1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0"/>
      <name val="Palatino Linotype"/>
      <family val="1"/>
      <charset val="238"/>
    </font>
    <font>
      <b/>
      <sz val="9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sz val="9"/>
      <name val="Arial CE"/>
      <charset val="238"/>
    </font>
    <font>
      <i/>
      <u/>
      <sz val="10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7"/>
      <name val="Palatino Linotype"/>
      <family val="1"/>
      <charset val="238"/>
    </font>
    <font>
      <i/>
      <sz val="10"/>
      <name val="Arial CE"/>
      <charset val="238"/>
    </font>
    <font>
      <sz val="11"/>
      <name val="Arial CE"/>
      <charset val="238"/>
    </font>
    <font>
      <b/>
      <u/>
      <sz val="10"/>
      <name val="Palatino Linotype"/>
      <family val="1"/>
      <charset val="238"/>
    </font>
    <font>
      <b/>
      <u/>
      <sz val="11"/>
      <name val="Palatino Linotype"/>
      <family val="1"/>
      <charset val="238"/>
    </font>
    <font>
      <u/>
      <sz val="11"/>
      <name val="Palatino Linotype"/>
      <family val="1"/>
      <charset val="238"/>
    </font>
    <font>
      <b/>
      <u/>
      <sz val="12"/>
      <name val="Palatino Linotype"/>
      <family val="1"/>
      <charset val="238"/>
    </font>
    <font>
      <u/>
      <sz val="10"/>
      <name val="Palatino Linotyp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Palatino Linotype"/>
      <family val="1"/>
      <charset val="238"/>
    </font>
    <font>
      <b/>
      <sz val="10"/>
      <color theme="5" tint="-0.499984740745262"/>
      <name val="Palatino Linotype"/>
      <family val="1"/>
      <charset val="238"/>
    </font>
    <font>
      <b/>
      <i/>
      <sz val="10"/>
      <color theme="5" tint="-0.499984740745262"/>
      <name val="Palatino Linotype"/>
      <family val="1"/>
      <charset val="238"/>
    </font>
    <font>
      <b/>
      <sz val="10"/>
      <color theme="5" tint="-0.499984740745262"/>
      <name val="Arial CE"/>
      <charset val="238"/>
    </font>
    <font>
      <b/>
      <i/>
      <sz val="10"/>
      <color theme="5" tint="-0.499984740745262"/>
      <name val="Arial CE"/>
      <charset val="238"/>
    </font>
    <font>
      <b/>
      <sz val="11"/>
      <color theme="5" tint="-0.499984740745262"/>
      <name val="Palatino Linotype"/>
      <family val="1"/>
      <charset val="238"/>
    </font>
    <font>
      <sz val="11"/>
      <color theme="5" tint="-0.499984740745262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i/>
      <sz val="11"/>
      <color theme="5" tint="-0.499984740745262"/>
      <name val="Palatino Linotype"/>
      <family val="1"/>
      <charset val="238"/>
    </font>
    <font>
      <b/>
      <sz val="9"/>
      <color theme="5" tint="-0.499984740745262"/>
      <name val="Palatino Linotype"/>
      <family val="1"/>
      <charset val="238"/>
    </font>
    <font>
      <sz val="10"/>
      <color theme="5" tint="-0.499984740745262"/>
      <name val="Palatino Linotype"/>
      <family val="1"/>
      <charset val="238"/>
    </font>
    <font>
      <i/>
      <sz val="10"/>
      <color theme="5" tint="-0.499984740745262"/>
      <name val="Palatino Linotype"/>
      <family val="1"/>
      <charset val="238"/>
    </font>
    <font>
      <b/>
      <u/>
      <sz val="11"/>
      <color theme="1"/>
      <name val="Palatino Linotype"/>
      <family val="1"/>
      <charset val="238"/>
    </font>
    <font>
      <b/>
      <i/>
      <sz val="11"/>
      <color theme="1"/>
      <name val="Palatino Linotype"/>
      <family val="1"/>
      <charset val="238"/>
    </font>
    <font>
      <sz val="12"/>
      <name val="Tahoma"/>
      <family val="2"/>
      <charset val="238"/>
    </font>
    <font>
      <b/>
      <i/>
      <u/>
      <sz val="11"/>
      <name val="Palatino Linotype"/>
      <family val="1"/>
      <charset val="238"/>
    </font>
    <font>
      <b/>
      <sz val="10"/>
      <color rgb="FF5F2E05"/>
      <name val="Palatino Linotype"/>
      <family val="1"/>
      <charset val="238"/>
    </font>
    <font>
      <i/>
      <sz val="11"/>
      <color theme="5" tint="-0.499984740745262"/>
      <name val="Palatino Linotype"/>
      <family val="1"/>
      <charset val="238"/>
    </font>
    <font>
      <b/>
      <sz val="11"/>
      <color rgb="FF5F2E05"/>
      <name val="Palatino Linotype"/>
      <family val="1"/>
      <charset val="238"/>
    </font>
    <font>
      <sz val="11"/>
      <color rgb="FF5F2E05"/>
      <name val="Palatino Linotype"/>
      <family val="1"/>
      <charset val="238"/>
    </font>
    <font>
      <sz val="10"/>
      <name val="Times New Roman"/>
      <family val="1"/>
      <charset val="238"/>
    </font>
    <font>
      <sz val="16"/>
      <name val="Palatino Linotyp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8">
    <xf numFmtId="0" fontId="0" fillId="0" borderId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2" fillId="0" borderId="0"/>
    <xf numFmtId="0" fontId="14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44" fontId="14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164" fontId="1" fillId="0" borderId="0" applyFont="0" applyFill="0" applyBorder="0" applyAlignment="0" applyProtection="0"/>
    <xf numFmtId="0" fontId="53" fillId="0" borderId="0"/>
  </cellStyleXfs>
  <cellXfs count="1878">
    <xf numFmtId="0" fontId="0" fillId="0" borderId="0" xfId="0"/>
    <xf numFmtId="0" fontId="9" fillId="0" borderId="0" xfId="0" applyFont="1" applyAlignment="1">
      <alignment vertical="center"/>
    </xf>
    <xf numFmtId="3" fontId="9" fillId="0" borderId="0" xfId="0" applyNumberFormat="1" applyFont="1"/>
    <xf numFmtId="3" fontId="9" fillId="0" borderId="0" xfId="27" applyNumberFormat="1" applyFont="1" applyAlignment="1">
      <alignment horizontal="center"/>
    </xf>
    <xf numFmtId="3" fontId="9" fillId="0" borderId="0" xfId="27" applyNumberFormat="1" applyFont="1"/>
    <xf numFmtId="3" fontId="11" fillId="0" borderId="0" xfId="27" applyNumberFormat="1" applyFont="1"/>
    <xf numFmtId="3" fontId="9" fillId="0" borderId="0" xfId="27" applyNumberFormat="1" applyFont="1" applyAlignment="1">
      <alignment vertical="center"/>
    </xf>
    <xf numFmtId="3" fontId="9" fillId="0" borderId="0" xfId="27" applyNumberFormat="1" applyFont="1" applyAlignment="1">
      <alignment horizontal="center" vertical="top"/>
    </xf>
    <xf numFmtId="3" fontId="9" fillId="0" borderId="0" xfId="27" applyNumberFormat="1" applyFont="1" applyAlignment="1">
      <alignment horizontal="center" vertical="center"/>
    </xf>
    <xf numFmtId="3" fontId="12" fillId="0" borderId="0" xfId="27" applyNumberFormat="1" applyFont="1" applyAlignment="1">
      <alignment horizontal="center" vertical="center"/>
    </xf>
    <xf numFmtId="3" fontId="11" fillId="0" borderId="0" xfId="0" applyNumberFormat="1" applyFont="1"/>
    <xf numFmtId="3" fontId="9" fillId="0" borderId="0" xfId="27" applyNumberFormat="1" applyFont="1" applyAlignment="1">
      <alignment vertical="top" wrapText="1"/>
    </xf>
    <xf numFmtId="3" fontId="11" fillId="0" borderId="0" xfId="27" applyNumberFormat="1" applyFont="1" applyAlignment="1">
      <alignment vertical="top" wrapText="1"/>
    </xf>
    <xf numFmtId="3" fontId="11" fillId="0" borderId="0" xfId="27" applyNumberFormat="1" applyFont="1" applyAlignment="1">
      <alignment horizontal="center"/>
    </xf>
    <xf numFmtId="3" fontId="9" fillId="0" borderId="0" xfId="27" applyNumberFormat="1" applyFont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13" fillId="0" borderId="0" xfId="0" applyNumberFormat="1" applyFont="1" applyAlignment="1">
      <alignment horizontal="center"/>
    </xf>
    <xf numFmtId="3" fontId="11" fillId="0" borderId="0" xfId="26" applyNumberFormat="1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wrapText="1" indent="1"/>
    </xf>
    <xf numFmtId="3" fontId="11" fillId="0" borderId="5" xfId="0" applyNumberFormat="1" applyFont="1" applyBorder="1" applyAlignment="1">
      <alignment vertical="center"/>
    </xf>
    <xf numFmtId="3" fontId="9" fillId="0" borderId="6" xfId="0" applyNumberFormat="1" applyFont="1" applyBorder="1"/>
    <xf numFmtId="3" fontId="9" fillId="0" borderId="0" xfId="26" applyNumberFormat="1" applyFont="1"/>
    <xf numFmtId="3" fontId="9" fillId="0" borderId="0" xfId="26" applyNumberFormat="1" applyFont="1" applyAlignment="1">
      <alignment horizontal="right"/>
    </xf>
    <xf numFmtId="3" fontId="9" fillId="0" borderId="0" xfId="26" applyNumberFormat="1" applyFont="1" applyAlignment="1">
      <alignment vertical="center"/>
    </xf>
    <xf numFmtId="3" fontId="9" fillId="0" borderId="0" xfId="26" applyNumberFormat="1" applyFont="1" applyAlignment="1">
      <alignment horizontal="center" vertical="center"/>
    </xf>
    <xf numFmtId="3" fontId="11" fillId="0" borderId="7" xfId="26" applyNumberFormat="1" applyFont="1" applyBorder="1" applyAlignment="1">
      <alignment horizontal="center"/>
    </xf>
    <xf numFmtId="3" fontId="9" fillId="0" borderId="7" xfId="26" applyNumberFormat="1" applyFont="1" applyBorder="1" applyAlignment="1">
      <alignment horizontal="center"/>
    </xf>
    <xf numFmtId="3" fontId="11" fillId="0" borderId="7" xfId="26" applyNumberFormat="1" applyFont="1" applyBorder="1" applyAlignment="1">
      <alignment wrapText="1"/>
    </xf>
    <xf numFmtId="3" fontId="11" fillId="0" borderId="7" xfId="26" applyNumberFormat="1" applyFont="1" applyBorder="1"/>
    <xf numFmtId="3" fontId="11" fillId="0" borderId="0" xfId="26" applyNumberFormat="1" applyFont="1"/>
    <xf numFmtId="49" fontId="9" fillId="0" borderId="1" xfId="26" applyNumberFormat="1" applyFont="1" applyBorder="1" applyAlignment="1">
      <alignment horizontal="center"/>
    </xf>
    <xf numFmtId="3" fontId="9" fillId="0" borderId="0" xfId="26" applyNumberFormat="1" applyFont="1" applyAlignment="1">
      <alignment horizontal="center"/>
    </xf>
    <xf numFmtId="3" fontId="9" fillId="0" borderId="0" xfId="26" applyNumberFormat="1" applyFont="1" applyAlignment="1">
      <alignment horizontal="left" indent="2"/>
    </xf>
    <xf numFmtId="3" fontId="11" fillId="0" borderId="5" xfId="26" applyNumberFormat="1" applyFont="1" applyBorder="1" applyAlignment="1">
      <alignment horizontal="center"/>
    </xf>
    <xf numFmtId="3" fontId="9" fillId="0" borderId="5" xfId="26" applyNumberFormat="1" applyFont="1" applyBorder="1" applyAlignment="1">
      <alignment horizontal="center"/>
    </xf>
    <xf numFmtId="3" fontId="11" fillId="0" borderId="5" xfId="26" applyNumberFormat="1" applyFont="1" applyBorder="1"/>
    <xf numFmtId="3" fontId="11" fillId="0" borderId="0" xfId="26" applyNumberFormat="1" applyFont="1" applyAlignment="1">
      <alignment horizontal="center"/>
    </xf>
    <xf numFmtId="3" fontId="12" fillId="0" borderId="0" xfId="26" applyNumberFormat="1" applyFont="1" applyAlignment="1">
      <alignment horizontal="center"/>
    </xf>
    <xf numFmtId="3" fontId="12" fillId="0" borderId="0" xfId="26" applyNumberFormat="1" applyFont="1" applyAlignment="1">
      <alignment horizontal="left" indent="2"/>
    </xf>
    <xf numFmtId="3" fontId="12" fillId="0" borderId="0" xfId="26" applyNumberFormat="1" applyFont="1"/>
    <xf numFmtId="3" fontId="9" fillId="0" borderId="0" xfId="26" applyNumberFormat="1" applyFont="1" applyAlignment="1">
      <alignment horizontal="left" indent="3"/>
    </xf>
    <xf numFmtId="3" fontId="11" fillId="0" borderId="0" xfId="26" applyNumberFormat="1" applyFont="1" applyAlignment="1">
      <alignment horizontal="center" vertical="center"/>
    </xf>
    <xf numFmtId="3" fontId="11" fillId="0" borderId="0" xfId="26" applyNumberFormat="1" applyFont="1" applyAlignment="1">
      <alignment vertical="center"/>
    </xf>
    <xf numFmtId="3" fontId="9" fillId="0" borderId="0" xfId="26" applyNumberFormat="1" applyFont="1" applyAlignment="1">
      <alignment horizontal="left"/>
    </xf>
    <xf numFmtId="49" fontId="9" fillId="0" borderId="1" xfId="26" applyNumberFormat="1" applyFont="1" applyBorder="1" applyAlignment="1">
      <alignment horizontal="center" vertical="top"/>
    </xf>
    <xf numFmtId="3" fontId="9" fillId="0" borderId="0" xfId="26" applyNumberFormat="1" applyFont="1" applyAlignment="1">
      <alignment horizontal="center" vertical="top"/>
    </xf>
    <xf numFmtId="3" fontId="9" fillId="0" borderId="0" xfId="26" applyNumberFormat="1" applyFont="1" applyAlignment="1">
      <alignment vertical="top"/>
    </xf>
    <xf numFmtId="49" fontId="9" fillId="0" borderId="8" xfId="26" applyNumberFormat="1" applyFont="1" applyBorder="1" applyAlignment="1">
      <alignment horizontal="center" vertical="center"/>
    </xf>
    <xf numFmtId="3" fontId="11" fillId="0" borderId="9" xfId="26" applyNumberFormat="1" applyFont="1" applyBorder="1" applyAlignment="1">
      <alignment horizontal="center" vertical="center"/>
    </xf>
    <xf numFmtId="3" fontId="9" fillId="0" borderId="9" xfId="26" applyNumberFormat="1" applyFont="1" applyBorder="1" applyAlignment="1">
      <alignment horizontal="center" vertical="center"/>
    </xf>
    <xf numFmtId="3" fontId="11" fillId="0" borderId="9" xfId="26" applyNumberFormat="1" applyFont="1" applyBorder="1" applyAlignment="1">
      <alignment vertical="center"/>
    </xf>
    <xf numFmtId="3" fontId="9" fillId="0" borderId="0" xfId="26" applyNumberFormat="1" applyFont="1" applyAlignment="1">
      <alignment horizontal="left" indent="1"/>
    </xf>
    <xf numFmtId="3" fontId="9" fillId="0" borderId="0" xfId="26" applyNumberFormat="1" applyFont="1" applyAlignment="1">
      <alignment horizontal="left" vertical="top" indent="1"/>
    </xf>
    <xf numFmtId="49" fontId="9" fillId="0" borderId="0" xfId="26" applyNumberFormat="1" applyFont="1" applyAlignment="1">
      <alignment horizontal="center"/>
    </xf>
    <xf numFmtId="3" fontId="13" fillId="0" borderId="0" xfId="27" applyNumberFormat="1" applyFont="1" applyAlignment="1">
      <alignment horizontal="center" vertical="center"/>
    </xf>
    <xf numFmtId="3" fontId="16" fillId="0" borderId="10" xfId="0" applyNumberFormat="1" applyFon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3" fontId="16" fillId="0" borderId="12" xfId="0" applyNumberFormat="1" applyFont="1" applyBorder="1" applyAlignment="1">
      <alignment horizontal="center" wrapText="1"/>
    </xf>
    <xf numFmtId="3" fontId="16" fillId="0" borderId="13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Alignment="1">
      <alignment vertical="top"/>
    </xf>
    <xf numFmtId="3" fontId="18" fillId="0" borderId="0" xfId="0" applyNumberFormat="1" applyFont="1" applyAlignment="1">
      <alignment horizontal="right" vertical="center"/>
    </xf>
    <xf numFmtId="3" fontId="23" fillId="0" borderId="0" xfId="27" applyNumberFormat="1" applyFont="1" applyAlignment="1">
      <alignment horizontal="center" vertical="center"/>
    </xf>
    <xf numFmtId="3" fontId="13" fillId="0" borderId="0" xfId="0" applyNumberFormat="1" applyFont="1"/>
    <xf numFmtId="3" fontId="17" fillId="0" borderId="0" xfId="0" applyNumberFormat="1" applyFont="1"/>
    <xf numFmtId="3" fontId="16" fillId="0" borderId="12" xfId="27" applyNumberFormat="1" applyFont="1" applyBorder="1" applyAlignment="1">
      <alignment horizontal="center"/>
    </xf>
    <xf numFmtId="3" fontId="16" fillId="0" borderId="13" xfId="27" applyNumberFormat="1" applyFont="1" applyBorder="1" applyAlignment="1">
      <alignment horizontal="center"/>
    </xf>
    <xf numFmtId="3" fontId="16" fillId="0" borderId="13" xfId="27" applyNumberFormat="1" applyFont="1" applyBorder="1" applyAlignment="1">
      <alignment wrapText="1"/>
    </xf>
    <xf numFmtId="3" fontId="16" fillId="0" borderId="13" xfId="27" applyNumberFormat="1" applyFont="1" applyBorder="1" applyAlignment="1">
      <alignment horizontal="right"/>
    </xf>
    <xf numFmtId="3" fontId="16" fillId="0" borderId="12" xfId="27" applyNumberFormat="1" applyFont="1" applyBorder="1" applyAlignment="1">
      <alignment horizontal="center" vertical="center"/>
    </xf>
    <xf numFmtId="3" fontId="16" fillId="0" borderId="13" xfId="27" applyNumberFormat="1" applyFont="1" applyBorder="1" applyAlignment="1">
      <alignment horizontal="center" vertical="center"/>
    </xf>
    <xf numFmtId="3" fontId="16" fillId="0" borderId="18" xfId="27" applyNumberFormat="1" applyFont="1" applyBorder="1" applyAlignment="1">
      <alignment wrapText="1"/>
    </xf>
    <xf numFmtId="3" fontId="18" fillId="0" borderId="18" xfId="27" applyNumberFormat="1" applyFont="1" applyBorder="1" applyAlignment="1">
      <alignment horizontal="right"/>
    </xf>
    <xf numFmtId="3" fontId="18" fillId="0" borderId="12" xfId="27" applyNumberFormat="1" applyFont="1" applyBorder="1" applyAlignment="1">
      <alignment horizontal="center" vertical="center"/>
    </xf>
    <xf numFmtId="3" fontId="18" fillId="0" borderId="13" xfId="27" applyNumberFormat="1" applyFont="1" applyBorder="1" applyAlignment="1">
      <alignment horizontal="right"/>
    </xf>
    <xf numFmtId="3" fontId="18" fillId="0" borderId="13" xfId="27" applyNumberFormat="1" applyFont="1" applyBorder="1" applyAlignment="1">
      <alignment vertical="center" wrapText="1"/>
    </xf>
    <xf numFmtId="3" fontId="16" fillId="0" borderId="13" xfId="27" applyNumberFormat="1" applyFont="1" applyBorder="1"/>
    <xf numFmtId="3" fontId="16" fillId="0" borderId="12" xfId="27" applyNumberFormat="1" applyFont="1" applyBorder="1" applyAlignment="1">
      <alignment horizontal="center" vertical="top"/>
    </xf>
    <xf numFmtId="49" fontId="18" fillId="0" borderId="13" xfId="27" applyNumberFormat="1" applyFont="1" applyBorder="1" applyAlignment="1">
      <alignment horizontal="left" vertical="center" wrapText="1" indent="4"/>
    </xf>
    <xf numFmtId="3" fontId="16" fillId="0" borderId="20" xfId="27" applyNumberFormat="1" applyFont="1" applyBorder="1" applyAlignment="1">
      <alignment horizontal="center" vertical="center"/>
    </xf>
    <xf numFmtId="3" fontId="22" fillId="0" borderId="20" xfId="27" applyNumberFormat="1" applyFont="1" applyBorder="1" applyAlignment="1">
      <alignment horizontal="center"/>
    </xf>
    <xf numFmtId="3" fontId="23" fillId="0" borderId="0" xfId="27" applyNumberFormat="1" applyFont="1" applyAlignment="1">
      <alignment horizontal="center"/>
    </xf>
    <xf numFmtId="3" fontId="18" fillId="0" borderId="13" xfId="27" applyNumberFormat="1" applyFont="1" applyBorder="1" applyAlignment="1">
      <alignment horizontal="left" wrapText="1" indent="2"/>
    </xf>
    <xf numFmtId="0" fontId="11" fillId="0" borderId="0" xfId="0" applyFont="1" applyAlignment="1">
      <alignment horizontal="center"/>
    </xf>
    <xf numFmtId="3" fontId="16" fillId="0" borderId="20" xfId="27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right" wrapText="1"/>
    </xf>
    <xf numFmtId="3" fontId="16" fillId="0" borderId="18" xfId="27" applyNumberFormat="1" applyFont="1" applyBorder="1" applyAlignment="1">
      <alignment horizontal="right"/>
    </xf>
    <xf numFmtId="3" fontId="16" fillId="0" borderId="2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 vertical="center"/>
    </xf>
    <xf numFmtId="3" fontId="11" fillId="0" borderId="7" xfId="26" applyNumberFormat="1" applyFont="1" applyBorder="1" applyAlignment="1">
      <alignment horizontal="left" textRotation="90" wrapText="1"/>
    </xf>
    <xf numFmtId="3" fontId="9" fillId="0" borderId="7" xfId="26" applyNumberFormat="1" applyFont="1" applyBorder="1" applyAlignment="1">
      <alignment horizontal="center" wrapText="1"/>
    </xf>
    <xf numFmtId="3" fontId="11" fillId="0" borderId="7" xfId="26" applyNumberFormat="1" applyFont="1" applyBorder="1" applyAlignment="1">
      <alignment horizontal="left" wrapText="1"/>
    </xf>
    <xf numFmtId="3" fontId="11" fillId="0" borderId="0" xfId="26" applyNumberFormat="1" applyFont="1" applyAlignment="1">
      <alignment horizontal="left"/>
    </xf>
    <xf numFmtId="3" fontId="11" fillId="0" borderId="0" xfId="26" applyNumberFormat="1" applyFont="1" applyAlignment="1">
      <alignment horizontal="left" wrapText="1"/>
    </xf>
    <xf numFmtId="3" fontId="9" fillId="0" borderId="0" xfId="26" applyNumberFormat="1" applyFont="1" applyAlignment="1">
      <alignment horizontal="center"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1" fillId="0" borderId="6" xfId="0" applyFont="1" applyBorder="1" applyAlignment="1">
      <alignment wrapText="1"/>
    </xf>
    <xf numFmtId="3" fontId="11" fillId="0" borderId="6" xfId="26" applyNumberFormat="1" applyFont="1" applyBorder="1" applyAlignment="1">
      <alignment horizontal="left" textRotation="90" wrapText="1"/>
    </xf>
    <xf numFmtId="3" fontId="9" fillId="0" borderId="6" xfId="26" applyNumberFormat="1" applyFont="1" applyBorder="1" applyAlignment="1">
      <alignment horizontal="center" wrapText="1"/>
    </xf>
    <xf numFmtId="3" fontId="11" fillId="0" borderId="6" xfId="26" applyNumberFormat="1" applyFont="1" applyBorder="1" applyAlignment="1">
      <alignment horizontal="left" wrapText="1"/>
    </xf>
    <xf numFmtId="0" fontId="11" fillId="0" borderId="0" xfId="0" applyFont="1" applyAlignment="1">
      <alignment vertical="top" wrapText="1"/>
    </xf>
    <xf numFmtId="0" fontId="1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1" fillId="0" borderId="5" xfId="0" applyFont="1" applyBorder="1" applyAlignment="1">
      <alignment vertical="center" shrinkToFit="1"/>
    </xf>
    <xf numFmtId="0" fontId="9" fillId="0" borderId="0" xfId="0" applyFont="1" applyAlignment="1">
      <alignment horizontal="left" indent="1"/>
    </xf>
    <xf numFmtId="0" fontId="9" fillId="0" borderId="6" xfId="0" applyFont="1" applyBorder="1" applyAlignment="1">
      <alignment horizontal="left" indent="1"/>
    </xf>
    <xf numFmtId="0" fontId="11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3" fontId="16" fillId="0" borderId="0" xfId="0" applyNumberFormat="1" applyFont="1"/>
    <xf numFmtId="3" fontId="18" fillId="0" borderId="0" xfId="0" applyNumberFormat="1" applyFont="1" applyAlignment="1">
      <alignment horizontal="right"/>
    </xf>
    <xf numFmtId="3" fontId="9" fillId="0" borderId="0" xfId="29" applyNumberFormat="1" applyFont="1"/>
    <xf numFmtId="3" fontId="9" fillId="0" borderId="0" xfId="29" applyNumberFormat="1" applyFont="1" applyAlignment="1">
      <alignment horizontal="center"/>
    </xf>
    <xf numFmtId="14" fontId="9" fillId="0" borderId="0" xfId="29" applyNumberFormat="1" applyFont="1" applyAlignment="1">
      <alignment horizontal="center"/>
    </xf>
    <xf numFmtId="3" fontId="9" fillId="0" borderId="0" xfId="29" applyNumberFormat="1" applyFont="1" applyAlignment="1">
      <alignment horizontal="center" vertical="center" wrapText="1"/>
    </xf>
    <xf numFmtId="3" fontId="11" fillId="0" borderId="28" xfId="29" applyNumberFormat="1" applyFont="1" applyBorder="1" applyAlignment="1">
      <alignment horizontal="right" vertical="center"/>
    </xf>
    <xf numFmtId="3" fontId="9" fillId="0" borderId="29" xfId="29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32" xfId="26" applyNumberFormat="1" applyFont="1" applyBorder="1" applyAlignment="1">
      <alignment horizontal="center" vertical="center" wrapText="1"/>
    </xf>
    <xf numFmtId="3" fontId="9" fillId="0" borderId="0" xfId="26" applyNumberFormat="1" applyFont="1" applyAlignment="1">
      <alignment horizontal="center" vertical="top" wrapText="1"/>
    </xf>
    <xf numFmtId="3" fontId="9" fillId="0" borderId="41" xfId="29" applyNumberFormat="1" applyFont="1" applyBorder="1" applyAlignment="1">
      <alignment horizontal="center" vertical="center" wrapText="1"/>
    </xf>
    <xf numFmtId="3" fontId="9" fillId="0" borderId="40" xfId="29" applyNumberFormat="1" applyFont="1" applyBorder="1" applyAlignment="1">
      <alignment horizontal="center" vertical="center" wrapText="1"/>
    </xf>
    <xf numFmtId="3" fontId="16" fillId="0" borderId="0" xfId="27" applyNumberFormat="1" applyFont="1"/>
    <xf numFmtId="3" fontId="27" fillId="0" borderId="13" xfId="27" applyNumberFormat="1" applyFont="1" applyBorder="1" applyAlignment="1">
      <alignment wrapText="1"/>
    </xf>
    <xf numFmtId="3" fontId="9" fillId="0" borderId="42" xfId="26" applyNumberFormat="1" applyFont="1" applyBorder="1" applyAlignment="1">
      <alignment horizontal="center" textRotation="90" wrapText="1"/>
    </xf>
    <xf numFmtId="3" fontId="9" fillId="0" borderId="1" xfId="26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top"/>
    </xf>
    <xf numFmtId="3" fontId="9" fillId="0" borderId="43" xfId="26" applyNumberFormat="1" applyFont="1" applyBorder="1" applyAlignment="1">
      <alignment horizontal="center" textRotation="90" wrapText="1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49" fontId="9" fillId="0" borderId="42" xfId="26" applyNumberFormat="1" applyFont="1" applyBorder="1" applyAlignment="1">
      <alignment horizontal="center"/>
    </xf>
    <xf numFmtId="49" fontId="9" fillId="0" borderId="43" xfId="26" applyNumberFormat="1" applyFont="1" applyBorder="1" applyAlignment="1">
      <alignment horizontal="center"/>
    </xf>
    <xf numFmtId="49" fontId="12" fillId="0" borderId="1" xfId="26" applyNumberFormat="1" applyFont="1" applyBorder="1" applyAlignment="1">
      <alignment horizontal="center"/>
    </xf>
    <xf numFmtId="49" fontId="9" fillId="0" borderId="1" xfId="26" applyNumberFormat="1" applyFont="1" applyBorder="1" applyAlignment="1">
      <alignment horizontal="center" vertical="center"/>
    </xf>
    <xf numFmtId="3" fontId="16" fillId="0" borderId="32" xfId="26" applyNumberFormat="1" applyFont="1" applyBorder="1" applyAlignment="1">
      <alignment horizontal="center" vertical="center" wrapText="1"/>
    </xf>
    <xf numFmtId="3" fontId="9" fillId="0" borderId="47" xfId="26" applyNumberFormat="1" applyFont="1" applyBorder="1" applyAlignment="1">
      <alignment horizontal="center" vertical="center" textRotation="90" wrapText="1"/>
    </xf>
    <xf numFmtId="3" fontId="9" fillId="0" borderId="32" xfId="26" applyNumberFormat="1" applyFont="1" applyBorder="1" applyAlignment="1">
      <alignment horizontal="center" vertical="center" textRotation="90" wrapText="1"/>
    </xf>
    <xf numFmtId="3" fontId="11" fillId="0" borderId="32" xfId="26" applyNumberFormat="1" applyFont="1" applyBorder="1" applyAlignment="1">
      <alignment horizontal="center" vertical="center" wrapText="1"/>
    </xf>
    <xf numFmtId="3" fontId="9" fillId="0" borderId="48" xfId="26" applyNumberFormat="1" applyFont="1" applyBorder="1" applyAlignment="1">
      <alignment horizontal="center" vertical="center" wrapText="1"/>
    </xf>
    <xf numFmtId="3" fontId="11" fillId="0" borderId="7" xfId="26" applyNumberFormat="1" applyFont="1" applyBorder="1" applyAlignment="1">
      <alignment horizontal="right" wrapText="1"/>
    </xf>
    <xf numFmtId="3" fontId="11" fillId="0" borderId="6" xfId="0" applyNumberFormat="1" applyFont="1" applyBorder="1"/>
    <xf numFmtId="3" fontId="11" fillId="0" borderId="6" xfId="26" applyNumberFormat="1" applyFont="1" applyBorder="1" applyAlignment="1">
      <alignment horizontal="right" wrapText="1"/>
    </xf>
    <xf numFmtId="3" fontId="11" fillId="0" borderId="25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12" fillId="0" borderId="0" xfId="26" applyNumberFormat="1" applyFont="1" applyAlignment="1">
      <alignment horizontal="right"/>
    </xf>
    <xf numFmtId="3" fontId="9" fillId="0" borderId="3" xfId="26" applyNumberFormat="1" applyFont="1" applyBorder="1" applyAlignment="1">
      <alignment horizontal="center"/>
    </xf>
    <xf numFmtId="49" fontId="9" fillId="0" borderId="47" xfId="26" applyNumberFormat="1" applyFont="1" applyBorder="1" applyAlignment="1">
      <alignment horizontal="center" vertical="center" textRotation="90"/>
    </xf>
    <xf numFmtId="3" fontId="9" fillId="0" borderId="32" xfId="26" applyNumberFormat="1" applyFont="1" applyBorder="1" applyAlignment="1">
      <alignment horizontal="center" vertical="center" textRotation="90"/>
    </xf>
    <xf numFmtId="3" fontId="11" fillId="0" borderId="32" xfId="26" applyNumberFormat="1" applyFont="1" applyBorder="1" applyAlignment="1">
      <alignment horizontal="center" vertical="center"/>
    </xf>
    <xf numFmtId="0" fontId="9" fillId="0" borderId="0" xfId="31" applyFont="1"/>
    <xf numFmtId="0" fontId="9" fillId="0" borderId="13" xfId="31" applyFont="1" applyBorder="1" applyAlignment="1">
      <alignment horizontal="center" vertical="top"/>
    </xf>
    <xf numFmtId="0" fontId="9" fillId="0" borderId="13" xfId="28" applyFont="1" applyBorder="1" applyAlignment="1">
      <alignment wrapText="1"/>
    </xf>
    <xf numFmtId="0" fontId="9" fillId="0" borderId="13" xfId="28" applyFont="1" applyBorder="1" applyAlignment="1">
      <alignment vertical="top" wrapText="1"/>
    </xf>
    <xf numFmtId="0" fontId="9" fillId="0" borderId="0" xfId="31" applyFont="1" applyAlignment="1">
      <alignment vertical="center"/>
    </xf>
    <xf numFmtId="3" fontId="9" fillId="0" borderId="18" xfId="28" applyNumberFormat="1" applyFont="1" applyBorder="1" applyAlignment="1">
      <alignment horizontal="right"/>
    </xf>
    <xf numFmtId="3" fontId="9" fillId="0" borderId="19" xfId="31" applyNumberFormat="1" applyFont="1" applyBorder="1" applyAlignment="1">
      <alignment horizontal="right"/>
    </xf>
    <xf numFmtId="3" fontId="9" fillId="0" borderId="18" xfId="31" applyNumberFormat="1" applyFont="1" applyBorder="1" applyAlignment="1">
      <alignment horizontal="right"/>
    </xf>
    <xf numFmtId="0" fontId="9" fillId="0" borderId="0" xfId="31" applyFont="1" applyAlignment="1">
      <alignment horizontal="left"/>
    </xf>
    <xf numFmtId="3" fontId="9" fillId="0" borderId="13" xfId="31" applyNumberFormat="1" applyFont="1" applyBorder="1" applyAlignment="1">
      <alignment horizontal="right"/>
    </xf>
    <xf numFmtId="3" fontId="9" fillId="0" borderId="17" xfId="31" applyNumberFormat="1" applyFont="1" applyBorder="1" applyAlignment="1">
      <alignment horizontal="right"/>
    </xf>
    <xf numFmtId="3" fontId="9" fillId="0" borderId="0" xfId="32" applyNumberFormat="1" applyFont="1" applyAlignment="1">
      <alignment horizontal="right"/>
    </xf>
    <xf numFmtId="3" fontId="9" fillId="0" borderId="0" xfId="32" applyNumberFormat="1" applyFont="1" applyAlignment="1">
      <alignment horizontal="right" wrapText="1"/>
    </xf>
    <xf numFmtId="3" fontId="18" fillId="0" borderId="13" xfId="27" applyNumberFormat="1" applyFont="1" applyBorder="1" applyAlignment="1">
      <alignment wrapText="1"/>
    </xf>
    <xf numFmtId="3" fontId="18" fillId="0" borderId="13" xfId="27" applyNumberFormat="1" applyFont="1" applyBorder="1" applyAlignment="1">
      <alignment horizontal="left" wrapText="1"/>
    </xf>
    <xf numFmtId="3" fontId="18" fillId="0" borderId="13" xfId="27" applyNumberFormat="1" applyFont="1" applyBorder="1" applyAlignment="1">
      <alignment horizontal="left" wrapText="1" indent="3"/>
    </xf>
    <xf numFmtId="3" fontId="16" fillId="0" borderId="0" xfId="0" applyNumberFormat="1" applyFont="1" applyAlignment="1">
      <alignment horizontal="center"/>
    </xf>
    <xf numFmtId="0" fontId="9" fillId="0" borderId="13" xfId="31" applyFont="1" applyBorder="1" applyAlignment="1">
      <alignment horizontal="center"/>
    </xf>
    <xf numFmtId="3" fontId="9" fillId="0" borderId="0" xfId="0" applyNumberFormat="1" applyFont="1" applyAlignment="1">
      <alignment vertical="center"/>
    </xf>
    <xf numFmtId="3" fontId="9" fillId="0" borderId="60" xfId="0" applyNumberFormat="1" applyFont="1" applyBorder="1"/>
    <xf numFmtId="0" fontId="9" fillId="0" borderId="0" xfId="0" applyFont="1" applyAlignment="1">
      <alignment wrapText="1"/>
    </xf>
    <xf numFmtId="0" fontId="11" fillId="0" borderId="5" xfId="0" applyFont="1" applyBorder="1" applyAlignment="1">
      <alignment horizontal="left" vertical="center"/>
    </xf>
    <xf numFmtId="3" fontId="11" fillId="0" borderId="62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3" fontId="9" fillId="0" borderId="60" xfId="0" applyNumberFormat="1" applyFont="1" applyBorder="1" applyAlignment="1">
      <alignment horizontal="right"/>
    </xf>
    <xf numFmtId="0" fontId="11" fillId="0" borderId="25" xfId="0" applyFont="1" applyBorder="1" applyAlignment="1">
      <alignment horizontal="left" vertical="center"/>
    </xf>
    <xf numFmtId="0" fontId="11" fillId="0" borderId="68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11" fillId="0" borderId="7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indent="2"/>
    </xf>
    <xf numFmtId="0" fontId="11" fillId="0" borderId="71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9" fillId="0" borderId="3" xfId="0" applyFont="1" applyBorder="1"/>
    <xf numFmtId="3" fontId="11" fillId="0" borderId="60" xfId="0" applyNumberFormat="1" applyFont="1" applyBorder="1" applyAlignment="1">
      <alignment horizontal="right"/>
    </xf>
    <xf numFmtId="3" fontId="11" fillId="0" borderId="75" xfId="0" applyNumberFormat="1" applyFont="1" applyBorder="1" applyAlignment="1">
      <alignment horizontal="right" vertical="center"/>
    </xf>
    <xf numFmtId="3" fontId="9" fillId="0" borderId="60" xfId="0" applyNumberFormat="1" applyFont="1" applyBorder="1" applyAlignment="1">
      <alignment horizontal="right" vertical="center"/>
    </xf>
    <xf numFmtId="3" fontId="9" fillId="0" borderId="75" xfId="0" applyNumberFormat="1" applyFont="1" applyBorder="1" applyAlignment="1">
      <alignment horizontal="right" vertical="center"/>
    </xf>
    <xf numFmtId="3" fontId="11" fillId="0" borderId="77" xfId="0" applyNumberFormat="1" applyFont="1" applyBorder="1" applyAlignment="1">
      <alignment horizontal="right" vertical="center"/>
    </xf>
    <xf numFmtId="3" fontId="11" fillId="0" borderId="60" xfId="0" applyNumberFormat="1" applyFont="1" applyBorder="1" applyAlignment="1">
      <alignment horizontal="right" vertical="center"/>
    </xf>
    <xf numFmtId="3" fontId="11" fillId="0" borderId="78" xfId="0" applyNumberFormat="1" applyFont="1" applyBorder="1" applyAlignment="1">
      <alignment horizontal="right" vertical="center"/>
    </xf>
    <xf numFmtId="165" fontId="9" fillId="0" borderId="60" xfId="33" applyNumberFormat="1" applyFont="1" applyFill="1" applyBorder="1" applyAlignment="1">
      <alignment horizontal="right"/>
    </xf>
    <xf numFmtId="165" fontId="9" fillId="0" borderId="79" xfId="33" applyNumberFormat="1" applyFont="1" applyFill="1" applyBorder="1" applyAlignment="1">
      <alignment horizontal="right"/>
    </xf>
    <xf numFmtId="3" fontId="16" fillId="0" borderId="13" xfId="27" applyNumberFormat="1" applyFont="1" applyBorder="1" applyAlignment="1">
      <alignment horizontal="center" vertical="top"/>
    </xf>
    <xf numFmtId="3" fontId="19" fillId="0" borderId="55" xfId="27" applyNumberFormat="1" applyFont="1" applyBorder="1" applyAlignment="1">
      <alignment horizontal="right"/>
    </xf>
    <xf numFmtId="0" fontId="11" fillId="0" borderId="5" xfId="0" applyFont="1" applyBorder="1" applyAlignment="1">
      <alignment vertical="center"/>
    </xf>
    <xf numFmtId="0" fontId="9" fillId="0" borderId="6" xfId="0" applyFont="1" applyBorder="1" applyAlignment="1">
      <alignment horizontal="left" wrapText="1" indent="1"/>
    </xf>
    <xf numFmtId="3" fontId="19" fillId="0" borderId="12" xfId="27" applyNumberFormat="1" applyFont="1" applyBorder="1" applyAlignment="1">
      <alignment horizontal="center" vertical="center"/>
    </xf>
    <xf numFmtId="3" fontId="19" fillId="0" borderId="18" xfId="27" applyNumberFormat="1" applyFont="1" applyBorder="1" applyAlignment="1">
      <alignment wrapText="1"/>
    </xf>
    <xf numFmtId="3" fontId="19" fillId="0" borderId="13" xfId="27" applyNumberFormat="1" applyFont="1" applyBorder="1" applyAlignment="1">
      <alignment wrapText="1"/>
    </xf>
    <xf numFmtId="3" fontId="19" fillId="0" borderId="12" xfId="27" applyNumberFormat="1" applyFont="1" applyBorder="1" applyAlignment="1">
      <alignment horizontal="center"/>
    </xf>
    <xf numFmtId="3" fontId="22" fillId="0" borderId="12" xfId="27" applyNumberFormat="1" applyFont="1" applyBorder="1" applyAlignment="1">
      <alignment horizontal="center" vertical="center"/>
    </xf>
    <xf numFmtId="3" fontId="19" fillId="0" borderId="13" xfId="27" applyNumberFormat="1" applyFont="1" applyBorder="1" applyAlignment="1">
      <alignment horizontal="left" wrapText="1"/>
    </xf>
    <xf numFmtId="1" fontId="24" fillId="0" borderId="0" xfId="27" applyNumberFormat="1" applyFont="1" applyAlignment="1">
      <alignment horizontal="center" vertical="center"/>
    </xf>
    <xf numFmtId="1" fontId="24" fillId="0" borderId="0" xfId="27" applyNumberFormat="1" applyFont="1" applyAlignment="1">
      <alignment horizontal="left" vertical="center"/>
    </xf>
    <xf numFmtId="3" fontId="16" fillId="0" borderId="38" xfId="27" applyNumberFormat="1" applyFont="1" applyBorder="1" applyAlignment="1">
      <alignment horizontal="center"/>
    </xf>
    <xf numFmtId="3" fontId="18" fillId="0" borderId="38" xfId="27" applyNumberFormat="1" applyFont="1" applyBorder="1" applyAlignment="1">
      <alignment horizontal="center"/>
    </xf>
    <xf numFmtId="3" fontId="16" fillId="0" borderId="51" xfId="27" applyNumberFormat="1" applyFont="1" applyBorder="1" applyAlignment="1">
      <alignment horizontal="center"/>
    </xf>
    <xf numFmtId="3" fontId="16" fillId="0" borderId="88" xfId="0" applyNumberFormat="1" applyFont="1" applyBorder="1" applyAlignment="1">
      <alignment horizontal="center" wrapText="1"/>
    </xf>
    <xf numFmtId="3" fontId="18" fillId="0" borderId="0" xfId="27" applyNumberFormat="1" applyFont="1" applyAlignment="1">
      <alignment horizontal="center" vertical="center"/>
    </xf>
    <xf numFmtId="3" fontId="16" fillId="0" borderId="0" xfId="27" applyNumberFormat="1" applyFont="1" applyAlignment="1">
      <alignment horizontal="center" vertical="center"/>
    </xf>
    <xf numFmtId="0" fontId="9" fillId="0" borderId="12" xfId="31" applyFont="1" applyBorder="1" applyAlignment="1">
      <alignment horizontal="center"/>
    </xf>
    <xf numFmtId="3" fontId="13" fillId="0" borderId="0" xfId="0" applyNumberFormat="1" applyFont="1" applyAlignment="1">
      <alignment vertical="top"/>
    </xf>
    <xf numFmtId="3" fontId="9" fillId="0" borderId="0" xfId="15" applyNumberFormat="1" applyFont="1" applyAlignment="1">
      <alignment horizontal="right"/>
    </xf>
    <xf numFmtId="0" fontId="9" fillId="0" borderId="0" xfId="15" applyFont="1"/>
    <xf numFmtId="3" fontId="9" fillId="0" borderId="91" xfId="29" applyNumberFormat="1" applyFont="1" applyBorder="1" applyAlignment="1">
      <alignment horizontal="center" vertical="center" wrapText="1"/>
    </xf>
    <xf numFmtId="3" fontId="9" fillId="0" borderId="92" xfId="29" applyNumberFormat="1" applyFont="1" applyBorder="1" applyAlignment="1">
      <alignment horizontal="right" vertical="center" wrapText="1"/>
    </xf>
    <xf numFmtId="3" fontId="9" fillId="0" borderId="0" xfId="26" applyNumberFormat="1" applyFont="1" applyAlignment="1">
      <alignment horizontal="left" wrapText="1" indent="3"/>
    </xf>
    <xf numFmtId="3" fontId="18" fillId="0" borderId="20" xfId="27" applyNumberFormat="1" applyFont="1" applyBorder="1" applyAlignment="1">
      <alignment horizontal="center"/>
    </xf>
    <xf numFmtId="3" fontId="12" fillId="0" borderId="0" xfId="27" applyNumberFormat="1" applyFont="1" applyAlignment="1">
      <alignment horizontal="center"/>
    </xf>
    <xf numFmtId="3" fontId="16" fillId="0" borderId="0" xfId="15" applyNumberFormat="1" applyFont="1" applyAlignment="1">
      <alignment horizontal="center" vertical="center"/>
    </xf>
    <xf numFmtId="3" fontId="16" fillId="0" borderId="0" xfId="15" applyNumberFormat="1" applyFont="1" applyAlignment="1">
      <alignment horizontal="right"/>
    </xf>
    <xf numFmtId="3" fontId="16" fillId="0" borderId="0" xfId="31" applyNumberFormat="1" applyFont="1" applyAlignment="1">
      <alignment horizontal="right"/>
    </xf>
    <xf numFmtId="0" fontId="16" fillId="0" borderId="0" xfId="31" applyFont="1"/>
    <xf numFmtId="0" fontId="16" fillId="0" borderId="0" xfId="31" applyFont="1" applyAlignment="1">
      <alignment horizontal="center" vertical="center"/>
    </xf>
    <xf numFmtId="0" fontId="16" fillId="0" borderId="0" xfId="31" applyFont="1" applyAlignment="1">
      <alignment horizontal="center" vertical="top"/>
    </xf>
    <xf numFmtId="0" fontId="16" fillId="0" borderId="0" xfId="31" applyFont="1" applyAlignment="1">
      <alignment wrapText="1"/>
    </xf>
    <xf numFmtId="3" fontId="16" fillId="0" borderId="0" xfId="31" applyNumberFormat="1" applyFont="1" applyAlignment="1">
      <alignment horizontal="center" vertical="center" wrapText="1"/>
    </xf>
    <xf numFmtId="3" fontId="18" fillId="0" borderId="0" xfId="31" applyNumberFormat="1" applyFont="1" applyAlignment="1">
      <alignment horizontal="right"/>
    </xf>
    <xf numFmtId="3" fontId="16" fillId="0" borderId="18" xfId="31" applyNumberFormat="1" applyFont="1" applyBorder="1" applyAlignment="1">
      <alignment horizontal="right" vertical="center"/>
    </xf>
    <xf numFmtId="3" fontId="16" fillId="0" borderId="0" xfId="15" applyNumberFormat="1" applyFont="1" applyAlignment="1">
      <alignment horizontal="left" vertical="top"/>
    </xf>
    <xf numFmtId="3" fontId="16" fillId="0" borderId="0" xfId="32" applyNumberFormat="1" applyFont="1" applyAlignment="1">
      <alignment horizontal="right"/>
    </xf>
    <xf numFmtId="3" fontId="16" fillId="0" borderId="0" xfId="32" applyNumberFormat="1" applyFont="1" applyAlignment="1">
      <alignment horizontal="right" wrapText="1"/>
    </xf>
    <xf numFmtId="3" fontId="16" fillId="0" borderId="0" xfId="31" applyNumberFormat="1" applyFont="1" applyAlignment="1">
      <alignment horizontal="right" vertical="center"/>
    </xf>
    <xf numFmtId="0" fontId="13" fillId="0" borderId="0" xfId="15" applyFont="1" applyAlignment="1">
      <alignment horizontal="center" vertical="center"/>
    </xf>
    <xf numFmtId="0" fontId="13" fillId="0" borderId="0" xfId="31" applyFont="1" applyAlignment="1">
      <alignment horizontal="center" vertical="center"/>
    </xf>
    <xf numFmtId="3" fontId="13" fillId="0" borderId="0" xfId="31" applyNumberFormat="1" applyFont="1" applyAlignment="1">
      <alignment horizontal="center" vertical="center"/>
    </xf>
    <xf numFmtId="0" fontId="16" fillId="0" borderId="0" xfId="31" applyFont="1" applyAlignment="1">
      <alignment vertical="center"/>
    </xf>
    <xf numFmtId="3" fontId="16" fillId="0" borderId="18" xfId="28" applyNumberFormat="1" applyFont="1" applyBorder="1" applyAlignment="1">
      <alignment horizontal="right" vertical="center"/>
    </xf>
    <xf numFmtId="3" fontId="16" fillId="0" borderId="105" xfId="31" applyNumberFormat="1" applyFont="1" applyBorder="1" applyAlignment="1">
      <alignment horizontal="right" vertical="center"/>
    </xf>
    <xf numFmtId="0" fontId="16" fillId="0" borderId="12" xfId="31" applyFont="1" applyBorder="1" applyAlignment="1">
      <alignment horizontal="center" vertical="center"/>
    </xf>
    <xf numFmtId="0" fontId="16" fillId="0" borderId="13" xfId="31" applyFont="1" applyBorder="1" applyAlignment="1">
      <alignment horizontal="center"/>
    </xf>
    <xf numFmtId="3" fontId="16" fillId="0" borderId="13" xfId="31" applyNumberFormat="1" applyFont="1" applyBorder="1" applyAlignment="1">
      <alignment horizontal="right" vertical="center"/>
    </xf>
    <xf numFmtId="3" fontId="16" fillId="0" borderId="13" xfId="28" applyNumberFormat="1" applyFont="1" applyBorder="1" applyAlignment="1">
      <alignment horizontal="right" vertical="center"/>
    </xf>
    <xf numFmtId="3" fontId="16" fillId="0" borderId="106" xfId="31" applyNumberFormat="1" applyFont="1" applyBorder="1" applyAlignment="1">
      <alignment horizontal="right" vertical="center"/>
    </xf>
    <xf numFmtId="0" fontId="16" fillId="0" borderId="13" xfId="31" applyFont="1" applyBorder="1" applyAlignment="1">
      <alignment horizontal="center" vertical="top"/>
    </xf>
    <xf numFmtId="0" fontId="13" fillId="0" borderId="0" xfId="32" applyFont="1" applyAlignment="1">
      <alignment horizontal="center" vertical="center" wrapText="1"/>
    </xf>
    <xf numFmtId="3" fontId="13" fillId="0" borderId="0" xfId="32" applyNumberFormat="1" applyFont="1" applyAlignment="1">
      <alignment horizontal="center" vertical="center"/>
    </xf>
    <xf numFmtId="3" fontId="16" fillId="0" borderId="4" xfId="31" applyNumberFormat="1" applyFont="1" applyBorder="1" applyAlignment="1">
      <alignment horizontal="center" vertical="center" wrapText="1"/>
    </xf>
    <xf numFmtId="3" fontId="16" fillId="0" borderId="34" xfId="28" applyNumberFormat="1" applyFont="1" applyBorder="1" applyAlignment="1">
      <alignment horizontal="right" vertical="center" wrapText="1"/>
    </xf>
    <xf numFmtId="3" fontId="16" fillId="0" borderId="107" xfId="28" applyNumberFormat="1" applyFont="1" applyBorder="1" applyAlignment="1">
      <alignment horizontal="right" vertical="center" wrapText="1"/>
    </xf>
    <xf numFmtId="3" fontId="16" fillId="0" borderId="13" xfId="28" applyNumberFormat="1" applyFont="1" applyBorder="1" applyAlignment="1">
      <alignment horizontal="right" vertical="center" wrapText="1"/>
    </xf>
    <xf numFmtId="3" fontId="16" fillId="0" borderId="108" xfId="28" applyNumberFormat="1" applyFont="1" applyBorder="1" applyAlignment="1">
      <alignment horizontal="right" vertical="center" wrapText="1"/>
    </xf>
    <xf numFmtId="3" fontId="16" fillId="0" borderId="108" xfId="31" applyNumberFormat="1" applyFont="1" applyBorder="1" applyAlignment="1">
      <alignment horizontal="right" vertical="center"/>
    </xf>
    <xf numFmtId="0" fontId="16" fillId="0" borderId="0" xfId="31" applyFont="1" applyAlignment="1">
      <alignment horizontal="center"/>
    </xf>
    <xf numFmtId="3" fontId="9" fillId="0" borderId="0" xfId="15" applyNumberFormat="1" applyFont="1" applyAlignment="1">
      <alignment horizontal="center"/>
    </xf>
    <xf numFmtId="3" fontId="9" fillId="0" borderId="0" xfId="31" applyNumberFormat="1" applyFont="1" applyAlignment="1">
      <alignment horizontal="center" wrapText="1"/>
    </xf>
    <xf numFmtId="3" fontId="9" fillId="0" borderId="4" xfId="31" applyNumberFormat="1" applyFont="1" applyBorder="1" applyAlignment="1">
      <alignment horizontal="center" vertical="center" wrapText="1"/>
    </xf>
    <xf numFmtId="3" fontId="9" fillId="0" borderId="2" xfId="31" applyNumberFormat="1" applyFont="1" applyBorder="1" applyAlignment="1">
      <alignment horizontal="center" vertical="center" wrapText="1"/>
    </xf>
    <xf numFmtId="0" fontId="11" fillId="0" borderId="20" xfId="31" applyFont="1" applyBorder="1" applyAlignment="1">
      <alignment horizontal="center"/>
    </xf>
    <xf numFmtId="3" fontId="11" fillId="0" borderId="109" xfId="28" applyNumberFormat="1" applyFont="1" applyBorder="1" applyAlignment="1">
      <alignment horizontal="right" wrapText="1"/>
    </xf>
    <xf numFmtId="0" fontId="11" fillId="0" borderId="0" xfId="31" applyFont="1"/>
    <xf numFmtId="3" fontId="9" fillId="0" borderId="13" xfId="28" applyNumberFormat="1" applyFont="1" applyBorder="1" applyAlignment="1">
      <alignment horizontal="right" wrapText="1"/>
    </xf>
    <xf numFmtId="3" fontId="9" fillId="0" borderId="105" xfId="31" applyNumberFormat="1" applyFont="1" applyBorder="1" applyAlignment="1">
      <alignment horizontal="right"/>
    </xf>
    <xf numFmtId="0" fontId="9" fillId="0" borderId="13" xfId="28" applyFont="1" applyBorder="1" applyAlignment="1">
      <alignment horizontal="left"/>
    </xf>
    <xf numFmtId="3" fontId="9" fillId="0" borderId="13" xfId="28" applyNumberFormat="1" applyFont="1" applyBorder="1" applyAlignment="1">
      <alignment horizontal="right"/>
    </xf>
    <xf numFmtId="3" fontId="9" fillId="0" borderId="106" xfId="31" applyNumberFormat="1" applyFont="1" applyBorder="1" applyAlignment="1">
      <alignment horizontal="right"/>
    </xf>
    <xf numFmtId="3" fontId="9" fillId="0" borderId="0" xfId="15" applyNumberFormat="1" applyFont="1" applyAlignment="1">
      <alignment horizontal="left"/>
    </xf>
    <xf numFmtId="3" fontId="33" fillId="0" borderId="0" xfId="15" applyNumberFormat="1" applyFont="1" applyAlignment="1">
      <alignment horizontal="left"/>
    </xf>
    <xf numFmtId="0" fontId="11" fillId="0" borderId="12" xfId="31" applyFont="1" applyBorder="1" applyAlignment="1">
      <alignment horizontal="center"/>
    </xf>
    <xf numFmtId="3" fontId="11" fillId="0" borderId="108" xfId="28" applyNumberFormat="1" applyFont="1" applyBorder="1" applyAlignment="1">
      <alignment horizontal="right" wrapText="1"/>
    </xf>
    <xf numFmtId="0" fontId="28" fillId="0" borderId="18" xfId="31" applyFont="1" applyBorder="1" applyAlignment="1">
      <alignment horizontal="left"/>
    </xf>
    <xf numFmtId="0" fontId="9" fillId="0" borderId="13" xfId="28" applyFont="1" applyBorder="1"/>
    <xf numFmtId="0" fontId="9" fillId="0" borderId="93" xfId="28" applyFont="1" applyBorder="1"/>
    <xf numFmtId="3" fontId="11" fillId="0" borderId="108" xfId="31" applyNumberFormat="1" applyFont="1" applyBorder="1" applyAlignment="1">
      <alignment horizontal="right"/>
    </xf>
    <xf numFmtId="3" fontId="16" fillId="0" borderId="0" xfId="31" applyNumberFormat="1" applyFont="1" applyAlignment="1">
      <alignment horizontal="center" vertical="center"/>
    </xf>
    <xf numFmtId="3" fontId="11" fillId="0" borderId="0" xfId="31" applyNumberFormat="1" applyFont="1" applyAlignment="1">
      <alignment horizontal="right"/>
    </xf>
    <xf numFmtId="3" fontId="11" fillId="0" borderId="0" xfId="32" applyNumberFormat="1" applyFont="1" applyAlignment="1">
      <alignment horizontal="right"/>
    </xf>
    <xf numFmtId="3" fontId="9" fillId="0" borderId="87" xfId="28" applyNumberFormat="1" applyFont="1" applyBorder="1" applyAlignment="1">
      <alignment horizontal="right" wrapText="1"/>
    </xf>
    <xf numFmtId="3" fontId="9" fillId="0" borderId="110" xfId="28" applyNumberFormat="1" applyFont="1" applyBorder="1" applyAlignment="1">
      <alignment horizontal="right" vertical="center" wrapText="1"/>
    </xf>
    <xf numFmtId="3" fontId="9" fillId="0" borderId="0" xfId="26" applyNumberFormat="1" applyFont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3" fillId="0" borderId="3" xfId="0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0" fontId="13" fillId="0" borderId="0" xfId="0" applyFont="1"/>
    <xf numFmtId="3" fontId="16" fillId="0" borderId="0" xfId="0" applyNumberFormat="1" applyFont="1" applyAlignment="1">
      <alignment horizontal="right"/>
    </xf>
    <xf numFmtId="3" fontId="13" fillId="0" borderId="0" xfId="26" applyNumberFormat="1" applyFont="1" applyAlignment="1">
      <alignment horizontal="center" vertical="center"/>
    </xf>
    <xf numFmtId="3" fontId="13" fillId="0" borderId="0" xfId="26" applyNumberFormat="1" applyFont="1" applyAlignment="1">
      <alignment horizontal="center"/>
    </xf>
    <xf numFmtId="3" fontId="17" fillId="0" borderId="0" xfId="26" applyNumberFormat="1" applyFont="1" applyAlignment="1">
      <alignment horizontal="center" vertical="center"/>
    </xf>
    <xf numFmtId="3" fontId="16" fillId="0" borderId="0" xfId="27" applyNumberFormat="1" applyFont="1" applyAlignment="1">
      <alignment horizontal="right"/>
    </xf>
    <xf numFmtId="3" fontId="9" fillId="0" borderId="0" xfId="31" applyNumberFormat="1" applyFont="1" applyAlignment="1">
      <alignment horizontal="right"/>
    </xf>
    <xf numFmtId="0" fontId="9" fillId="0" borderId="0" xfId="31" applyFont="1" applyAlignment="1">
      <alignment horizontal="center"/>
    </xf>
    <xf numFmtId="3" fontId="16" fillId="0" borderId="18" xfId="27" applyNumberFormat="1" applyFont="1" applyBorder="1" applyAlignment="1">
      <alignment horizontal="center"/>
    </xf>
    <xf numFmtId="3" fontId="16" fillId="0" borderId="23" xfId="0" applyNumberFormat="1" applyFont="1" applyBorder="1" applyAlignment="1">
      <alignment horizontal="center" vertical="center" wrapText="1"/>
    </xf>
    <xf numFmtId="1" fontId="16" fillId="0" borderId="0" xfId="27" applyNumberFormat="1" applyFont="1" applyAlignment="1">
      <alignment horizontal="center" vertical="center"/>
    </xf>
    <xf numFmtId="1" fontId="9" fillId="0" borderId="0" xfId="27" applyNumberFormat="1" applyFont="1" applyAlignment="1">
      <alignment horizontal="center" vertical="center"/>
    </xf>
    <xf numFmtId="3" fontId="16" fillId="0" borderId="0" xfId="27" applyNumberFormat="1" applyFont="1" applyAlignment="1">
      <alignment horizontal="center"/>
    </xf>
    <xf numFmtId="3" fontId="16" fillId="0" borderId="0" xfId="27" applyNumberFormat="1" applyFont="1" applyAlignment="1">
      <alignment horizontal="center" vertical="top"/>
    </xf>
    <xf numFmtId="0" fontId="19" fillId="0" borderId="0" xfId="27" applyFont="1" applyAlignment="1">
      <alignment vertical="top" wrapText="1"/>
    </xf>
    <xf numFmtId="0" fontId="16" fillId="0" borderId="0" xfId="27" applyFont="1" applyAlignment="1">
      <alignment horizontal="center"/>
    </xf>
    <xf numFmtId="3" fontId="19" fillId="0" borderId="0" xfId="27" applyNumberFormat="1" applyFont="1"/>
    <xf numFmtId="1" fontId="13" fillId="0" borderId="0" xfId="27" applyNumberFormat="1" applyFont="1" applyAlignment="1">
      <alignment horizontal="center" vertical="center"/>
    </xf>
    <xf numFmtId="3" fontId="13" fillId="0" borderId="0" xfId="27" applyNumberFormat="1" applyFont="1" applyAlignment="1">
      <alignment horizontal="center" vertical="center" wrapText="1"/>
    </xf>
    <xf numFmtId="3" fontId="13" fillId="0" borderId="0" xfId="27" applyNumberFormat="1" applyFont="1" applyAlignment="1">
      <alignment horizontal="center"/>
    </xf>
    <xf numFmtId="3" fontId="16" fillId="0" borderId="33" xfId="27" applyNumberFormat="1" applyFont="1" applyBorder="1" applyAlignment="1">
      <alignment horizontal="center"/>
    </xf>
    <xf numFmtId="3" fontId="27" fillId="0" borderId="34" xfId="27" applyNumberFormat="1" applyFont="1" applyBorder="1" applyAlignment="1">
      <alignment horizontal="left"/>
    </xf>
    <xf numFmtId="0" fontId="19" fillId="0" borderId="34" xfId="27" applyFont="1" applyBorder="1" applyAlignment="1">
      <alignment horizontal="center" vertical="center" wrapText="1"/>
    </xf>
    <xf numFmtId="3" fontId="16" fillId="0" borderId="34" xfId="27" applyNumberFormat="1" applyFont="1" applyBorder="1" applyAlignment="1">
      <alignment horizontal="center" vertical="center" wrapText="1"/>
    </xf>
    <xf numFmtId="3" fontId="19" fillId="0" borderId="34" xfId="27" applyNumberFormat="1" applyFont="1" applyBorder="1" applyAlignment="1">
      <alignment horizontal="center" vertical="center" wrapText="1"/>
    </xf>
    <xf numFmtId="3" fontId="16" fillId="0" borderId="34" xfId="0" applyNumberFormat="1" applyFont="1" applyBorder="1" applyAlignment="1">
      <alignment horizontal="center" vertical="center" wrapText="1"/>
    </xf>
    <xf numFmtId="3" fontId="16" fillId="0" borderId="35" xfId="0" applyNumberFormat="1" applyFont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 textRotation="90" wrapText="1"/>
    </xf>
    <xf numFmtId="0" fontId="16" fillId="0" borderId="20" xfId="31" applyFont="1" applyBorder="1" applyAlignment="1">
      <alignment horizontal="center"/>
    </xf>
    <xf numFmtId="3" fontId="16" fillId="0" borderId="3" xfId="31" applyNumberFormat="1" applyFont="1" applyBorder="1" applyAlignment="1">
      <alignment horizontal="center" vertical="center" wrapText="1"/>
    </xf>
    <xf numFmtId="3" fontId="16" fillId="0" borderId="94" xfId="28" applyNumberFormat="1" applyFont="1" applyBorder="1" applyAlignment="1">
      <alignment horizontal="right" vertical="center" wrapText="1"/>
    </xf>
    <xf numFmtId="3" fontId="16" fillId="0" borderId="84" xfId="28" applyNumberFormat="1" applyFont="1" applyBorder="1" applyAlignment="1">
      <alignment horizontal="right" vertical="center" wrapText="1"/>
    </xf>
    <xf numFmtId="3" fontId="16" fillId="0" borderId="84" xfId="31" applyNumberFormat="1" applyFont="1" applyBorder="1" applyAlignment="1">
      <alignment horizontal="right" vertical="center"/>
    </xf>
    <xf numFmtId="3" fontId="19" fillId="0" borderId="50" xfId="28" applyNumberFormat="1" applyFont="1" applyBorder="1" applyAlignment="1">
      <alignment horizontal="right" vertical="center" wrapText="1"/>
    </xf>
    <xf numFmtId="3" fontId="19" fillId="0" borderId="121" xfId="28" applyNumberFormat="1" applyFont="1" applyBorder="1" applyAlignment="1">
      <alignment horizontal="right" vertical="center" wrapText="1"/>
    </xf>
    <xf numFmtId="3" fontId="19" fillId="0" borderId="30" xfId="28" applyNumberFormat="1" applyFont="1" applyBorder="1" applyAlignment="1">
      <alignment horizontal="right" vertical="center" wrapText="1"/>
    </xf>
    <xf numFmtId="3" fontId="19" fillId="0" borderId="110" xfId="28" applyNumberFormat="1" applyFont="1" applyBorder="1" applyAlignment="1">
      <alignment horizontal="right" vertical="center" wrapText="1"/>
    </xf>
    <xf numFmtId="3" fontId="16" fillId="0" borderId="0" xfId="31" applyNumberFormat="1" applyFont="1" applyAlignment="1">
      <alignment horizontal="center" wrapText="1"/>
    </xf>
    <xf numFmtId="3" fontId="19" fillId="0" borderId="0" xfId="31" applyNumberFormat="1" applyFont="1" applyAlignment="1">
      <alignment horizontal="right"/>
    </xf>
    <xf numFmtId="0" fontId="13" fillId="0" borderId="0" xfId="31" applyFont="1" applyAlignment="1">
      <alignment horizontal="center"/>
    </xf>
    <xf numFmtId="0" fontId="13" fillId="0" borderId="0" xfId="32" applyFont="1" applyAlignment="1">
      <alignment horizontal="center" wrapText="1"/>
    </xf>
    <xf numFmtId="3" fontId="13" fillId="0" borderId="0" xfId="32" applyNumberFormat="1" applyFont="1" applyAlignment="1">
      <alignment horizontal="center"/>
    </xf>
    <xf numFmtId="0" fontId="16" fillId="0" borderId="51" xfId="31" applyFont="1" applyBorder="1" applyAlignment="1">
      <alignment horizontal="center" vertical="center" wrapText="1"/>
    </xf>
    <xf numFmtId="0" fontId="16" fillId="0" borderId="38" xfId="31" applyFont="1" applyBorder="1" applyAlignment="1">
      <alignment horizontal="center" vertical="center" wrapText="1"/>
    </xf>
    <xf numFmtId="0" fontId="9" fillId="0" borderId="93" xfId="28" applyFont="1" applyBorder="1" applyAlignment="1">
      <alignment vertical="top" wrapText="1"/>
    </xf>
    <xf numFmtId="3" fontId="9" fillId="0" borderId="101" xfId="29" applyNumberFormat="1" applyFont="1" applyBorder="1" applyAlignment="1">
      <alignment horizontal="left"/>
    </xf>
    <xf numFmtId="3" fontId="38" fillId="0" borderId="108" xfId="28" applyNumberFormat="1" applyFont="1" applyBorder="1" applyAlignment="1">
      <alignment horizontal="right" wrapText="1"/>
    </xf>
    <xf numFmtId="0" fontId="38" fillId="0" borderId="12" xfId="31" applyFont="1" applyBorder="1" applyAlignment="1">
      <alignment horizontal="center"/>
    </xf>
    <xf numFmtId="0" fontId="38" fillId="0" borderId="13" xfId="31" applyFont="1" applyBorder="1" applyAlignment="1">
      <alignment horizontal="center"/>
    </xf>
    <xf numFmtId="0" fontId="38" fillId="0" borderId="13" xfId="28" applyFont="1" applyBorder="1" applyAlignment="1">
      <alignment horizontal="left"/>
    </xf>
    <xf numFmtId="3" fontId="38" fillId="0" borderId="13" xfId="31" applyNumberFormat="1" applyFont="1" applyBorder="1" applyAlignment="1">
      <alignment horizontal="right"/>
    </xf>
    <xf numFmtId="3" fontId="38" fillId="0" borderId="13" xfId="28" applyNumberFormat="1" applyFont="1" applyBorder="1" applyAlignment="1">
      <alignment horizontal="right"/>
    </xf>
    <xf numFmtId="3" fontId="38" fillId="0" borderId="17" xfId="31" applyNumberFormat="1" applyFont="1" applyBorder="1" applyAlignment="1">
      <alignment horizontal="right"/>
    </xf>
    <xf numFmtId="3" fontId="38" fillId="0" borderId="13" xfId="28" applyNumberFormat="1" applyFont="1" applyBorder="1" applyAlignment="1">
      <alignment horizontal="right" wrapText="1"/>
    </xf>
    <xf numFmtId="3" fontId="38" fillId="0" borderId="106" xfId="31" applyNumberFormat="1" applyFont="1" applyBorder="1" applyAlignment="1">
      <alignment horizontal="right"/>
    </xf>
    <xf numFmtId="0" fontId="38" fillId="0" borderId="0" xfId="31" applyFont="1"/>
    <xf numFmtId="0" fontId="38" fillId="0" borderId="93" xfId="28" applyFont="1" applyBorder="1"/>
    <xf numFmtId="3" fontId="9" fillId="0" borderId="16" xfId="31" applyNumberFormat="1" applyFont="1" applyBorder="1" applyAlignment="1">
      <alignment horizontal="center" vertical="center" wrapText="1"/>
    </xf>
    <xf numFmtId="3" fontId="9" fillId="0" borderId="96" xfId="28" applyNumberFormat="1" applyFont="1" applyBorder="1" applyAlignment="1">
      <alignment horizontal="right" wrapText="1"/>
    </xf>
    <xf numFmtId="3" fontId="9" fillId="0" borderId="84" xfId="28" applyNumberFormat="1" applyFont="1" applyBorder="1" applyAlignment="1">
      <alignment horizontal="right" wrapText="1"/>
    </xf>
    <xf numFmtId="3" fontId="38" fillId="0" borderId="84" xfId="28" applyNumberFormat="1" applyFont="1" applyBorder="1" applyAlignment="1">
      <alignment horizontal="right" wrapText="1"/>
    </xf>
    <xf numFmtId="0" fontId="9" fillId="0" borderId="51" xfId="31" applyFont="1" applyBorder="1" applyAlignment="1">
      <alignment horizontal="center" wrapText="1"/>
    </xf>
    <xf numFmtId="0" fontId="9" fillId="0" borderId="38" xfId="31" applyFont="1" applyBorder="1" applyAlignment="1">
      <alignment horizontal="center" wrapText="1"/>
    </xf>
    <xf numFmtId="0" fontId="38" fillId="0" borderId="38" xfId="31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3" fontId="16" fillId="0" borderId="0" xfId="29" applyNumberFormat="1" applyFont="1"/>
    <xf numFmtId="3" fontId="16" fillId="0" borderId="0" xfId="29" applyNumberFormat="1" applyFont="1" applyAlignment="1">
      <alignment horizontal="center"/>
    </xf>
    <xf numFmtId="3" fontId="16" fillId="0" borderId="0" xfId="29" applyNumberFormat="1" applyFont="1" applyAlignment="1">
      <alignment horizontal="left" wrapText="1"/>
    </xf>
    <xf numFmtId="14" fontId="16" fillId="0" borderId="0" xfId="29" applyNumberFormat="1" applyFont="1" applyAlignment="1">
      <alignment horizontal="center"/>
    </xf>
    <xf numFmtId="3" fontId="39" fillId="0" borderId="13" xfId="31" applyNumberFormat="1" applyFont="1" applyBorder="1" applyAlignment="1">
      <alignment horizontal="right"/>
    </xf>
    <xf numFmtId="3" fontId="39" fillId="0" borderId="13" xfId="28" applyNumberFormat="1" applyFont="1" applyBorder="1" applyAlignment="1">
      <alignment horizontal="right" wrapText="1"/>
    </xf>
    <xf numFmtId="3" fontId="39" fillId="0" borderId="96" xfId="28" applyNumberFormat="1" applyFont="1" applyBorder="1" applyAlignment="1">
      <alignment horizontal="right" wrapText="1"/>
    </xf>
    <xf numFmtId="3" fontId="39" fillId="0" borderId="87" xfId="28" applyNumberFormat="1" applyFont="1" applyBorder="1" applyAlignment="1">
      <alignment horizontal="right" wrapText="1"/>
    </xf>
    <xf numFmtId="3" fontId="38" fillId="0" borderId="109" xfId="28" applyNumberFormat="1" applyFont="1" applyBorder="1" applyAlignment="1">
      <alignment horizontal="right" wrapText="1"/>
    </xf>
    <xf numFmtId="3" fontId="39" fillId="0" borderId="84" xfId="28" applyNumberFormat="1" applyFont="1" applyBorder="1" applyAlignment="1">
      <alignment horizontal="right" wrapText="1"/>
    </xf>
    <xf numFmtId="3" fontId="39" fillId="0" borderId="84" xfId="31" applyNumberFormat="1" applyFont="1" applyBorder="1" applyAlignment="1">
      <alignment horizontal="right"/>
    </xf>
    <xf numFmtId="3" fontId="38" fillId="0" borderId="108" xfId="31" applyNumberFormat="1" applyFont="1" applyBorder="1" applyAlignment="1">
      <alignment horizontal="right"/>
    </xf>
    <xf numFmtId="0" fontId="9" fillId="0" borderId="93" xfId="28" applyFont="1" applyBorder="1" applyAlignment="1">
      <alignment horizontal="left" wrapText="1"/>
    </xf>
    <xf numFmtId="2" fontId="9" fillId="0" borderId="13" xfId="28" applyNumberFormat="1" applyFont="1" applyBorder="1" applyAlignment="1">
      <alignment wrapText="1"/>
    </xf>
    <xf numFmtId="0" fontId="39" fillId="0" borderId="0" xfId="31" applyFont="1"/>
    <xf numFmtId="0" fontId="29" fillId="0" borderId="13" xfId="28" applyFont="1" applyBorder="1" applyAlignment="1">
      <alignment horizontal="left"/>
    </xf>
    <xf numFmtId="0" fontId="9" fillId="0" borderId="38" xfId="31" applyFont="1" applyBorder="1" applyAlignment="1">
      <alignment horizontal="center" vertical="top" wrapText="1"/>
    </xf>
    <xf numFmtId="3" fontId="39" fillId="0" borderId="13" xfId="28" applyNumberFormat="1" applyFont="1" applyBorder="1" applyAlignment="1">
      <alignment horizontal="right"/>
    </xf>
    <xf numFmtId="0" fontId="9" fillId="0" borderId="13" xfId="31" applyFont="1" applyBorder="1" applyAlignment="1">
      <alignment wrapText="1"/>
    </xf>
    <xf numFmtId="0" fontId="30" fillId="0" borderId="13" xfId="28" applyFont="1" applyBorder="1" applyAlignment="1">
      <alignment horizontal="left"/>
    </xf>
    <xf numFmtId="3" fontId="11" fillId="0" borderId="26" xfId="0" applyNumberFormat="1" applyFont="1" applyBorder="1" applyAlignment="1">
      <alignment vertical="center"/>
    </xf>
    <xf numFmtId="0" fontId="9" fillId="0" borderId="18" xfId="31" applyFont="1" applyBorder="1" applyAlignment="1">
      <alignment horizontal="center"/>
    </xf>
    <xf numFmtId="3" fontId="39" fillId="0" borderId="18" xfId="31" applyNumberFormat="1" applyFont="1" applyBorder="1" applyAlignment="1">
      <alignment horizontal="right"/>
    </xf>
    <xf numFmtId="3" fontId="39" fillId="0" borderId="18" xfId="28" applyNumberFormat="1" applyFont="1" applyBorder="1" applyAlignment="1">
      <alignment horizontal="right"/>
    </xf>
    <xf numFmtId="3" fontId="39" fillId="0" borderId="19" xfId="31" applyNumberFormat="1" applyFont="1" applyBorder="1" applyAlignment="1">
      <alignment horizontal="right"/>
    </xf>
    <xf numFmtId="3" fontId="38" fillId="0" borderId="55" xfId="28" applyNumberFormat="1" applyFont="1" applyBorder="1" applyAlignment="1">
      <alignment horizontal="right" wrapText="1"/>
    </xf>
    <xf numFmtId="3" fontId="38" fillId="0" borderId="18" xfId="28" applyNumberFormat="1" applyFont="1" applyBorder="1" applyAlignment="1">
      <alignment horizontal="right" wrapText="1"/>
    </xf>
    <xf numFmtId="3" fontId="39" fillId="0" borderId="18" xfId="28" applyNumberFormat="1" applyFont="1" applyBorder="1" applyAlignment="1">
      <alignment horizontal="right" wrapText="1"/>
    </xf>
    <xf numFmtId="3" fontId="38" fillId="0" borderId="125" xfId="28" applyNumberFormat="1" applyFont="1" applyBorder="1" applyAlignment="1">
      <alignment horizontal="right" wrapText="1"/>
    </xf>
    <xf numFmtId="0" fontId="30" fillId="0" borderId="18" xfId="28" applyFont="1" applyBorder="1" applyAlignment="1">
      <alignment horizontal="left"/>
    </xf>
    <xf numFmtId="3" fontId="38" fillId="0" borderId="126" xfId="31" applyNumberFormat="1" applyFont="1" applyBorder="1" applyAlignment="1">
      <alignment horizontal="right"/>
    </xf>
    <xf numFmtId="3" fontId="38" fillId="0" borderId="105" xfId="31" applyNumberFormat="1" applyFont="1" applyBorder="1" applyAlignment="1">
      <alignment horizontal="right"/>
    </xf>
    <xf numFmtId="3" fontId="9" fillId="0" borderId="126" xfId="31" applyNumberFormat="1" applyFont="1" applyBorder="1" applyAlignment="1">
      <alignment horizontal="right"/>
    </xf>
    <xf numFmtId="0" fontId="9" fillId="0" borderId="36" xfId="31" applyFont="1" applyBorder="1" applyAlignment="1">
      <alignment horizontal="center"/>
    </xf>
    <xf numFmtId="0" fontId="38" fillId="0" borderId="36" xfId="28" applyFont="1" applyBorder="1" applyAlignment="1">
      <alignment horizontal="left"/>
    </xf>
    <xf numFmtId="0" fontId="38" fillId="0" borderId="118" xfId="31" applyFont="1" applyBorder="1" applyAlignment="1">
      <alignment horizontal="center" wrapText="1"/>
    </xf>
    <xf numFmtId="3" fontId="38" fillId="0" borderId="95" xfId="28" applyNumberFormat="1" applyFont="1" applyBorder="1" applyAlignment="1">
      <alignment horizontal="right" wrapText="1"/>
    </xf>
    <xf numFmtId="3" fontId="38" fillId="0" borderId="36" xfId="28" applyNumberFormat="1" applyFont="1" applyBorder="1" applyAlignment="1">
      <alignment horizontal="right" wrapText="1"/>
    </xf>
    <xf numFmtId="3" fontId="39" fillId="0" borderId="36" xfId="28" applyNumberFormat="1" applyFont="1" applyBorder="1" applyAlignment="1">
      <alignment horizontal="right" wrapText="1"/>
    </xf>
    <xf numFmtId="3" fontId="38" fillId="0" borderId="127" xfId="28" applyNumberFormat="1" applyFont="1" applyBorder="1" applyAlignment="1">
      <alignment horizontal="right" wrapText="1"/>
    </xf>
    <xf numFmtId="0" fontId="38" fillId="0" borderId="111" xfId="28" applyFont="1" applyBorder="1"/>
    <xf numFmtId="3" fontId="9" fillId="0" borderId="36" xfId="31" applyNumberFormat="1" applyFont="1" applyBorder="1" applyAlignment="1">
      <alignment horizontal="right"/>
    </xf>
    <xf numFmtId="3" fontId="9" fillId="0" borderId="117" xfId="31" applyNumberFormat="1" applyFont="1" applyBorder="1" applyAlignment="1">
      <alignment horizontal="right"/>
    </xf>
    <xf numFmtId="0" fontId="9" fillId="0" borderId="118" xfId="31" applyFont="1" applyBorder="1" applyAlignment="1">
      <alignment horizontal="center" wrapText="1"/>
    </xf>
    <xf numFmtId="3" fontId="11" fillId="0" borderId="97" xfId="28" applyNumberFormat="1" applyFont="1" applyBorder="1" applyAlignment="1">
      <alignment horizontal="right" vertical="center" wrapText="1"/>
    </xf>
    <xf numFmtId="3" fontId="11" fillId="0" borderId="30" xfId="28" applyNumberFormat="1" applyFont="1" applyBorder="1" applyAlignment="1">
      <alignment horizontal="right" vertical="center" wrapText="1"/>
    </xf>
    <xf numFmtId="3" fontId="9" fillId="0" borderId="13" xfId="27" applyNumberFormat="1" applyFont="1" applyBorder="1" applyAlignment="1">
      <alignment horizontal="center" vertical="center"/>
    </xf>
    <xf numFmtId="3" fontId="11" fillId="0" borderId="110" xfId="28" applyNumberFormat="1" applyFont="1" applyBorder="1" applyAlignment="1">
      <alignment horizontal="right" vertical="center" wrapText="1"/>
    </xf>
    <xf numFmtId="3" fontId="16" fillId="0" borderId="0" xfId="29" applyNumberFormat="1" applyFont="1" applyAlignment="1">
      <alignment horizontal="center" wrapText="1"/>
    </xf>
    <xf numFmtId="3" fontId="16" fillId="0" borderId="15" xfId="29" applyNumberFormat="1" applyFont="1" applyBorder="1" applyAlignment="1">
      <alignment horizontal="center" vertical="center" wrapText="1"/>
    </xf>
    <xf numFmtId="3" fontId="9" fillId="0" borderId="134" xfId="29" applyNumberFormat="1" applyFont="1" applyBorder="1" applyAlignment="1">
      <alignment horizontal="center" vertical="center" wrapText="1"/>
    </xf>
    <xf numFmtId="3" fontId="9" fillId="0" borderId="92" xfId="29" applyNumberFormat="1" applyFont="1" applyBorder="1" applyAlignment="1">
      <alignment horizontal="center" vertical="center" wrapText="1"/>
    </xf>
    <xf numFmtId="3" fontId="16" fillId="0" borderId="0" xfId="29" applyNumberFormat="1" applyFont="1" applyAlignment="1">
      <alignment horizontal="center" vertical="center" wrapText="1"/>
    </xf>
    <xf numFmtId="3" fontId="9" fillId="0" borderId="1" xfId="29" applyNumberFormat="1" applyFont="1" applyBorder="1" applyAlignment="1">
      <alignment horizontal="center" wrapText="1"/>
    </xf>
    <xf numFmtId="3" fontId="28" fillId="0" borderId="54" xfId="29" applyNumberFormat="1" applyFont="1" applyBorder="1" applyAlignment="1">
      <alignment horizontal="left"/>
    </xf>
    <xf numFmtId="3" fontId="9" fillId="0" borderId="53" xfId="29" applyNumberFormat="1" applyFont="1" applyBorder="1" applyAlignment="1">
      <alignment horizontal="center" wrapText="1"/>
    </xf>
    <xf numFmtId="14" fontId="9" fillId="0" borderId="107" xfId="29" applyNumberFormat="1" applyFont="1" applyBorder="1" applyAlignment="1">
      <alignment horizontal="center" vertical="center" wrapText="1"/>
    </xf>
    <xf numFmtId="3" fontId="9" fillId="0" borderId="135" xfId="29" applyNumberFormat="1" applyFont="1" applyBorder="1" applyAlignment="1">
      <alignment horizontal="center" vertical="center" wrapText="1"/>
    </xf>
    <xf numFmtId="3" fontId="9" fillId="0" borderId="87" xfId="29" applyNumberFormat="1" applyFont="1" applyBorder="1" applyAlignment="1">
      <alignment horizontal="center" vertical="center" wrapText="1"/>
    </xf>
    <xf numFmtId="3" fontId="9" fillId="0" borderId="13" xfId="29" applyNumberFormat="1" applyFont="1" applyBorder="1" applyAlignment="1">
      <alignment horizontal="left" vertical="center" wrapText="1"/>
    </xf>
    <xf numFmtId="14" fontId="9" fillId="0" borderId="108" xfId="29" applyNumberFormat="1" applyFont="1" applyBorder="1" applyAlignment="1">
      <alignment horizontal="center" vertical="center" wrapText="1"/>
    </xf>
    <xf numFmtId="3" fontId="9" fillId="0" borderId="38" xfId="29" applyNumberFormat="1" applyFont="1" applyBorder="1" applyAlignment="1">
      <alignment horizontal="right" vertical="center" wrapText="1"/>
    </xf>
    <xf numFmtId="3" fontId="9" fillId="0" borderId="84" xfId="29" applyNumberFormat="1" applyFont="1" applyBorder="1" applyAlignment="1">
      <alignment horizontal="right" vertical="center" wrapText="1"/>
    </xf>
    <xf numFmtId="3" fontId="9" fillId="0" borderId="13" xfId="29" applyNumberFormat="1" applyFont="1" applyBorder="1" applyAlignment="1">
      <alignment horizontal="right" vertical="center" wrapText="1"/>
    </xf>
    <xf numFmtId="3" fontId="9" fillId="0" borderId="108" xfId="29" applyNumberFormat="1" applyFont="1" applyBorder="1" applyAlignment="1">
      <alignment horizontal="right" vertical="center" wrapText="1"/>
    </xf>
    <xf numFmtId="3" fontId="9" fillId="0" borderId="13" xfId="29" applyNumberFormat="1" applyFont="1" applyBorder="1" applyAlignment="1">
      <alignment horizontal="center" vertical="top" wrapText="1"/>
    </xf>
    <xf numFmtId="3" fontId="9" fillId="0" borderId="51" xfId="29" applyNumberFormat="1" applyFont="1" applyBorder="1" applyAlignment="1">
      <alignment horizontal="right" vertical="center" wrapText="1"/>
    </xf>
    <xf numFmtId="3" fontId="9" fillId="0" borderId="55" xfId="29" applyNumberFormat="1" applyFont="1" applyBorder="1" applyAlignment="1">
      <alignment horizontal="right" vertical="center" wrapText="1"/>
    </xf>
    <xf numFmtId="3" fontId="9" fillId="0" borderId="13" xfId="29" applyNumberFormat="1" applyFont="1" applyBorder="1" applyAlignment="1">
      <alignment horizontal="center" vertical="center" wrapText="1"/>
    </xf>
    <xf numFmtId="0" fontId="9" fillId="0" borderId="53" xfId="0" applyFont="1" applyBorder="1" applyAlignment="1">
      <alignment vertical="center" wrapText="1"/>
    </xf>
    <xf numFmtId="0" fontId="9" fillId="0" borderId="13" xfId="0" applyFont="1" applyBorder="1" applyAlignment="1">
      <alignment wrapText="1"/>
    </xf>
    <xf numFmtId="3" fontId="11" fillId="0" borderId="110" xfId="29" applyNumberFormat="1" applyFont="1" applyBorder="1" applyAlignment="1">
      <alignment horizontal="right" vertical="center"/>
    </xf>
    <xf numFmtId="3" fontId="11" fillId="0" borderId="50" xfId="29" applyNumberFormat="1" applyFont="1" applyBorder="1" applyAlignment="1">
      <alignment horizontal="right" vertical="center"/>
    </xf>
    <xf numFmtId="3" fontId="34" fillId="0" borderId="84" xfId="27" applyNumberFormat="1" applyFont="1" applyBorder="1" applyAlignment="1">
      <alignment horizontal="right"/>
    </xf>
    <xf numFmtId="3" fontId="34" fillId="0" borderId="13" xfId="0" applyNumberFormat="1" applyFont="1" applyBorder="1" applyAlignment="1">
      <alignment horizontal="right" wrapText="1"/>
    </xf>
    <xf numFmtId="3" fontId="34" fillId="0" borderId="14" xfId="0" applyNumberFormat="1" applyFont="1" applyBorder="1" applyAlignment="1">
      <alignment horizontal="right" wrapText="1"/>
    </xf>
    <xf numFmtId="3" fontId="35" fillId="0" borderId="84" xfId="27" applyNumberFormat="1" applyFont="1" applyBorder="1" applyAlignment="1">
      <alignment horizontal="right"/>
    </xf>
    <xf numFmtId="3" fontId="34" fillId="0" borderId="13" xfId="0" applyNumberFormat="1" applyFont="1" applyBorder="1" applyAlignment="1">
      <alignment horizontal="right" vertical="center" wrapText="1"/>
    </xf>
    <xf numFmtId="3" fontId="34" fillId="0" borderId="12" xfId="27" applyNumberFormat="1" applyFont="1" applyBorder="1" applyAlignment="1">
      <alignment horizontal="center" vertical="center"/>
    </xf>
    <xf numFmtId="3" fontId="34" fillId="0" borderId="13" xfId="27" applyNumberFormat="1" applyFont="1" applyBorder="1" applyAlignment="1">
      <alignment horizontal="center" vertical="center"/>
    </xf>
    <xf numFmtId="3" fontId="34" fillId="0" borderId="18" xfId="27" applyNumberFormat="1" applyFont="1" applyBorder="1" applyAlignment="1">
      <alignment wrapText="1"/>
    </xf>
    <xf numFmtId="3" fontId="34" fillId="0" borderId="13" xfId="27" applyNumberFormat="1" applyFont="1" applyBorder="1" applyAlignment="1">
      <alignment horizontal="right"/>
    </xf>
    <xf numFmtId="3" fontId="34" fillId="0" borderId="38" xfId="27" applyNumberFormat="1" applyFont="1" applyBorder="1" applyAlignment="1">
      <alignment horizontal="center"/>
    </xf>
    <xf numFmtId="3" fontId="38" fillId="0" borderId="0" xfId="27" applyNumberFormat="1" applyFont="1" applyAlignment="1">
      <alignment horizontal="center" vertical="center"/>
    </xf>
    <xf numFmtId="3" fontId="34" fillId="0" borderId="18" xfId="27" applyNumberFormat="1" applyFont="1" applyBorder="1" applyAlignment="1">
      <alignment horizontal="right"/>
    </xf>
    <xf numFmtId="3" fontId="34" fillId="0" borderId="51" xfId="27" applyNumberFormat="1" applyFont="1" applyBorder="1" applyAlignment="1">
      <alignment horizontal="center"/>
    </xf>
    <xf numFmtId="3" fontId="34" fillId="0" borderId="18" xfId="0" applyNumberFormat="1" applyFont="1" applyBorder="1" applyAlignment="1">
      <alignment horizontal="right" wrapText="1"/>
    </xf>
    <xf numFmtId="3" fontId="34" fillId="0" borderId="22" xfId="0" applyNumberFormat="1" applyFont="1" applyBorder="1" applyAlignment="1">
      <alignment horizontal="right" wrapText="1"/>
    </xf>
    <xf numFmtId="3" fontId="38" fillId="0" borderId="0" xfId="27" applyNumberFormat="1" applyFont="1" applyAlignment="1">
      <alignment horizontal="center"/>
    </xf>
    <xf numFmtId="3" fontId="35" fillId="0" borderId="12" xfId="27" applyNumberFormat="1" applyFont="1" applyBorder="1" applyAlignment="1">
      <alignment horizontal="center" vertical="center"/>
    </xf>
    <xf numFmtId="3" fontId="35" fillId="0" borderId="18" xfId="27" applyNumberFormat="1" applyFont="1" applyBorder="1" applyAlignment="1">
      <alignment horizontal="left" wrapText="1" indent="4"/>
    </xf>
    <xf numFmtId="3" fontId="35" fillId="0" borderId="13" xfId="27" applyNumberFormat="1" applyFont="1" applyBorder="1" applyAlignment="1">
      <alignment horizontal="right"/>
    </xf>
    <xf numFmtId="3" fontId="35" fillId="0" borderId="38" xfId="27" applyNumberFormat="1" applyFont="1" applyBorder="1" applyAlignment="1">
      <alignment horizontal="center"/>
    </xf>
    <xf numFmtId="3" fontId="35" fillId="0" borderId="13" xfId="0" applyNumberFormat="1" applyFont="1" applyBorder="1" applyAlignment="1">
      <alignment horizontal="right" wrapText="1"/>
    </xf>
    <xf numFmtId="3" fontId="35" fillId="0" borderId="14" xfId="0" applyNumberFormat="1" applyFont="1" applyBorder="1" applyAlignment="1">
      <alignment horizontal="right" wrapText="1"/>
    </xf>
    <xf numFmtId="3" fontId="41" fillId="0" borderId="0" xfId="27" applyNumberFormat="1" applyFont="1" applyAlignment="1">
      <alignment horizontal="center" vertical="center"/>
    </xf>
    <xf numFmtId="3" fontId="41" fillId="0" borderId="13" xfId="27" applyNumberFormat="1" applyFont="1" applyBorder="1" applyAlignment="1">
      <alignment horizontal="center" vertical="center"/>
    </xf>
    <xf numFmtId="3" fontId="35" fillId="0" borderId="18" xfId="27" applyNumberFormat="1" applyFont="1" applyBorder="1" applyAlignment="1">
      <alignment horizontal="left" vertical="top" wrapText="1" indent="4"/>
    </xf>
    <xf numFmtId="3" fontId="34" fillId="0" borderId="20" xfId="27" applyNumberFormat="1" applyFont="1" applyBorder="1" applyAlignment="1">
      <alignment horizontal="center" vertical="center"/>
    </xf>
    <xf numFmtId="3" fontId="35" fillId="0" borderId="0" xfId="27" applyNumberFormat="1" applyFont="1" applyAlignment="1">
      <alignment horizontal="center" vertical="center"/>
    </xf>
    <xf numFmtId="3" fontId="34" fillId="0" borderId="0" xfId="27" applyNumberFormat="1" applyFont="1" applyAlignment="1">
      <alignment horizontal="center" vertical="center"/>
    </xf>
    <xf numFmtId="3" fontId="34" fillId="0" borderId="18" xfId="27" applyNumberFormat="1" applyFont="1" applyBorder="1" applyAlignment="1">
      <alignment horizontal="left" wrapText="1" indent="2"/>
    </xf>
    <xf numFmtId="3" fontId="35" fillId="0" borderId="20" xfId="27" applyNumberFormat="1" applyFont="1" applyBorder="1" applyAlignment="1">
      <alignment horizontal="center" vertical="center"/>
    </xf>
    <xf numFmtId="3" fontId="35" fillId="0" borderId="18" xfId="27" applyNumberFormat="1" applyFont="1" applyBorder="1" applyAlignment="1">
      <alignment horizontal="right"/>
    </xf>
    <xf numFmtId="3" fontId="35" fillId="0" borderId="18" xfId="0" applyNumberFormat="1" applyFont="1" applyBorder="1" applyAlignment="1">
      <alignment horizontal="right" wrapText="1"/>
    </xf>
    <xf numFmtId="3" fontId="35" fillId="0" borderId="22" xfId="0" applyNumberFormat="1" applyFont="1" applyBorder="1" applyAlignment="1">
      <alignment horizontal="right" wrapText="1"/>
    </xf>
    <xf numFmtId="3" fontId="35" fillId="0" borderId="51" xfId="27" applyNumberFormat="1" applyFont="1" applyBorder="1" applyAlignment="1">
      <alignment horizontal="center"/>
    </xf>
    <xf numFmtId="3" fontId="35" fillId="0" borderId="20" xfId="27" applyNumberFormat="1" applyFont="1" applyBorder="1" applyAlignment="1">
      <alignment horizontal="center"/>
    </xf>
    <xf numFmtId="3" fontId="34" fillId="0" borderId="13" xfId="27" applyNumberFormat="1" applyFont="1" applyBorder="1" applyAlignment="1">
      <alignment horizontal="center"/>
    </xf>
    <xf numFmtId="3" fontId="38" fillId="0" borderId="0" xfId="27" applyNumberFormat="1" applyFont="1"/>
    <xf numFmtId="3" fontId="34" fillId="0" borderId="113" xfId="27" applyNumberFormat="1" applyFont="1" applyBorder="1" applyAlignment="1">
      <alignment horizontal="center" vertical="center"/>
    </xf>
    <xf numFmtId="3" fontId="34" fillId="0" borderId="114" xfId="27" applyNumberFormat="1" applyFont="1" applyBorder="1" applyAlignment="1">
      <alignment horizontal="center" vertical="center"/>
    </xf>
    <xf numFmtId="3" fontId="42" fillId="0" borderId="0" xfId="27" applyNumberFormat="1" applyFont="1" applyAlignment="1">
      <alignment horizontal="center" vertical="center"/>
    </xf>
    <xf numFmtId="3" fontId="42" fillId="0" borderId="0" xfId="27" applyNumberFormat="1" applyFont="1"/>
    <xf numFmtId="0" fontId="9" fillId="0" borderId="0" xfId="0" applyFont="1" applyAlignment="1">
      <alignment horizontal="left" wrapText="1"/>
    </xf>
    <xf numFmtId="3" fontId="16" fillId="0" borderId="0" xfId="31" applyNumberFormat="1" applyFont="1" applyAlignment="1" applyProtection="1">
      <alignment horizontal="center" vertical="center"/>
      <protection locked="0"/>
    </xf>
    <xf numFmtId="0" fontId="16" fillId="0" borderId="20" xfId="32" applyFont="1" applyBorder="1" applyAlignment="1" applyProtection="1">
      <alignment horizontal="center"/>
      <protection locked="0"/>
    </xf>
    <xf numFmtId="3" fontId="27" fillId="0" borderId="18" xfId="30" applyNumberFormat="1" applyFont="1" applyBorder="1" applyAlignment="1" applyProtection="1">
      <alignment horizontal="left"/>
      <protection locked="0"/>
    </xf>
    <xf numFmtId="0" fontId="27" fillId="0" borderId="18" xfId="31" applyFont="1" applyBorder="1" applyAlignment="1" applyProtection="1">
      <alignment horizontal="left" wrapText="1"/>
      <protection locked="0"/>
    </xf>
    <xf numFmtId="0" fontId="16" fillId="0" borderId="18" xfId="32" applyFont="1" applyBorder="1" applyAlignment="1" applyProtection="1">
      <alignment horizontal="center"/>
      <protection locked="0"/>
    </xf>
    <xf numFmtId="3" fontId="16" fillId="0" borderId="18" xfId="32" applyNumberFormat="1" applyFont="1" applyBorder="1" applyProtection="1">
      <protection locked="0"/>
    </xf>
    <xf numFmtId="3" fontId="16" fillId="0" borderId="18" xfId="31" applyNumberFormat="1" applyFont="1" applyBorder="1" applyProtection="1">
      <protection locked="0"/>
    </xf>
    <xf numFmtId="0" fontId="16" fillId="0" borderId="0" xfId="31" applyFont="1" applyAlignment="1" applyProtection="1">
      <alignment horizontal="left"/>
      <protection locked="0"/>
    </xf>
    <xf numFmtId="0" fontId="16" fillId="0" borderId="0" xfId="31" applyFont="1" applyAlignment="1" applyProtection="1">
      <alignment horizontal="center" vertical="center"/>
      <protection locked="0"/>
    </xf>
    <xf numFmtId="3" fontId="16" fillId="0" borderId="13" xfId="30" applyNumberFormat="1" applyFont="1" applyBorder="1" applyAlignment="1" applyProtection="1">
      <alignment horizontal="center" vertical="top"/>
      <protection locked="0"/>
    </xf>
    <xf numFmtId="0" fontId="16" fillId="0" borderId="13" xfId="31" applyFont="1" applyBorder="1" applyAlignment="1" applyProtection="1">
      <alignment horizontal="left" wrapText="1"/>
      <protection locked="0"/>
    </xf>
    <xf numFmtId="3" fontId="16" fillId="0" borderId="18" xfId="32" applyNumberFormat="1" applyFont="1" applyBorder="1" applyAlignment="1" applyProtection="1">
      <alignment vertical="center"/>
      <protection locked="0"/>
    </xf>
    <xf numFmtId="3" fontId="16" fillId="0" borderId="18" xfId="31" applyNumberFormat="1" applyFont="1" applyBorder="1" applyAlignment="1" applyProtection="1">
      <alignment vertical="center"/>
      <protection locked="0"/>
    </xf>
    <xf numFmtId="0" fontId="16" fillId="0" borderId="0" xfId="31" applyFont="1" applyProtection="1">
      <protection locked="0"/>
    </xf>
    <xf numFmtId="3" fontId="16" fillId="0" borderId="13" xfId="30" applyNumberFormat="1" applyFont="1" applyBorder="1" applyAlignment="1" applyProtection="1">
      <alignment horizontal="center"/>
      <protection locked="0"/>
    </xf>
    <xf numFmtId="0" fontId="16" fillId="0" borderId="18" xfId="31" applyFont="1" applyBorder="1" applyAlignment="1" applyProtection="1">
      <alignment horizontal="left" wrapText="1"/>
      <protection locked="0"/>
    </xf>
    <xf numFmtId="0" fontId="22" fillId="0" borderId="13" xfId="31" applyFont="1" applyBorder="1" applyProtection="1">
      <protection locked="0"/>
    </xf>
    <xf numFmtId="0" fontId="22" fillId="0" borderId="18" xfId="32" applyFont="1" applyBorder="1" applyAlignment="1" applyProtection="1">
      <alignment horizontal="left"/>
      <protection locked="0"/>
    </xf>
    <xf numFmtId="3" fontId="27" fillId="0" borderId="13" xfId="30" applyNumberFormat="1" applyFont="1" applyBorder="1" applyAlignment="1" applyProtection="1">
      <alignment horizontal="left"/>
      <protection locked="0"/>
    </xf>
    <xf numFmtId="0" fontId="22" fillId="0" borderId="13" xfId="31" applyFont="1" applyBorder="1" applyAlignment="1" applyProtection="1">
      <alignment horizontal="left"/>
      <protection locked="0"/>
    </xf>
    <xf numFmtId="3" fontId="19" fillId="0" borderId="18" xfId="32" applyNumberFormat="1" applyFont="1" applyBorder="1" applyProtection="1">
      <protection locked="0"/>
    </xf>
    <xf numFmtId="0" fontId="19" fillId="0" borderId="13" xfId="31" applyFont="1" applyBorder="1" applyAlignment="1" applyProtection="1">
      <alignment wrapText="1"/>
      <protection locked="0"/>
    </xf>
    <xf numFmtId="0" fontId="31" fillId="0" borderId="13" xfId="31" applyFont="1" applyBorder="1" applyAlignment="1" applyProtection="1">
      <alignment horizontal="left"/>
      <protection locked="0"/>
    </xf>
    <xf numFmtId="0" fontId="16" fillId="0" borderId="20" xfId="32" applyFont="1" applyBorder="1" applyAlignment="1" applyProtection="1">
      <alignment horizontal="center" vertical="top"/>
      <protection locked="0"/>
    </xf>
    <xf numFmtId="0" fontId="16" fillId="0" borderId="18" xfId="32" applyFont="1" applyBorder="1" applyAlignment="1" applyProtection="1">
      <alignment horizontal="center" vertical="top"/>
      <protection locked="0"/>
    </xf>
    <xf numFmtId="3" fontId="16" fillId="0" borderId="18" xfId="31" applyNumberFormat="1" applyFont="1" applyBorder="1" applyAlignment="1" applyProtection="1">
      <alignment horizontal="right"/>
      <protection locked="0"/>
    </xf>
    <xf numFmtId="0" fontId="16" fillId="0" borderId="0" xfId="31" applyFont="1" applyAlignment="1" applyProtection="1">
      <alignment vertical="top"/>
      <protection locked="0"/>
    </xf>
    <xf numFmtId="3" fontId="16" fillId="0" borderId="18" xfId="32" applyNumberFormat="1" applyFont="1" applyBorder="1" applyAlignment="1" applyProtection="1">
      <alignment horizontal="right"/>
      <protection locked="0"/>
    </xf>
    <xf numFmtId="3" fontId="27" fillId="0" borderId="18" xfId="0" applyNumberFormat="1" applyFont="1" applyBorder="1" applyAlignment="1" applyProtection="1">
      <alignment horizontal="left"/>
      <protection locked="0"/>
    </xf>
    <xf numFmtId="0" fontId="16" fillId="0" borderId="13" xfId="32" applyFont="1" applyBorder="1" applyAlignment="1" applyProtection="1">
      <alignment horizontal="center"/>
      <protection locked="0"/>
    </xf>
    <xf numFmtId="3" fontId="16" fillId="0" borderId="13" xfId="32" applyNumberFormat="1" applyFont="1" applyBorder="1" applyAlignment="1" applyProtection="1">
      <alignment vertical="center"/>
      <protection locked="0"/>
    </xf>
    <xf numFmtId="3" fontId="16" fillId="0" borderId="13" xfId="31" applyNumberFormat="1" applyFont="1" applyBorder="1" applyAlignment="1" applyProtection="1">
      <alignment vertical="center"/>
      <protection locked="0"/>
    </xf>
    <xf numFmtId="3" fontId="27" fillId="0" borderId="19" xfId="0" applyNumberFormat="1" applyFont="1" applyBorder="1" applyAlignment="1" applyProtection="1">
      <alignment horizontal="left"/>
      <protection locked="0"/>
    </xf>
    <xf numFmtId="3" fontId="16" fillId="0" borderId="18" xfId="30" applyNumberFormat="1" applyFont="1" applyBorder="1" applyAlignment="1" applyProtection="1">
      <alignment horizontal="center"/>
      <protection locked="0"/>
    </xf>
    <xf numFmtId="3" fontId="9" fillId="0" borderId="0" xfId="29" applyNumberFormat="1" applyFont="1" applyAlignment="1">
      <alignment horizontal="left" wrapText="1"/>
    </xf>
    <xf numFmtId="3" fontId="38" fillId="0" borderId="36" xfId="28" applyNumberFormat="1" applyFont="1" applyBorder="1" applyAlignment="1">
      <alignment horizontal="right"/>
    </xf>
    <xf numFmtId="3" fontId="9" fillId="0" borderId="55" xfId="28" applyNumberFormat="1" applyFont="1" applyBorder="1" applyAlignment="1">
      <alignment horizontal="right" wrapText="1"/>
    </xf>
    <xf numFmtId="3" fontId="9" fillId="0" borderId="18" xfId="28" applyNumberFormat="1" applyFont="1" applyBorder="1" applyAlignment="1">
      <alignment horizontal="right" wrapText="1"/>
    </xf>
    <xf numFmtId="3" fontId="11" fillId="0" borderId="125" xfId="28" applyNumberFormat="1" applyFont="1" applyBorder="1" applyAlignment="1">
      <alignment horizontal="right" wrapText="1"/>
    </xf>
    <xf numFmtId="3" fontId="9" fillId="0" borderId="55" xfId="31" applyNumberFormat="1" applyFont="1" applyBorder="1" applyAlignment="1">
      <alignment horizontal="right"/>
    </xf>
    <xf numFmtId="3" fontId="11" fillId="0" borderId="125" xfId="31" applyNumberFormat="1" applyFont="1" applyBorder="1" applyAlignment="1">
      <alignment horizontal="right"/>
    </xf>
    <xf numFmtId="3" fontId="9" fillId="0" borderId="0" xfId="29" applyNumberFormat="1" applyFont="1" applyAlignment="1">
      <alignment horizontal="center" vertical="center"/>
    </xf>
    <xf numFmtId="3" fontId="9" fillId="0" borderId="12" xfId="29" applyNumberFormat="1" applyFont="1" applyBorder="1" applyAlignment="1">
      <alignment horizontal="center" vertical="center" wrapText="1"/>
    </xf>
    <xf numFmtId="3" fontId="9" fillId="0" borderId="0" xfId="29" applyNumberFormat="1" applyFont="1" applyAlignment="1">
      <alignment horizontal="right" vertical="center" wrapText="1"/>
    </xf>
    <xf numFmtId="3" fontId="9" fillId="0" borderId="55" xfId="29" applyNumberFormat="1" applyFont="1" applyBorder="1" applyAlignment="1">
      <alignment horizontal="center" vertical="center" wrapText="1"/>
    </xf>
    <xf numFmtId="3" fontId="9" fillId="0" borderId="101" xfId="29" applyNumberFormat="1" applyFont="1" applyBorder="1" applyAlignment="1">
      <alignment horizontal="right" vertical="center" wrapText="1"/>
    </xf>
    <xf numFmtId="3" fontId="9" fillId="0" borderId="18" xfId="29" applyNumberFormat="1" applyFont="1" applyBorder="1" applyAlignment="1">
      <alignment horizontal="right" vertical="center" wrapText="1"/>
    </xf>
    <xf numFmtId="3" fontId="9" fillId="0" borderId="193" xfId="29" applyNumberFormat="1" applyFont="1" applyBorder="1" applyAlignment="1">
      <alignment horizontal="center" vertical="center" wrapText="1"/>
    </xf>
    <xf numFmtId="14" fontId="9" fillId="0" borderId="127" xfId="29" applyNumberFormat="1" applyFont="1" applyBorder="1" applyAlignment="1">
      <alignment horizontal="center" vertical="center" wrapText="1"/>
    </xf>
    <xf numFmtId="3" fontId="9" fillId="0" borderId="194" xfId="29" applyNumberFormat="1" applyFont="1" applyBorder="1" applyAlignment="1">
      <alignment horizontal="right" vertical="center" wrapText="1"/>
    </xf>
    <xf numFmtId="3" fontId="9" fillId="0" borderId="118" xfId="29" applyNumberFormat="1" applyFont="1" applyBorder="1" applyAlignment="1">
      <alignment horizontal="right" vertical="center" wrapText="1"/>
    </xf>
    <xf numFmtId="3" fontId="9" fillId="0" borderId="95" xfId="29" applyNumberFormat="1" applyFont="1" applyBorder="1" applyAlignment="1">
      <alignment horizontal="right" vertical="center" wrapText="1"/>
    </xf>
    <xf numFmtId="3" fontId="9" fillId="0" borderId="36" xfId="29" applyNumberFormat="1" applyFont="1" applyBorder="1" applyAlignment="1">
      <alignment horizontal="right" vertical="center" wrapText="1"/>
    </xf>
    <xf numFmtId="3" fontId="9" fillId="0" borderId="127" xfId="29" applyNumberFormat="1" applyFont="1" applyBorder="1" applyAlignment="1">
      <alignment horizontal="right" vertical="center" wrapText="1"/>
    </xf>
    <xf numFmtId="3" fontId="9" fillId="0" borderId="53" xfId="29" applyNumberFormat="1" applyFont="1" applyBorder="1" applyAlignment="1">
      <alignment horizontal="left" vertical="center" wrapText="1"/>
    </xf>
    <xf numFmtId="3" fontId="9" fillId="0" borderId="36" xfId="29" applyNumberFormat="1" applyFont="1" applyBorder="1" applyAlignment="1">
      <alignment horizontal="left" vertical="center" wrapText="1"/>
    </xf>
    <xf numFmtId="0" fontId="9" fillId="0" borderId="13" xfId="28" applyFont="1" applyBorder="1" applyAlignment="1">
      <alignment vertical="center" wrapText="1"/>
    </xf>
    <xf numFmtId="0" fontId="9" fillId="0" borderId="53" xfId="31" applyFont="1" applyBorder="1" applyAlignment="1">
      <alignment horizontal="center"/>
    </xf>
    <xf numFmtId="3" fontId="11" fillId="0" borderId="53" xfId="31" applyNumberFormat="1" applyFont="1" applyBorder="1" applyAlignment="1">
      <alignment horizontal="right"/>
    </xf>
    <xf numFmtId="3" fontId="11" fillId="0" borderId="54" xfId="31" applyNumberFormat="1" applyFont="1" applyBorder="1" applyAlignment="1">
      <alignment horizontal="right"/>
    </xf>
    <xf numFmtId="0" fontId="11" fillId="0" borderId="52" xfId="31" applyFont="1" applyBorder="1" applyAlignment="1">
      <alignment horizontal="center"/>
    </xf>
    <xf numFmtId="3" fontId="11" fillId="0" borderId="13" xfId="31" applyNumberFormat="1" applyFont="1" applyBorder="1" applyAlignment="1">
      <alignment horizontal="right"/>
    </xf>
    <xf numFmtId="3" fontId="9" fillId="0" borderId="195" xfId="31" applyNumberFormat="1" applyFont="1" applyBorder="1" applyAlignment="1">
      <alignment horizontal="right"/>
    </xf>
    <xf numFmtId="3" fontId="11" fillId="0" borderId="84" xfId="31" applyNumberFormat="1" applyFont="1" applyBorder="1" applyAlignment="1">
      <alignment horizontal="right"/>
    </xf>
    <xf numFmtId="3" fontId="11" fillId="0" borderId="36" xfId="31" applyNumberFormat="1" applyFont="1" applyBorder="1" applyAlignment="1">
      <alignment horizontal="right"/>
    </xf>
    <xf numFmtId="3" fontId="11" fillId="0" borderId="127" xfId="31" applyNumberFormat="1" applyFont="1" applyBorder="1" applyAlignment="1">
      <alignment horizontal="right"/>
    </xf>
    <xf numFmtId="3" fontId="9" fillId="0" borderId="125" xfId="31" applyNumberFormat="1" applyFont="1" applyBorder="1" applyAlignment="1">
      <alignment horizontal="right"/>
    </xf>
    <xf numFmtId="0" fontId="9" fillId="0" borderId="55" xfId="31" applyFont="1" applyBorder="1" applyAlignment="1">
      <alignment horizontal="center" wrapText="1"/>
    </xf>
    <xf numFmtId="3" fontId="9" fillId="0" borderId="133" xfId="31" applyNumberFormat="1" applyFont="1" applyBorder="1" applyAlignment="1">
      <alignment horizontal="right"/>
    </xf>
    <xf numFmtId="3" fontId="11" fillId="0" borderId="18" xfId="31" applyNumberFormat="1" applyFont="1" applyBorder="1" applyAlignment="1">
      <alignment horizontal="right"/>
    </xf>
    <xf numFmtId="3" fontId="11" fillId="0" borderId="137" xfId="31" applyNumberFormat="1" applyFont="1" applyBorder="1" applyAlignment="1">
      <alignment horizontal="right"/>
    </xf>
    <xf numFmtId="3" fontId="9" fillId="0" borderId="15" xfId="31" applyNumberFormat="1" applyFont="1" applyBorder="1" applyAlignment="1">
      <alignment horizontal="right"/>
    </xf>
    <xf numFmtId="3" fontId="9" fillId="0" borderId="12" xfId="27" applyNumberFormat="1" applyFont="1" applyBorder="1" applyAlignment="1">
      <alignment horizontal="center"/>
    </xf>
    <xf numFmtId="3" fontId="9" fillId="0" borderId="38" xfId="27" applyNumberFormat="1" applyFont="1" applyBorder="1" applyAlignment="1">
      <alignment horizontal="center"/>
    </xf>
    <xf numFmtId="0" fontId="28" fillId="0" borderId="13" xfId="28" applyFont="1" applyBorder="1" applyAlignment="1">
      <alignment vertical="center" wrapText="1"/>
    </xf>
    <xf numFmtId="3" fontId="16" fillId="0" borderId="195" xfId="31" applyNumberFormat="1" applyFont="1" applyBorder="1" applyAlignment="1">
      <alignment horizontal="right" vertical="center"/>
    </xf>
    <xf numFmtId="3" fontId="43" fillId="0" borderId="13" xfId="0" applyNumberFormat="1" applyFont="1" applyBorder="1" applyAlignment="1">
      <alignment horizontal="right" wrapText="1"/>
    </xf>
    <xf numFmtId="3" fontId="43" fillId="0" borderId="14" xfId="0" applyNumberFormat="1" applyFont="1" applyBorder="1" applyAlignment="1">
      <alignment horizontal="right" wrapText="1"/>
    </xf>
    <xf numFmtId="3" fontId="34" fillId="0" borderId="55" xfId="27" applyNumberFormat="1" applyFont="1" applyBorder="1" applyAlignment="1">
      <alignment horizontal="right"/>
    </xf>
    <xf numFmtId="3" fontId="43" fillId="0" borderId="18" xfId="0" applyNumberFormat="1" applyFont="1" applyBorder="1" applyAlignment="1">
      <alignment horizontal="right" wrapText="1"/>
    </xf>
    <xf numFmtId="3" fontId="43" fillId="0" borderId="22" xfId="0" applyNumberFormat="1" applyFont="1" applyBorder="1" applyAlignment="1">
      <alignment horizontal="right" wrapText="1"/>
    </xf>
    <xf numFmtId="3" fontId="34" fillId="0" borderId="84" xfId="27" applyNumberFormat="1" applyFont="1" applyBorder="1" applyAlignment="1">
      <alignment horizontal="right" vertical="center"/>
    </xf>
    <xf numFmtId="3" fontId="43" fillId="0" borderId="13" xfId="0" applyNumberFormat="1" applyFont="1" applyBorder="1" applyAlignment="1">
      <alignment horizontal="right" vertical="center" wrapText="1"/>
    </xf>
    <xf numFmtId="3" fontId="43" fillId="0" borderId="14" xfId="0" applyNumberFormat="1" applyFont="1" applyBorder="1" applyAlignment="1">
      <alignment horizontal="right" vertical="center" wrapText="1"/>
    </xf>
    <xf numFmtId="3" fontId="44" fillId="0" borderId="13" xfId="0" applyNumberFormat="1" applyFont="1" applyBorder="1" applyAlignment="1">
      <alignment horizontal="right" wrapText="1"/>
    </xf>
    <xf numFmtId="3" fontId="44" fillId="0" borderId="14" xfId="0" applyNumberFormat="1" applyFont="1" applyBorder="1" applyAlignment="1">
      <alignment horizontal="right" wrapText="1"/>
    </xf>
    <xf numFmtId="3" fontId="35" fillId="0" borderId="84" xfId="27" applyNumberFormat="1" applyFont="1" applyBorder="1" applyAlignment="1">
      <alignment horizontal="right" vertical="center"/>
    </xf>
    <xf numFmtId="3" fontId="44" fillId="0" borderId="13" xfId="0" applyNumberFormat="1" applyFont="1" applyBorder="1" applyAlignment="1">
      <alignment horizontal="right" vertical="center" wrapText="1"/>
    </xf>
    <xf numFmtId="3" fontId="44" fillId="0" borderId="14" xfId="0" applyNumberFormat="1" applyFont="1" applyBorder="1" applyAlignment="1">
      <alignment horizontal="right" vertical="center" wrapText="1"/>
    </xf>
    <xf numFmtId="3" fontId="44" fillId="0" borderId="18" xfId="0" applyNumberFormat="1" applyFont="1" applyBorder="1" applyAlignment="1">
      <alignment horizontal="right" wrapText="1"/>
    </xf>
    <xf numFmtId="3" fontId="44" fillId="0" borderId="22" xfId="0" applyNumberFormat="1" applyFont="1" applyBorder="1" applyAlignment="1">
      <alignment horizontal="right" wrapText="1"/>
    </xf>
    <xf numFmtId="3" fontId="38" fillId="0" borderId="13" xfId="27" applyNumberFormat="1" applyFont="1" applyBorder="1"/>
    <xf numFmtId="3" fontId="39" fillId="0" borderId="13" xfId="27" applyNumberFormat="1" applyFont="1" applyBorder="1"/>
    <xf numFmtId="3" fontId="39" fillId="0" borderId="14" xfId="27" applyNumberFormat="1" applyFont="1" applyBorder="1"/>
    <xf numFmtId="3" fontId="43" fillId="0" borderId="11" xfId="0" applyNumberFormat="1" applyFont="1" applyBorder="1" applyAlignment="1">
      <alignment horizontal="right" wrapText="1"/>
    </xf>
    <xf numFmtId="3" fontId="34" fillId="0" borderId="85" xfId="0" applyNumberFormat="1" applyFont="1" applyBorder="1" applyAlignment="1">
      <alignment horizontal="right"/>
    </xf>
    <xf numFmtId="3" fontId="34" fillId="0" borderId="55" xfId="0" applyNumberFormat="1" applyFont="1" applyBorder="1" applyAlignment="1">
      <alignment horizontal="right"/>
    </xf>
    <xf numFmtId="3" fontId="38" fillId="0" borderId="84" xfId="31" applyNumberFormat="1" applyFont="1" applyBorder="1" applyAlignment="1">
      <alignment horizontal="right"/>
    </xf>
    <xf numFmtId="3" fontId="9" fillId="0" borderId="55" xfId="31" applyNumberFormat="1" applyFont="1" applyBorder="1" applyAlignment="1">
      <alignment horizontal="center"/>
    </xf>
    <xf numFmtId="3" fontId="19" fillId="0" borderId="198" xfId="27" applyNumberFormat="1" applyFont="1" applyBorder="1" applyAlignment="1">
      <alignment horizontal="center" vertical="center"/>
    </xf>
    <xf numFmtId="3" fontId="16" fillId="0" borderId="128" xfId="27" applyNumberFormat="1" applyFont="1" applyBorder="1" applyAlignment="1">
      <alignment horizontal="center" vertical="center" wrapText="1"/>
    </xf>
    <xf numFmtId="3" fontId="16" fillId="0" borderId="129" xfId="27" applyNumberFormat="1" applyFont="1" applyBorder="1" applyAlignment="1">
      <alignment horizontal="center"/>
    </xf>
    <xf numFmtId="3" fontId="34" fillId="0" borderId="130" xfId="0" applyNumberFormat="1" applyFont="1" applyBorder="1" applyAlignment="1">
      <alignment vertical="center"/>
    </xf>
    <xf numFmtId="3" fontId="44" fillId="0" borderId="18" xfId="27" applyNumberFormat="1" applyFont="1" applyBorder="1" applyAlignment="1">
      <alignment horizontal="left" vertical="top" wrapText="1" indent="4"/>
    </xf>
    <xf numFmtId="3" fontId="34" fillId="0" borderId="14" xfId="0" applyNumberFormat="1" applyFont="1" applyBorder="1" applyAlignment="1">
      <alignment horizontal="right" vertical="center" wrapText="1"/>
    </xf>
    <xf numFmtId="3" fontId="43" fillId="0" borderId="90" xfId="0" applyNumberFormat="1" applyFont="1" applyBorder="1" applyAlignment="1">
      <alignment horizontal="right" wrapText="1"/>
    </xf>
    <xf numFmtId="3" fontId="9" fillId="0" borderId="13" xfId="27" applyNumberFormat="1" applyFont="1" applyBorder="1" applyAlignment="1">
      <alignment shrinkToFit="1"/>
    </xf>
    <xf numFmtId="0" fontId="9" fillId="0" borderId="93" xfId="28" applyFont="1" applyBorder="1" applyAlignment="1">
      <alignment wrapText="1"/>
    </xf>
    <xf numFmtId="3" fontId="11" fillId="0" borderId="121" xfId="28" applyNumberFormat="1" applyFont="1" applyBorder="1" applyAlignment="1">
      <alignment horizontal="right" vertical="center" wrapText="1"/>
    </xf>
    <xf numFmtId="0" fontId="9" fillId="0" borderId="13" xfId="28" applyFont="1" applyBorder="1" applyAlignment="1">
      <alignment horizontal="left" vertical="top" wrapText="1"/>
    </xf>
    <xf numFmtId="3" fontId="11" fillId="0" borderId="117" xfId="31" applyNumberFormat="1" applyFont="1" applyBorder="1" applyAlignment="1">
      <alignment horizontal="right"/>
    </xf>
    <xf numFmtId="3" fontId="9" fillId="0" borderId="137" xfId="31" applyNumberFormat="1" applyFont="1" applyBorder="1" applyAlignment="1">
      <alignment horizontal="right"/>
    </xf>
    <xf numFmtId="3" fontId="38" fillId="0" borderId="93" xfId="28" applyNumberFormat="1" applyFont="1" applyBorder="1" applyAlignment="1">
      <alignment horizontal="right" wrapText="1"/>
    </xf>
    <xf numFmtId="3" fontId="11" fillId="0" borderId="201" xfId="31" applyNumberFormat="1" applyFont="1" applyBorder="1" applyAlignment="1">
      <alignment horizontal="right"/>
    </xf>
    <xf numFmtId="0" fontId="11" fillId="0" borderId="138" xfId="31" applyFont="1" applyBorder="1" applyAlignment="1">
      <alignment horizontal="center" wrapText="1"/>
    </xf>
    <xf numFmtId="3" fontId="11" fillId="0" borderId="54" xfId="28" applyNumberFormat="1" applyFont="1" applyBorder="1" applyAlignment="1">
      <alignment horizontal="right" wrapText="1"/>
    </xf>
    <xf numFmtId="3" fontId="11" fillId="0" borderId="0" xfId="28" applyNumberFormat="1" applyFont="1" applyAlignment="1">
      <alignment horizontal="right" wrapText="1"/>
    </xf>
    <xf numFmtId="3" fontId="11" fillId="0" borderId="31" xfId="31" applyNumberFormat="1" applyFont="1" applyBorder="1" applyAlignment="1">
      <alignment horizontal="right"/>
    </xf>
    <xf numFmtId="3" fontId="11" fillId="0" borderId="17" xfId="31" applyNumberFormat="1" applyFont="1" applyBorder="1" applyAlignment="1">
      <alignment horizontal="right"/>
    </xf>
    <xf numFmtId="0" fontId="11" fillId="0" borderId="38" xfId="31" applyFont="1" applyBorder="1" applyAlignment="1">
      <alignment horizontal="center" wrapText="1"/>
    </xf>
    <xf numFmtId="3" fontId="11" fillId="0" borderId="84" xfId="28" applyNumberFormat="1" applyFont="1" applyBorder="1" applyAlignment="1">
      <alignment horizontal="right" wrapText="1"/>
    </xf>
    <xf numFmtId="3" fontId="11" fillId="0" borderId="93" xfId="28" applyNumberFormat="1" applyFont="1" applyBorder="1" applyAlignment="1">
      <alignment horizontal="right" wrapText="1"/>
    </xf>
    <xf numFmtId="3" fontId="11" fillId="0" borderId="106" xfId="31" applyNumberFormat="1" applyFont="1" applyBorder="1" applyAlignment="1">
      <alignment horizontal="right"/>
    </xf>
    <xf numFmtId="3" fontId="11" fillId="0" borderId="19" xfId="31" applyNumberFormat="1" applyFont="1" applyBorder="1" applyAlignment="1">
      <alignment horizontal="right"/>
    </xf>
    <xf numFmtId="3" fontId="11" fillId="0" borderId="55" xfId="28" applyNumberFormat="1" applyFont="1" applyBorder="1" applyAlignment="1">
      <alignment horizontal="right" wrapText="1"/>
    </xf>
    <xf numFmtId="3" fontId="11" fillId="0" borderId="101" xfId="28" applyNumberFormat="1" applyFont="1" applyBorder="1" applyAlignment="1">
      <alignment horizontal="right" wrapText="1"/>
    </xf>
    <xf numFmtId="3" fontId="11" fillId="0" borderId="105" xfId="31" applyNumberFormat="1" applyFont="1" applyBorder="1" applyAlignment="1">
      <alignment horizontal="right"/>
    </xf>
    <xf numFmtId="0" fontId="9" fillId="0" borderId="81" xfId="31" applyFont="1" applyBorder="1" applyAlignment="1">
      <alignment horizontal="center"/>
    </xf>
    <xf numFmtId="3" fontId="11" fillId="0" borderId="81" xfId="31" applyNumberFormat="1" applyFont="1" applyBorder="1" applyAlignment="1">
      <alignment horizontal="right"/>
    </xf>
    <xf numFmtId="3" fontId="11" fillId="0" borderId="100" xfId="31" applyNumberFormat="1" applyFont="1" applyBorder="1" applyAlignment="1">
      <alignment horizontal="right"/>
    </xf>
    <xf numFmtId="0" fontId="11" fillId="0" borderId="98" xfId="31" applyFont="1" applyBorder="1" applyAlignment="1">
      <alignment horizontal="center" wrapText="1"/>
    </xf>
    <xf numFmtId="3" fontId="11" fillId="0" borderId="99" xfId="28" applyNumberFormat="1" applyFont="1" applyBorder="1" applyAlignment="1">
      <alignment horizontal="right" wrapText="1"/>
    </xf>
    <xf numFmtId="3" fontId="11" fillId="0" borderId="202" xfId="31" applyNumberFormat="1" applyFont="1" applyBorder="1" applyAlignment="1">
      <alignment horizontal="right"/>
    </xf>
    <xf numFmtId="0" fontId="11" fillId="0" borderId="118" xfId="31" applyFont="1" applyBorder="1" applyAlignment="1">
      <alignment horizontal="center" wrapText="1"/>
    </xf>
    <xf numFmtId="3" fontId="11" fillId="0" borderId="95" xfId="28" applyNumberFormat="1" applyFont="1" applyBorder="1" applyAlignment="1">
      <alignment horizontal="right" wrapText="1"/>
    </xf>
    <xf numFmtId="3" fontId="11" fillId="0" borderId="126" xfId="31" applyNumberFormat="1" applyFont="1" applyBorder="1" applyAlignment="1">
      <alignment horizontal="right"/>
    </xf>
    <xf numFmtId="0" fontId="9" fillId="0" borderId="17" xfId="31" applyFont="1" applyBorder="1" applyAlignment="1">
      <alignment horizontal="center"/>
    </xf>
    <xf numFmtId="3" fontId="11" fillId="0" borderId="195" xfId="31" applyNumberFormat="1" applyFont="1" applyBorder="1" applyAlignment="1">
      <alignment horizontal="right"/>
    </xf>
    <xf numFmtId="3" fontId="11" fillId="0" borderId="13" xfId="28" applyNumberFormat="1" applyFont="1" applyBorder="1" applyAlignment="1">
      <alignment horizontal="right" wrapText="1"/>
    </xf>
    <xf numFmtId="0" fontId="11" fillId="0" borderId="84" xfId="31" applyFont="1" applyBorder="1" applyAlignment="1">
      <alignment horizontal="center" wrapText="1"/>
    </xf>
    <xf numFmtId="3" fontId="39" fillId="0" borderId="95" xfId="28" applyNumberFormat="1" applyFont="1" applyBorder="1" applyAlignment="1">
      <alignment horizontal="right" wrapText="1"/>
    </xf>
    <xf numFmtId="0" fontId="38" fillId="0" borderId="13" xfId="28" applyFont="1" applyBorder="1"/>
    <xf numFmtId="0" fontId="9" fillId="0" borderId="117" xfId="31" applyFont="1" applyBorder="1" applyAlignment="1">
      <alignment horizontal="center"/>
    </xf>
    <xf numFmtId="0" fontId="38" fillId="0" borderId="36" xfId="28" applyFont="1" applyBorder="1"/>
    <xf numFmtId="0" fontId="11" fillId="0" borderId="95" xfId="31" applyFont="1" applyBorder="1" applyAlignment="1">
      <alignment horizontal="center" wrapText="1"/>
    </xf>
    <xf numFmtId="3" fontId="11" fillId="0" borderId="36" xfId="28" applyNumberFormat="1" applyFont="1" applyBorder="1" applyAlignment="1">
      <alignment horizontal="right" wrapText="1"/>
    </xf>
    <xf numFmtId="3" fontId="11" fillId="0" borderId="196" xfId="31" applyNumberFormat="1" applyFont="1" applyBorder="1" applyAlignment="1">
      <alignment horizontal="right"/>
    </xf>
    <xf numFmtId="0" fontId="9" fillId="0" borderId="19" xfId="31" applyFont="1" applyBorder="1" applyAlignment="1">
      <alignment horizontal="center"/>
    </xf>
    <xf numFmtId="0" fontId="11" fillId="0" borderId="55" xfId="31" applyFont="1" applyBorder="1" applyAlignment="1">
      <alignment horizontal="center" wrapText="1"/>
    </xf>
    <xf numFmtId="3" fontId="11" fillId="0" borderId="18" xfId="28" applyNumberFormat="1" applyFont="1" applyBorder="1" applyAlignment="1">
      <alignment horizontal="right" wrapText="1"/>
    </xf>
    <xf numFmtId="3" fontId="11" fillId="0" borderId="133" xfId="31" applyNumberFormat="1" applyFont="1" applyBorder="1" applyAlignment="1">
      <alignment horizontal="right"/>
    </xf>
    <xf numFmtId="0" fontId="9" fillId="0" borderId="201" xfId="31" applyFont="1" applyBorder="1" applyAlignment="1">
      <alignment horizontal="center"/>
    </xf>
    <xf numFmtId="0" fontId="11" fillId="0" borderId="54" xfId="31" applyFont="1" applyBorder="1" applyAlignment="1">
      <alignment horizontal="center" wrapText="1"/>
    </xf>
    <xf numFmtId="3" fontId="11" fillId="0" borderId="53" xfId="28" applyNumberFormat="1" applyFont="1" applyBorder="1" applyAlignment="1">
      <alignment horizontal="right" wrapText="1"/>
    </xf>
    <xf numFmtId="3" fontId="11" fillId="0" borderId="15" xfId="31" applyNumberFormat="1" applyFont="1" applyBorder="1" applyAlignment="1">
      <alignment horizontal="right"/>
    </xf>
    <xf numFmtId="3" fontId="39" fillId="0" borderId="53" xfId="28" applyNumberFormat="1" applyFont="1" applyBorder="1" applyAlignment="1">
      <alignment horizontal="right" wrapText="1"/>
    </xf>
    <xf numFmtId="3" fontId="43" fillId="0" borderId="0" xfId="0" applyNumberFormat="1" applyFont="1" applyAlignment="1">
      <alignment horizontal="right" wrapText="1"/>
    </xf>
    <xf numFmtId="3" fontId="34" fillId="0" borderId="197" xfId="0" applyNumberFormat="1" applyFont="1" applyBorder="1" applyAlignment="1">
      <alignment vertical="center"/>
    </xf>
    <xf numFmtId="0" fontId="9" fillId="0" borderId="138" xfId="31" applyFont="1" applyBorder="1" applyAlignment="1">
      <alignment horizontal="center" wrapText="1"/>
    </xf>
    <xf numFmtId="3" fontId="16" fillId="0" borderId="132" xfId="0" applyNumberFormat="1" applyFont="1" applyBorder="1" applyAlignment="1">
      <alignment horizontal="center" vertical="center" wrapText="1"/>
    </xf>
    <xf numFmtId="3" fontId="38" fillId="0" borderId="84" xfId="27" applyNumberFormat="1" applyFont="1" applyBorder="1"/>
    <xf numFmtId="3" fontId="19" fillId="0" borderId="55" xfId="30" applyNumberFormat="1" applyFont="1" applyBorder="1"/>
    <xf numFmtId="3" fontId="13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0" fontId="26" fillId="0" borderId="0" xfId="0" applyFont="1"/>
    <xf numFmtId="3" fontId="16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21" fillId="0" borderId="4" xfId="0" applyNumberFormat="1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19" fillId="0" borderId="101" xfId="30" applyNumberFormat="1" applyFont="1" applyBorder="1" applyAlignment="1">
      <alignment horizontal="left"/>
    </xf>
    <xf numFmtId="3" fontId="19" fillId="0" borderId="55" xfId="30" applyNumberFormat="1" applyFont="1" applyBorder="1" applyAlignment="1">
      <alignment horizontal="left"/>
    </xf>
    <xf numFmtId="3" fontId="16" fillId="0" borderId="18" xfId="0" applyNumberFormat="1" applyFont="1" applyBorder="1"/>
    <xf numFmtId="3" fontId="16" fillId="0" borderId="55" xfId="0" applyNumberFormat="1" applyFont="1" applyBorder="1"/>
    <xf numFmtId="3" fontId="16" fillId="0" borderId="12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6" fillId="0" borderId="93" xfId="30" applyNumberFormat="1" applyFont="1" applyBorder="1" applyAlignment="1">
      <alignment horizontal="left"/>
    </xf>
    <xf numFmtId="3" fontId="16" fillId="0" borderId="13" xfId="0" applyNumberFormat="1" applyFont="1" applyBorder="1"/>
    <xf numFmtId="3" fontId="16" fillId="0" borderId="84" xfId="0" applyNumberFormat="1" applyFont="1" applyBorder="1"/>
    <xf numFmtId="3" fontId="18" fillId="0" borderId="13" xfId="0" applyNumberFormat="1" applyFont="1" applyBorder="1"/>
    <xf numFmtId="3" fontId="34" fillId="0" borderId="12" xfId="0" applyNumberFormat="1" applyFont="1" applyBorder="1" applyAlignment="1">
      <alignment horizontal="center" vertical="center"/>
    </xf>
    <xf numFmtId="3" fontId="34" fillId="0" borderId="13" xfId="0" applyNumberFormat="1" applyFont="1" applyBorder="1" applyAlignment="1">
      <alignment horizontal="center"/>
    </xf>
    <xf numFmtId="3" fontId="34" fillId="0" borderId="93" xfId="0" applyNumberFormat="1" applyFont="1" applyBorder="1" applyAlignment="1">
      <alignment horizontal="center"/>
    </xf>
    <xf numFmtId="3" fontId="34" fillId="0" borderId="13" xfId="0" applyNumberFormat="1" applyFont="1" applyBorder="1"/>
    <xf numFmtId="3" fontId="34" fillId="0" borderId="84" xfId="0" applyNumberFormat="1" applyFont="1" applyBorder="1"/>
    <xf numFmtId="3" fontId="34" fillId="0" borderId="0" xfId="0" applyNumberFormat="1" applyFont="1" applyAlignment="1">
      <alignment vertical="center"/>
    </xf>
    <xf numFmtId="0" fontId="36" fillId="0" borderId="0" xfId="0" applyFont="1"/>
    <xf numFmtId="3" fontId="19" fillId="0" borderId="84" xfId="30" applyNumberFormat="1" applyFont="1" applyBorder="1" applyAlignment="1">
      <alignment horizontal="left"/>
    </xf>
    <xf numFmtId="3" fontId="18" fillId="0" borderId="0" xfId="0" applyNumberFormat="1" applyFont="1" applyAlignment="1">
      <alignment vertical="top"/>
    </xf>
    <xf numFmtId="3" fontId="34" fillId="0" borderId="0" xfId="0" applyNumberFormat="1" applyFont="1" applyAlignment="1">
      <alignment vertical="top"/>
    </xf>
    <xf numFmtId="3" fontId="19" fillId="0" borderId="0" xfId="0" applyNumberFormat="1" applyFont="1" applyAlignment="1">
      <alignment vertical="top"/>
    </xf>
    <xf numFmtId="3" fontId="16" fillId="0" borderId="12" xfId="0" applyNumberFormat="1" applyFont="1" applyBorder="1" applyAlignment="1">
      <alignment horizontal="center" vertical="center"/>
    </xf>
    <xf numFmtId="3" fontId="16" fillId="0" borderId="84" xfId="30" applyNumberFormat="1" applyFont="1" applyBorder="1"/>
    <xf numFmtId="0" fontId="0" fillId="0" borderId="13" xfId="0" applyBorder="1"/>
    <xf numFmtId="0" fontId="0" fillId="0" borderId="84" xfId="0" applyBorder="1"/>
    <xf numFmtId="3" fontId="19" fillId="0" borderId="84" xfId="30" applyNumberFormat="1" applyFont="1" applyBorder="1"/>
    <xf numFmtId="3" fontId="34" fillId="0" borderId="0" xfId="0" applyNumberFormat="1" applyFont="1"/>
    <xf numFmtId="3" fontId="16" fillId="0" borderId="0" xfId="0" applyNumberFormat="1" applyFont="1" applyAlignment="1">
      <alignment vertical="top"/>
    </xf>
    <xf numFmtId="3" fontId="35" fillId="0" borderId="0" xfId="0" applyNumberFormat="1" applyFont="1" applyAlignment="1">
      <alignment vertical="top"/>
    </xf>
    <xf numFmtId="3" fontId="19" fillId="0" borderId="11" xfId="0" applyNumberFormat="1" applyFont="1" applyBorder="1"/>
    <xf numFmtId="3" fontId="19" fillId="0" borderId="85" xfId="0" applyNumberFormat="1" applyFont="1" applyBorder="1"/>
    <xf numFmtId="3" fontId="34" fillId="0" borderId="12" xfId="0" applyNumberFormat="1" applyFont="1" applyBorder="1" applyAlignment="1">
      <alignment horizontal="center" vertical="top"/>
    </xf>
    <xf numFmtId="3" fontId="34" fillId="0" borderId="81" xfId="0" applyNumberFormat="1" applyFont="1" applyBorder="1" applyAlignment="1">
      <alignment horizontal="center"/>
    </xf>
    <xf numFmtId="3" fontId="34" fillId="0" borderId="112" xfId="0" applyNumberFormat="1" applyFont="1" applyBorder="1" applyAlignment="1">
      <alignment horizontal="center"/>
    </xf>
    <xf numFmtId="3" fontId="34" fillId="0" borderId="81" xfId="0" applyNumberFormat="1" applyFont="1" applyBorder="1"/>
    <xf numFmtId="3" fontId="16" fillId="0" borderId="20" xfId="0" applyNumberFormat="1" applyFont="1" applyBorder="1" applyAlignment="1">
      <alignment horizontal="center" vertical="top"/>
    </xf>
    <xf numFmtId="3" fontId="34" fillId="0" borderId="36" xfId="0" applyNumberFormat="1" applyFont="1" applyBorder="1" applyAlignment="1">
      <alignment horizontal="center"/>
    </xf>
    <xf numFmtId="3" fontId="34" fillId="0" borderId="111" xfId="0" applyNumberFormat="1" applyFont="1" applyBorder="1" applyAlignment="1">
      <alignment horizontal="center"/>
    </xf>
    <xf numFmtId="3" fontId="34" fillId="0" borderId="36" xfId="0" applyNumberFormat="1" applyFont="1" applyBorder="1"/>
    <xf numFmtId="3" fontId="34" fillId="0" borderId="95" xfId="0" applyNumberFormat="1" applyFont="1" applyBorder="1"/>
    <xf numFmtId="3" fontId="16" fillId="0" borderId="13" xfId="0" applyNumberFormat="1" applyFont="1" applyBorder="1" applyAlignment="1">
      <alignment horizontal="center" vertical="top"/>
    </xf>
    <xf numFmtId="3" fontId="19" fillId="0" borderId="0" xfId="0" applyNumberFormat="1" applyFont="1" applyAlignment="1">
      <alignment vertical="center"/>
    </xf>
    <xf numFmtId="3" fontId="19" fillId="0" borderId="55" xfId="30" applyNumberFormat="1" applyFont="1" applyBorder="1" applyAlignment="1">
      <alignment wrapText="1"/>
    </xf>
    <xf numFmtId="3" fontId="19" fillId="0" borderId="84" xfId="30" applyNumberFormat="1" applyFont="1" applyBorder="1" applyAlignment="1">
      <alignment wrapText="1"/>
    </xf>
    <xf numFmtId="3" fontId="16" fillId="0" borderId="12" xfId="0" applyNumberFormat="1" applyFont="1" applyBorder="1" applyAlignment="1">
      <alignment horizontal="center" vertical="top"/>
    </xf>
    <xf numFmtId="0" fontId="25" fillId="0" borderId="0" xfId="0" applyFont="1"/>
    <xf numFmtId="3" fontId="35" fillId="0" borderId="0" xfId="0" applyNumberFormat="1" applyFont="1" applyAlignment="1">
      <alignment vertical="center"/>
    </xf>
    <xf numFmtId="0" fontId="37" fillId="0" borderId="0" xfId="0" applyFont="1"/>
    <xf numFmtId="3" fontId="19" fillId="0" borderId="34" xfId="0" applyNumberFormat="1" applyFont="1" applyBorder="1"/>
    <xf numFmtId="3" fontId="16" fillId="0" borderId="94" xfId="0" applyNumberFormat="1" applyFont="1" applyBorder="1"/>
    <xf numFmtId="3" fontId="16" fillId="0" borderId="34" xfId="0" applyNumberFormat="1" applyFont="1" applyBorder="1"/>
    <xf numFmtId="3" fontId="16" fillId="0" borderId="33" xfId="0" applyNumberFormat="1" applyFont="1" applyBorder="1" applyAlignment="1">
      <alignment horizontal="center" vertical="top"/>
    </xf>
    <xf numFmtId="3" fontId="16" fillId="0" borderId="34" xfId="0" applyNumberFormat="1" applyFont="1" applyBorder="1" applyAlignment="1">
      <alignment horizontal="center"/>
    </xf>
    <xf numFmtId="3" fontId="16" fillId="0" borderId="34" xfId="30" applyNumberFormat="1" applyFont="1" applyBorder="1" applyAlignment="1">
      <alignment wrapText="1"/>
    </xf>
    <xf numFmtId="3" fontId="19" fillId="0" borderId="102" xfId="30" applyNumberFormat="1" applyFont="1" applyBorder="1" applyAlignment="1">
      <alignment wrapText="1"/>
    </xf>
    <xf numFmtId="3" fontId="19" fillId="0" borderId="94" xfId="30" applyNumberFormat="1" applyFont="1" applyBorder="1" applyAlignment="1">
      <alignment wrapText="1"/>
    </xf>
    <xf numFmtId="3" fontId="34" fillId="0" borderId="52" xfId="0" applyNumberFormat="1" applyFont="1" applyBorder="1" applyAlignment="1">
      <alignment horizontal="center" vertical="center"/>
    </xf>
    <xf numFmtId="3" fontId="34" fillId="0" borderId="36" xfId="30" applyNumberFormat="1" applyFont="1" applyBorder="1"/>
    <xf numFmtId="3" fontId="19" fillId="0" borderId="94" xfId="0" applyNumberFormat="1" applyFont="1" applyBorder="1"/>
    <xf numFmtId="0" fontId="20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center" vertical="top"/>
    </xf>
    <xf numFmtId="3" fontId="19" fillId="0" borderId="0" xfId="0" applyNumberFormat="1" applyFont="1" applyAlignment="1">
      <alignment horizontal="right"/>
    </xf>
    <xf numFmtId="3" fontId="16" fillId="0" borderId="4" xfId="26" applyNumberFormat="1" applyFont="1" applyBorder="1" applyAlignment="1">
      <alignment horizontal="center" vertical="center" wrapText="1"/>
    </xf>
    <xf numFmtId="3" fontId="16" fillId="0" borderId="55" xfId="0" applyNumberFormat="1" applyFont="1" applyBorder="1" applyAlignment="1">
      <alignment horizontal="center"/>
    </xf>
    <xf numFmtId="3" fontId="19" fillId="0" borderId="18" xfId="30" applyNumberFormat="1" applyFont="1" applyBorder="1"/>
    <xf numFmtId="3" fontId="16" fillId="0" borderId="18" xfId="30" applyNumberFormat="1" applyFont="1" applyBorder="1" applyAlignment="1">
      <alignment horizontal="center"/>
    </xf>
    <xf numFmtId="3" fontId="19" fillId="0" borderId="51" xfId="0" applyNumberFormat="1" applyFont="1" applyBorder="1"/>
    <xf numFmtId="3" fontId="16" fillId="0" borderId="22" xfId="0" applyNumberFormat="1" applyFont="1" applyBorder="1"/>
    <xf numFmtId="3" fontId="16" fillId="0" borderId="84" xfId="0" applyNumberFormat="1" applyFont="1" applyBorder="1" applyAlignment="1">
      <alignment horizontal="center"/>
    </xf>
    <xf numFmtId="3" fontId="16" fillId="0" borderId="13" xfId="30" applyNumberFormat="1" applyFont="1" applyBorder="1"/>
    <xf numFmtId="3" fontId="19" fillId="0" borderId="38" xfId="0" applyNumberFormat="1" applyFont="1" applyBorder="1"/>
    <xf numFmtId="3" fontId="16" fillId="0" borderId="14" xfId="0" applyNumberFormat="1" applyFont="1" applyBorder="1"/>
    <xf numFmtId="3" fontId="34" fillId="0" borderId="84" xfId="0" applyNumberFormat="1" applyFont="1" applyBorder="1" applyAlignment="1">
      <alignment horizontal="center" vertical="center"/>
    </xf>
    <xf numFmtId="3" fontId="34" fillId="0" borderId="13" xfId="30" applyNumberFormat="1" applyFont="1" applyBorder="1"/>
    <xf numFmtId="3" fontId="34" fillId="0" borderId="13" xfId="0" applyNumberFormat="1" applyFont="1" applyBorder="1" applyAlignment="1">
      <alignment vertical="center"/>
    </xf>
    <xf numFmtId="3" fontId="34" fillId="0" borderId="38" xfId="0" applyNumberFormat="1" applyFont="1" applyBorder="1"/>
    <xf numFmtId="3" fontId="34" fillId="0" borderId="13" xfId="0" applyNumberFormat="1" applyFont="1" applyBorder="1" applyAlignment="1">
      <alignment horizontal="right"/>
    </xf>
    <xf numFmtId="3" fontId="34" fillId="0" borderId="14" xfId="0" applyNumberFormat="1" applyFont="1" applyBorder="1" applyAlignment="1">
      <alignment horizontal="right"/>
    </xf>
    <xf numFmtId="3" fontId="34" fillId="0" borderId="0" xfId="0" applyNumberFormat="1" applyFont="1" applyAlignment="1">
      <alignment horizontal="right" vertical="center"/>
    </xf>
    <xf numFmtId="3" fontId="19" fillId="0" borderId="13" xfId="30" applyNumberFormat="1" applyFont="1" applyBorder="1"/>
    <xf numFmtId="3" fontId="16" fillId="0" borderId="13" xfId="30" applyNumberFormat="1" applyFont="1" applyBorder="1" applyAlignment="1">
      <alignment horizontal="center"/>
    </xf>
    <xf numFmtId="3" fontId="19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 vertical="center"/>
    </xf>
    <xf numFmtId="3" fontId="16" fillId="0" borderId="13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vertical="center"/>
    </xf>
    <xf numFmtId="3" fontId="22" fillId="0" borderId="88" xfId="0" applyNumberFormat="1" applyFont="1" applyBorder="1" applyAlignment="1">
      <alignment vertical="center"/>
    </xf>
    <xf numFmtId="3" fontId="22" fillId="0" borderId="90" xfId="0" applyNumberFormat="1" applyFont="1" applyBorder="1" applyAlignment="1">
      <alignment vertical="center"/>
    </xf>
    <xf numFmtId="3" fontId="22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vertical="center"/>
    </xf>
    <xf numFmtId="3" fontId="34" fillId="0" borderId="81" xfId="0" applyNumberFormat="1" applyFont="1" applyBorder="1" applyAlignment="1">
      <alignment horizontal="center" vertical="center"/>
    </xf>
    <xf numFmtId="3" fontId="34" fillId="0" borderId="99" xfId="0" applyNumberFormat="1" applyFont="1" applyBorder="1" applyAlignment="1">
      <alignment horizontal="center" vertical="center"/>
    </xf>
    <xf numFmtId="3" fontId="34" fillId="0" borderId="81" xfId="0" applyNumberFormat="1" applyFont="1" applyBorder="1" applyAlignment="1">
      <alignment vertical="center"/>
    </xf>
    <xf numFmtId="3" fontId="19" fillId="0" borderId="18" xfId="30" applyNumberFormat="1" applyFont="1" applyBorder="1" applyAlignment="1">
      <alignment wrapText="1"/>
    </xf>
    <xf numFmtId="3" fontId="22" fillId="0" borderId="51" xfId="0" applyNumberFormat="1" applyFont="1" applyBorder="1"/>
    <xf numFmtId="3" fontId="22" fillId="0" borderId="38" xfId="0" applyNumberFormat="1" applyFont="1" applyBorder="1"/>
    <xf numFmtId="3" fontId="19" fillId="0" borderId="12" xfId="0" applyNumberFormat="1" applyFont="1" applyBorder="1" applyAlignment="1">
      <alignment horizontal="center" vertical="center"/>
    </xf>
    <xf numFmtId="3" fontId="19" fillId="0" borderId="84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vertical="center"/>
    </xf>
    <xf numFmtId="3" fontId="19" fillId="0" borderId="95" xfId="0" applyNumberFormat="1" applyFont="1" applyBorder="1" applyAlignment="1">
      <alignment horizontal="center" vertical="center"/>
    </xf>
    <xf numFmtId="3" fontId="19" fillId="0" borderId="36" xfId="0" applyNumberFormat="1" applyFont="1" applyBorder="1" applyAlignment="1">
      <alignment vertical="center"/>
    </xf>
    <xf numFmtId="3" fontId="34" fillId="0" borderId="118" xfId="0" applyNumberFormat="1" applyFont="1" applyBorder="1"/>
    <xf numFmtId="3" fontId="34" fillId="0" borderId="36" xfId="0" applyNumberFormat="1" applyFont="1" applyBorder="1" applyAlignment="1">
      <alignment horizontal="right"/>
    </xf>
    <xf numFmtId="3" fontId="34" fillId="0" borderId="37" xfId="0" applyNumberFormat="1" applyFont="1" applyBorder="1" applyAlignment="1">
      <alignment horizontal="right"/>
    </xf>
    <xf numFmtId="3" fontId="16" fillId="0" borderId="84" xfId="0" applyNumberFormat="1" applyFont="1" applyBorder="1" applyAlignment="1">
      <alignment horizontal="center" vertical="top"/>
    </xf>
    <xf numFmtId="3" fontId="16" fillId="0" borderId="13" xfId="30" applyNumberFormat="1" applyFont="1" applyBorder="1" applyAlignment="1">
      <alignment horizontal="left"/>
    </xf>
    <xf numFmtId="3" fontId="16" fillId="0" borderId="13" xfId="30" applyNumberFormat="1" applyFont="1" applyBorder="1" applyAlignment="1">
      <alignment horizontal="center" vertical="top" wrapText="1"/>
    </xf>
    <xf numFmtId="3" fontId="18" fillId="0" borderId="13" xfId="0" applyNumberFormat="1" applyFont="1" applyBorder="1" applyAlignment="1">
      <alignment horizontal="right"/>
    </xf>
    <xf numFmtId="3" fontId="18" fillId="0" borderId="14" xfId="0" applyNumberFormat="1" applyFont="1" applyBorder="1" applyAlignment="1">
      <alignment horizontal="right"/>
    </xf>
    <xf numFmtId="3" fontId="16" fillId="0" borderId="101" xfId="0" applyNumberFormat="1" applyFont="1" applyBorder="1" applyAlignment="1">
      <alignment horizontal="center" vertical="top"/>
    </xf>
    <xf numFmtId="3" fontId="18" fillId="0" borderId="18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90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 vertical="top"/>
    </xf>
    <xf numFmtId="3" fontId="22" fillId="0" borderId="0" xfId="0" applyNumberFormat="1" applyFont="1" applyAlignment="1">
      <alignment vertical="top"/>
    </xf>
    <xf numFmtId="3" fontId="19" fillId="0" borderId="81" xfId="0" applyNumberFormat="1" applyFont="1" applyBorder="1" applyAlignment="1">
      <alignment horizontal="center" vertical="center"/>
    </xf>
    <xf numFmtId="3" fontId="19" fillId="0" borderId="99" xfId="0" applyNumberFormat="1" applyFont="1" applyBorder="1" applyAlignment="1">
      <alignment horizontal="center" vertical="center"/>
    </xf>
    <xf numFmtId="3" fontId="19" fillId="0" borderId="81" xfId="0" applyNumberFormat="1" applyFont="1" applyBorder="1" applyAlignment="1">
      <alignment vertical="center"/>
    </xf>
    <xf numFmtId="3" fontId="34" fillId="0" borderId="13" xfId="30" applyNumberFormat="1" applyFont="1" applyBorder="1" applyAlignment="1">
      <alignment horizontal="left"/>
    </xf>
    <xf numFmtId="3" fontId="19" fillId="0" borderId="13" xfId="30" applyNumberFormat="1" applyFont="1" applyBorder="1" applyAlignment="1">
      <alignment horizontal="center" vertical="center"/>
    </xf>
    <xf numFmtId="3" fontId="35" fillId="0" borderId="0" xfId="0" applyNumberFormat="1" applyFont="1" applyAlignment="1">
      <alignment horizontal="right" vertical="center"/>
    </xf>
    <xf numFmtId="3" fontId="16" fillId="0" borderId="84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vertical="center"/>
    </xf>
    <xf numFmtId="3" fontId="19" fillId="0" borderId="93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3" fontId="19" fillId="0" borderId="13" xfId="30" applyNumberFormat="1" applyFont="1" applyBorder="1" applyAlignment="1">
      <alignment horizontal="left"/>
    </xf>
    <xf numFmtId="3" fontId="18" fillId="0" borderId="12" xfId="0" applyNumberFormat="1" applyFont="1" applyBorder="1" applyAlignment="1">
      <alignment horizontal="center" vertical="top"/>
    </xf>
    <xf numFmtId="3" fontId="18" fillId="0" borderId="13" xfId="30" applyNumberFormat="1" applyFont="1" applyBorder="1" applyAlignment="1">
      <alignment horizontal="left"/>
    </xf>
    <xf numFmtId="3" fontId="18" fillId="0" borderId="13" xfId="30" applyNumberFormat="1" applyFont="1" applyBorder="1" applyAlignment="1">
      <alignment horizontal="center" vertical="top" wrapText="1"/>
    </xf>
    <xf numFmtId="3" fontId="22" fillId="0" borderId="84" xfId="0" applyNumberFormat="1" applyFont="1" applyBorder="1" applyAlignment="1">
      <alignment horizontal="center" vertical="center"/>
    </xf>
    <xf numFmtId="3" fontId="22" fillId="0" borderId="13" xfId="3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vertical="center"/>
    </xf>
    <xf numFmtId="3" fontId="35" fillId="0" borderId="38" xfId="0" applyNumberFormat="1" applyFont="1" applyBorder="1"/>
    <xf numFmtId="3" fontId="35" fillId="0" borderId="13" xfId="0" applyNumberFormat="1" applyFont="1" applyBorder="1" applyAlignment="1">
      <alignment horizontal="right"/>
    </xf>
    <xf numFmtId="3" fontId="35" fillId="0" borderId="14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vertical="top"/>
    </xf>
    <xf numFmtId="3" fontId="16" fillId="0" borderId="0" xfId="0" applyNumberFormat="1" applyFont="1" applyAlignment="1">
      <alignment horizontal="right" vertical="top"/>
    </xf>
    <xf numFmtId="3" fontId="16" fillId="0" borderId="13" xfId="30" applyNumberFormat="1" applyFont="1" applyBorder="1" applyAlignment="1">
      <alignment wrapText="1"/>
    </xf>
    <xf numFmtId="3" fontId="22" fillId="0" borderId="11" xfId="30" applyNumberFormat="1" applyFont="1" applyBorder="1" applyAlignment="1">
      <alignment horizontal="center" vertical="center"/>
    </xf>
    <xf numFmtId="3" fontId="22" fillId="0" borderId="85" xfId="0" applyNumberFormat="1" applyFont="1" applyBorder="1" applyAlignment="1">
      <alignment horizontal="right" vertical="center"/>
    </xf>
    <xf numFmtId="3" fontId="19" fillId="0" borderId="18" xfId="0" applyNumberFormat="1" applyFont="1" applyBorder="1" applyAlignment="1">
      <alignment horizontal="left"/>
    </xf>
    <xf numFmtId="3" fontId="19" fillId="0" borderId="34" xfId="30" applyNumberFormat="1" applyFont="1" applyBorder="1" applyAlignment="1">
      <alignment horizontal="center"/>
    </xf>
    <xf numFmtId="3" fontId="19" fillId="0" borderId="34" xfId="0" applyNumberFormat="1" applyFont="1" applyBorder="1" applyAlignment="1">
      <alignment vertical="center"/>
    </xf>
    <xf numFmtId="3" fontId="19" fillId="0" borderId="39" xfId="0" applyNumberFormat="1" applyFont="1" applyBorder="1" applyAlignment="1">
      <alignment vertical="center"/>
    </xf>
    <xf numFmtId="3" fontId="19" fillId="0" borderId="34" xfId="0" applyNumberFormat="1" applyFont="1" applyBorder="1" applyAlignment="1">
      <alignment horizontal="right" vertical="center"/>
    </xf>
    <xf numFmtId="3" fontId="19" fillId="0" borderId="35" xfId="0" applyNumberFormat="1" applyFont="1" applyBorder="1" applyAlignment="1">
      <alignment horizontal="right" vertical="center"/>
    </xf>
    <xf numFmtId="3" fontId="19" fillId="0" borderId="0" xfId="0" applyNumberFormat="1" applyFont="1" applyAlignment="1">
      <alignment horizontal="right" vertical="top"/>
    </xf>
    <xf numFmtId="3" fontId="16" fillId="0" borderId="33" xfId="0" applyNumberFormat="1" applyFont="1" applyBorder="1" applyAlignment="1">
      <alignment horizontal="center"/>
    </xf>
    <xf numFmtId="3" fontId="16" fillId="0" borderId="94" xfId="0" applyNumberFormat="1" applyFont="1" applyBorder="1" applyAlignment="1">
      <alignment horizontal="center"/>
    </xf>
    <xf numFmtId="3" fontId="19" fillId="0" borderId="56" xfId="0" applyNumberFormat="1" applyFont="1" applyBorder="1"/>
    <xf numFmtId="3" fontId="19" fillId="0" borderId="102" xfId="0" applyNumberFormat="1" applyFont="1" applyBorder="1"/>
    <xf numFmtId="3" fontId="19" fillId="0" borderId="34" xfId="0" applyNumberFormat="1" applyFont="1" applyBorder="1" applyAlignment="1">
      <alignment horizontal="right"/>
    </xf>
    <xf numFmtId="3" fontId="19" fillId="0" borderId="39" xfId="0" applyNumberFormat="1" applyFont="1" applyBorder="1" applyAlignment="1">
      <alignment horizontal="right"/>
    </xf>
    <xf numFmtId="3" fontId="19" fillId="0" borderId="35" xfId="0" applyNumberFormat="1" applyFont="1" applyBorder="1" applyAlignment="1">
      <alignment horizontal="right"/>
    </xf>
    <xf numFmtId="3" fontId="16" fillId="0" borderId="17" xfId="30" applyNumberFormat="1" applyFont="1" applyBorder="1"/>
    <xf numFmtId="3" fontId="19" fillId="0" borderId="0" xfId="0" applyNumberFormat="1" applyFont="1"/>
    <xf numFmtId="3" fontId="19" fillId="0" borderId="13" xfId="0" applyNumberFormat="1" applyFont="1" applyBorder="1" applyAlignment="1">
      <alignment horizontal="center"/>
    </xf>
    <xf numFmtId="3" fontId="34" fillId="0" borderId="17" xfId="30" applyNumberFormat="1" applyFont="1" applyBorder="1"/>
    <xf numFmtId="3" fontId="19" fillId="0" borderId="13" xfId="0" applyNumberFormat="1" applyFont="1" applyBorder="1"/>
    <xf numFmtId="3" fontId="18" fillId="0" borderId="12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3" xfId="30" applyNumberFormat="1" applyFont="1" applyBorder="1" applyAlignment="1">
      <alignment horizontal="center"/>
    </xf>
    <xf numFmtId="3" fontId="18" fillId="0" borderId="14" xfId="0" applyNumberFormat="1" applyFont="1" applyBorder="1"/>
    <xf numFmtId="3" fontId="22" fillId="0" borderId="0" xfId="0" applyNumberFormat="1" applyFont="1" applyAlignment="1">
      <alignment horizontal="right"/>
    </xf>
    <xf numFmtId="3" fontId="22" fillId="0" borderId="0" xfId="0" applyNumberFormat="1" applyFont="1"/>
    <xf numFmtId="3" fontId="22" fillId="0" borderId="13" xfId="0" applyNumberFormat="1" applyFont="1" applyBorder="1" applyAlignment="1">
      <alignment horizontal="center"/>
    </xf>
    <xf numFmtId="3" fontId="35" fillId="0" borderId="17" xfId="30" applyNumberFormat="1" applyFont="1" applyBorder="1"/>
    <xf numFmtId="3" fontId="22" fillId="0" borderId="13" xfId="0" applyNumberFormat="1" applyFont="1" applyBorder="1"/>
    <xf numFmtId="3" fontId="35" fillId="0" borderId="0" xfId="0" applyNumberFormat="1" applyFont="1" applyAlignment="1">
      <alignment horizontal="right"/>
    </xf>
    <xf numFmtId="3" fontId="35" fillId="0" borderId="0" xfId="0" applyNumberFormat="1" applyFont="1"/>
    <xf numFmtId="3" fontId="16" fillId="0" borderId="13" xfId="0" applyNumberFormat="1" applyFont="1" applyBorder="1" applyAlignment="1">
      <alignment horizontal="right" vertical="center"/>
    </xf>
    <xf numFmtId="3" fontId="19" fillId="0" borderId="13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19" fillId="0" borderId="13" xfId="3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right" vertical="center"/>
    </xf>
    <xf numFmtId="3" fontId="34" fillId="0" borderId="14" xfId="0" applyNumberFormat="1" applyFont="1" applyBorder="1" applyAlignment="1">
      <alignment horizontal="right" vertical="center"/>
    </xf>
    <xf numFmtId="3" fontId="16" fillId="0" borderId="13" xfId="30" applyNumberFormat="1" applyFont="1" applyBorder="1" applyAlignment="1">
      <alignment vertical="top" wrapText="1"/>
    </xf>
    <xf numFmtId="3" fontId="16" fillId="0" borderId="17" xfId="30" applyNumberFormat="1" applyFont="1" applyBorder="1" applyAlignment="1">
      <alignment wrapText="1"/>
    </xf>
    <xf numFmtId="3" fontId="16" fillId="0" borderId="17" xfId="30" applyNumberFormat="1" applyFont="1" applyBorder="1" applyAlignment="1">
      <alignment vertical="top" wrapText="1"/>
    </xf>
    <xf numFmtId="3" fontId="18" fillId="0" borderId="17" xfId="30" applyNumberFormat="1" applyFont="1" applyBorder="1"/>
    <xf numFmtId="3" fontId="19" fillId="0" borderId="93" xfId="0" applyNumberFormat="1" applyFont="1" applyBorder="1" applyAlignment="1">
      <alignment horizontal="center" vertical="center"/>
    </xf>
    <xf numFmtId="3" fontId="43" fillId="0" borderId="13" xfId="0" applyNumberFormat="1" applyFont="1" applyBorder="1" applyAlignment="1">
      <alignment horizontal="center"/>
    </xf>
    <xf numFmtId="3" fontId="43" fillId="0" borderId="17" xfId="30" applyNumberFormat="1" applyFont="1" applyBorder="1" applyAlignment="1">
      <alignment horizontal="left" wrapText="1"/>
    </xf>
    <xf numFmtId="3" fontId="43" fillId="0" borderId="13" xfId="30" applyNumberFormat="1" applyFont="1" applyBorder="1" applyAlignment="1">
      <alignment horizontal="center"/>
    </xf>
    <xf numFmtId="3" fontId="43" fillId="0" borderId="13" xfId="0" applyNumberFormat="1" applyFont="1" applyBorder="1" applyAlignment="1">
      <alignment vertical="center"/>
    </xf>
    <xf numFmtId="3" fontId="43" fillId="0" borderId="0" xfId="0" applyNumberFormat="1" applyFont="1" applyAlignment="1">
      <alignment horizontal="right" vertical="center"/>
    </xf>
    <xf numFmtId="3" fontId="43" fillId="0" borderId="0" xfId="0" applyNumberFormat="1" applyFont="1" applyAlignment="1">
      <alignment vertical="center"/>
    </xf>
    <xf numFmtId="3" fontId="16" fillId="0" borderId="52" xfId="0" applyNumberFormat="1" applyFont="1" applyBorder="1"/>
    <xf numFmtId="3" fontId="19" fillId="0" borderId="11" xfId="30" applyNumberFormat="1" applyFont="1" applyBorder="1" applyAlignment="1">
      <alignment horizontal="center" vertical="center"/>
    </xf>
    <xf numFmtId="3" fontId="16" fillId="0" borderId="34" xfId="30" applyNumberFormat="1" applyFont="1" applyBorder="1" applyAlignment="1">
      <alignment horizontal="center" vertical="center"/>
    </xf>
    <xf numFmtId="3" fontId="22" fillId="0" borderId="34" xfId="0" applyNumberFormat="1" applyFont="1" applyBorder="1" applyAlignment="1">
      <alignment vertical="center"/>
    </xf>
    <xf numFmtId="3" fontId="22" fillId="0" borderId="39" xfId="0" applyNumberFormat="1" applyFont="1" applyBorder="1" applyAlignment="1">
      <alignment vertical="center"/>
    </xf>
    <xf numFmtId="3" fontId="22" fillId="0" borderId="35" xfId="0" applyNumberFormat="1" applyFont="1" applyBorder="1" applyAlignment="1">
      <alignment vertical="center"/>
    </xf>
    <xf numFmtId="3" fontId="19" fillId="0" borderId="34" xfId="0" applyNumberFormat="1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right" vertical="center"/>
    </xf>
    <xf numFmtId="3" fontId="19" fillId="0" borderId="38" xfId="0" applyNumberFormat="1" applyFont="1" applyBorder="1" applyAlignment="1">
      <alignment horizontal="right" vertical="center"/>
    </xf>
    <xf numFmtId="3" fontId="16" fillId="0" borderId="14" xfId="0" applyNumberFormat="1" applyFont="1" applyBorder="1" applyAlignment="1">
      <alignment vertical="center"/>
    </xf>
    <xf numFmtId="3" fontId="35" fillId="0" borderId="12" xfId="0" applyNumberFormat="1" applyFont="1" applyBorder="1" applyAlignment="1">
      <alignment horizontal="left" vertical="center" wrapText="1"/>
    </xf>
    <xf numFmtId="3" fontId="35" fillId="0" borderId="84" xfId="0" applyNumberFormat="1" applyFont="1" applyBorder="1" applyAlignment="1">
      <alignment horizontal="left" vertical="center" wrapText="1"/>
    </xf>
    <xf numFmtId="3" fontId="35" fillId="0" borderId="13" xfId="0" applyNumberFormat="1" applyFont="1" applyBorder="1" applyAlignment="1">
      <alignment horizontal="left" vertical="center" wrapText="1"/>
    </xf>
    <xf numFmtId="3" fontId="35" fillId="0" borderId="13" xfId="0" applyNumberFormat="1" applyFont="1" applyBorder="1" applyAlignment="1">
      <alignment horizontal="right" vertical="center"/>
    </xf>
    <xf numFmtId="3" fontId="16" fillId="0" borderId="13" xfId="0" applyNumberFormat="1" applyFont="1" applyBorder="1" applyAlignment="1">
      <alignment horizontal="center" vertical="center" wrapText="1"/>
    </xf>
    <xf numFmtId="3" fontId="22" fillId="0" borderId="38" xfId="0" applyNumberFormat="1" applyFont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3" fontId="34" fillId="0" borderId="38" xfId="0" applyNumberFormat="1" applyFont="1" applyBorder="1" applyAlignment="1">
      <alignment horizontal="right" vertical="center"/>
    </xf>
    <xf numFmtId="3" fontId="16" fillId="0" borderId="13" xfId="0" applyNumberFormat="1" applyFont="1" applyBorder="1" applyAlignment="1">
      <alignment horizontal="right" vertical="top"/>
    </xf>
    <xf numFmtId="3" fontId="13" fillId="0" borderId="80" xfId="0" applyNumberFormat="1" applyFont="1" applyBorder="1"/>
    <xf numFmtId="3" fontId="16" fillId="0" borderId="80" xfId="0" applyNumberFormat="1" applyFont="1" applyBorder="1"/>
    <xf numFmtId="3" fontId="16" fillId="0" borderId="80" xfId="0" applyNumberFormat="1" applyFont="1" applyBorder="1" applyAlignment="1">
      <alignment horizontal="center"/>
    </xf>
    <xf numFmtId="3" fontId="16" fillId="0" borderId="80" xfId="0" applyNumberFormat="1" applyFont="1" applyBorder="1" applyAlignment="1">
      <alignment horizontal="right"/>
    </xf>
    <xf numFmtId="3" fontId="19" fillId="0" borderId="80" xfId="0" applyNumberFormat="1" applyFont="1" applyBorder="1" applyAlignment="1">
      <alignment horizontal="right"/>
    </xf>
    <xf numFmtId="3" fontId="18" fillId="0" borderId="0" xfId="0" applyNumberFormat="1" applyFont="1"/>
    <xf numFmtId="3" fontId="9" fillId="2" borderId="0" xfId="29" applyNumberFormat="1" applyFont="1" applyFill="1"/>
    <xf numFmtId="14" fontId="9" fillId="0" borderId="125" xfId="29" applyNumberFormat="1" applyFont="1" applyBorder="1" applyAlignment="1">
      <alignment horizontal="center" vertical="center" wrapText="1"/>
    </xf>
    <xf numFmtId="3" fontId="9" fillId="0" borderId="84" xfId="29" applyNumberFormat="1" applyFont="1" applyBorder="1" applyAlignment="1">
      <alignment horizontal="center" vertical="center" wrapText="1"/>
    </xf>
    <xf numFmtId="3" fontId="9" fillId="0" borderId="204" xfId="29" applyNumberFormat="1" applyFont="1" applyBorder="1" applyAlignment="1">
      <alignment horizontal="right" vertical="center" wrapText="1"/>
    </xf>
    <xf numFmtId="3" fontId="9" fillId="0" borderId="17" xfId="29" applyNumberFormat="1" applyFont="1" applyBorder="1" applyAlignment="1">
      <alignment horizontal="right" vertical="center" wrapText="1"/>
    </xf>
    <xf numFmtId="3" fontId="9" fillId="0" borderId="19" xfId="29" applyNumberFormat="1" applyFont="1" applyBorder="1" applyAlignment="1">
      <alignment horizontal="right" vertical="center" wrapText="1"/>
    </xf>
    <xf numFmtId="3" fontId="9" fillId="0" borderId="117" xfId="29" applyNumberFormat="1" applyFont="1" applyBorder="1" applyAlignment="1">
      <alignment horizontal="right" vertical="center" wrapText="1"/>
    </xf>
    <xf numFmtId="3" fontId="9" fillId="0" borderId="167" xfId="29" applyNumberFormat="1" applyFont="1" applyBorder="1" applyAlignment="1">
      <alignment horizontal="center" vertical="center" wrapText="1"/>
    </xf>
    <xf numFmtId="3" fontId="9" fillId="0" borderId="205" xfId="29" applyNumberFormat="1" applyFont="1" applyBorder="1" applyAlignment="1">
      <alignment horizontal="center" vertical="center" wrapText="1"/>
    </xf>
    <xf numFmtId="0" fontId="9" fillId="0" borderId="40" xfId="29" applyFont="1" applyBorder="1" applyAlignment="1">
      <alignment horizontal="center" vertical="center" wrapText="1"/>
    </xf>
    <xf numFmtId="0" fontId="9" fillId="0" borderId="167" xfId="29" applyFont="1" applyBorder="1" applyAlignment="1">
      <alignment horizontal="center" vertical="center" wrapText="1"/>
    </xf>
    <xf numFmtId="3" fontId="9" fillId="0" borderId="96" xfId="29" applyNumberFormat="1" applyFont="1" applyBorder="1" applyAlignment="1">
      <alignment horizontal="center" vertical="center" wrapText="1"/>
    </xf>
    <xf numFmtId="0" fontId="9" fillId="0" borderId="87" xfId="29" applyFont="1" applyBorder="1" applyAlignment="1">
      <alignment horizontal="center" vertical="center" wrapText="1"/>
    </xf>
    <xf numFmtId="0" fontId="9" fillId="0" borderId="205" xfId="29" applyFont="1" applyBorder="1" applyAlignment="1">
      <alignment horizontal="center" vertical="center" wrapText="1"/>
    </xf>
    <xf numFmtId="3" fontId="9" fillId="0" borderId="109" xfId="29" applyNumberFormat="1" applyFont="1" applyBorder="1" applyAlignment="1">
      <alignment horizontal="center" vertical="center" wrapText="1"/>
    </xf>
    <xf numFmtId="3" fontId="9" fillId="0" borderId="36" xfId="29" applyNumberFormat="1" applyFont="1" applyBorder="1" applyAlignment="1">
      <alignment horizontal="center" vertical="top" wrapText="1"/>
    </xf>
    <xf numFmtId="3" fontId="9" fillId="0" borderId="93" xfId="29" applyNumberFormat="1" applyFont="1" applyBorder="1" applyAlignment="1">
      <alignment horizontal="right" vertical="center" wrapText="1"/>
    </xf>
    <xf numFmtId="3" fontId="28" fillId="0" borderId="13" xfId="29" applyNumberFormat="1" applyFont="1" applyBorder="1" applyAlignment="1">
      <alignment horizontal="left"/>
    </xf>
    <xf numFmtId="3" fontId="9" fillId="0" borderId="91" xfId="29" applyNumberFormat="1" applyFont="1" applyBorder="1" applyAlignment="1">
      <alignment horizontal="center" wrapText="1"/>
    </xf>
    <xf numFmtId="3" fontId="9" fillId="0" borderId="13" xfId="29" applyNumberFormat="1" applyFont="1" applyBorder="1" applyAlignment="1">
      <alignment horizontal="center" wrapText="1"/>
    </xf>
    <xf numFmtId="3" fontId="9" fillId="0" borderId="93" xfId="29" applyNumberFormat="1" applyFont="1" applyBorder="1" applyAlignment="1">
      <alignment horizontal="center" vertical="center" wrapText="1"/>
    </xf>
    <xf numFmtId="3" fontId="9" fillId="0" borderId="38" xfId="29" applyNumberFormat="1" applyFont="1" applyBorder="1" applyAlignment="1">
      <alignment horizontal="center" vertical="center" wrapText="1"/>
    </xf>
    <xf numFmtId="0" fontId="9" fillId="0" borderId="13" xfId="29" applyFont="1" applyBorder="1" applyAlignment="1">
      <alignment horizontal="center" vertical="center" wrapText="1"/>
    </xf>
    <xf numFmtId="0" fontId="9" fillId="0" borderId="17" xfId="29" applyFont="1" applyBorder="1" applyAlignment="1">
      <alignment horizontal="center" vertical="center" wrapText="1"/>
    </xf>
    <xf numFmtId="3" fontId="9" fillId="0" borderId="17" xfId="29" applyNumberFormat="1" applyFont="1" applyBorder="1" applyAlignment="1">
      <alignment horizontal="center" vertical="center" wrapText="1"/>
    </xf>
    <xf numFmtId="3" fontId="9" fillId="3" borderId="0" xfId="29" applyNumberFormat="1" applyFont="1" applyFill="1"/>
    <xf numFmtId="49" fontId="16" fillId="0" borderId="0" xfId="29" applyNumberFormat="1" applyFont="1" applyAlignment="1">
      <alignment horizontal="center"/>
    </xf>
    <xf numFmtId="0" fontId="12" fillId="0" borderId="13" xfId="28" applyFont="1" applyBorder="1" applyAlignment="1">
      <alignment vertical="center" wrapText="1"/>
    </xf>
    <xf numFmtId="0" fontId="9" fillId="0" borderId="0" xfId="47" applyFont="1" applyAlignment="1" applyProtection="1">
      <alignment horizontal="center" vertical="center"/>
      <protection locked="0"/>
    </xf>
    <xf numFmtId="0" fontId="9" fillId="0" borderId="0" xfId="47" applyFont="1" applyProtection="1">
      <protection locked="0"/>
    </xf>
    <xf numFmtId="0" fontId="9" fillId="0" borderId="0" xfId="31" applyFont="1" applyProtection="1">
      <protection locked="0"/>
    </xf>
    <xf numFmtId="0" fontId="9" fillId="0" borderId="0" xfId="31" applyFont="1" applyAlignment="1" applyProtection="1">
      <alignment horizontal="center" vertical="center"/>
      <protection locked="0"/>
    </xf>
    <xf numFmtId="0" fontId="16" fillId="0" borderId="0" xfId="31" applyFont="1" applyAlignment="1" applyProtection="1">
      <alignment horizontal="center" vertical="top"/>
      <protection locked="0"/>
    </xf>
    <xf numFmtId="0" fontId="16" fillId="0" borderId="0" xfId="31" applyFont="1" applyAlignment="1" applyProtection="1">
      <alignment wrapText="1"/>
      <protection locked="0"/>
    </xf>
    <xf numFmtId="3" fontId="16" fillId="0" borderId="0" xfId="31" applyNumberFormat="1" applyFont="1" applyAlignment="1" applyProtection="1">
      <alignment horizontal="center" vertical="center" wrapText="1"/>
      <protection locked="0"/>
    </xf>
    <xf numFmtId="3" fontId="16" fillId="0" borderId="0" xfId="31" applyNumberFormat="1" applyFont="1" applyProtection="1">
      <protection locked="0"/>
    </xf>
    <xf numFmtId="3" fontId="16" fillId="0" borderId="0" xfId="31" applyNumberFormat="1" applyFont="1" applyAlignment="1" applyProtection="1">
      <alignment horizontal="right"/>
      <protection locked="0"/>
    </xf>
    <xf numFmtId="3" fontId="18" fillId="0" borderId="0" xfId="31" applyNumberFormat="1" applyFont="1" applyAlignment="1" applyProtection="1">
      <alignment horizontal="right"/>
      <protection locked="0"/>
    </xf>
    <xf numFmtId="0" fontId="13" fillId="0" borderId="0" xfId="31" applyFont="1" applyAlignment="1" applyProtection="1">
      <alignment horizontal="center"/>
      <protection locked="0"/>
    </xf>
    <xf numFmtId="0" fontId="13" fillId="0" borderId="0" xfId="32" applyFont="1" applyAlignment="1" applyProtection="1">
      <alignment horizontal="center" wrapText="1"/>
      <protection locked="0"/>
    </xf>
    <xf numFmtId="3" fontId="13" fillId="0" borderId="0" xfId="32" applyNumberFormat="1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31" applyFont="1" applyAlignment="1" applyProtection="1">
      <alignment horizontal="center" vertical="center"/>
      <protection locked="0"/>
    </xf>
    <xf numFmtId="0" fontId="19" fillId="0" borderId="103" xfId="32" applyFont="1" applyBorder="1" applyAlignment="1" applyProtection="1">
      <alignment horizontal="center" vertical="center"/>
      <protection locked="0"/>
    </xf>
    <xf numFmtId="3" fontId="19" fillId="0" borderId="103" xfId="32" applyNumberFormat="1" applyFont="1" applyBorder="1" applyAlignment="1" applyProtection="1">
      <alignment vertical="center"/>
      <protection locked="0"/>
    </xf>
    <xf numFmtId="3" fontId="19" fillId="0" borderId="103" xfId="31" applyNumberFormat="1" applyFont="1" applyBorder="1" applyAlignment="1" applyProtection="1">
      <alignment vertical="center"/>
      <protection locked="0"/>
    </xf>
    <xf numFmtId="0" fontId="19" fillId="0" borderId="0" xfId="31" applyFont="1" applyAlignment="1" applyProtection="1">
      <alignment horizontal="left" vertical="center"/>
      <protection locked="0"/>
    </xf>
    <xf numFmtId="0" fontId="19" fillId="0" borderId="50" xfId="32" applyFont="1" applyBorder="1" applyAlignment="1" applyProtection="1">
      <alignment horizontal="center" vertical="center"/>
      <protection locked="0"/>
    </xf>
    <xf numFmtId="3" fontId="19" fillId="0" borderId="50" xfId="32" applyNumberFormat="1" applyFont="1" applyBorder="1" applyAlignment="1" applyProtection="1">
      <alignment vertical="center"/>
      <protection locked="0"/>
    </xf>
    <xf numFmtId="3" fontId="19" fillId="0" borderId="50" xfId="31" applyNumberFormat="1" applyFont="1" applyBorder="1" applyAlignment="1" applyProtection="1">
      <alignment vertical="center"/>
      <protection locked="0"/>
    </xf>
    <xf numFmtId="3" fontId="16" fillId="0" borderId="0" xfId="47" applyNumberFormat="1" applyFont="1" applyAlignment="1" applyProtection="1">
      <alignment horizontal="left" vertical="top"/>
      <protection locked="0"/>
    </xf>
    <xf numFmtId="3" fontId="16" fillId="0" borderId="0" xfId="47" applyNumberFormat="1" applyFont="1" applyAlignment="1" applyProtection="1">
      <alignment horizontal="center" vertical="top"/>
      <protection locked="0"/>
    </xf>
    <xf numFmtId="3" fontId="16" fillId="0" borderId="0" xfId="47" applyNumberFormat="1" applyFont="1" applyAlignment="1" applyProtection="1">
      <alignment horizontal="center" vertical="center"/>
      <protection locked="0"/>
    </xf>
    <xf numFmtId="3" fontId="16" fillId="0" borderId="0" xfId="32" applyNumberFormat="1" applyFont="1" applyProtection="1">
      <protection locked="0"/>
    </xf>
    <xf numFmtId="3" fontId="16" fillId="0" borderId="0" xfId="32" applyNumberFormat="1" applyFont="1" applyAlignment="1" applyProtection="1">
      <alignment wrapText="1"/>
      <protection locked="0"/>
    </xf>
    <xf numFmtId="3" fontId="16" fillId="0" borderId="0" xfId="32" applyNumberFormat="1" applyFont="1" applyAlignment="1" applyProtection="1">
      <alignment horizontal="right"/>
      <protection locked="0"/>
    </xf>
    <xf numFmtId="3" fontId="16" fillId="0" borderId="0" xfId="47" applyNumberFormat="1" applyFont="1" applyProtection="1">
      <protection locked="0"/>
    </xf>
    <xf numFmtId="3" fontId="16" fillId="0" borderId="0" xfId="31" applyNumberFormat="1" applyFont="1" applyAlignment="1" applyProtection="1">
      <alignment horizontal="right" vertical="center"/>
      <protection locked="0"/>
    </xf>
    <xf numFmtId="3" fontId="18" fillId="0" borderId="22" xfId="0" applyNumberFormat="1" applyFont="1" applyBorder="1"/>
    <xf numFmtId="3" fontId="35" fillId="0" borderId="14" xfId="0" applyNumberFormat="1" applyFont="1" applyBorder="1"/>
    <xf numFmtId="0" fontId="25" fillId="0" borderId="14" xfId="0" applyFont="1" applyBorder="1"/>
    <xf numFmtId="3" fontId="22" fillId="0" borderId="90" xfId="0" applyNumberFormat="1" applyFont="1" applyBorder="1"/>
    <xf numFmtId="3" fontId="35" fillId="0" borderId="37" xfId="0" applyNumberFormat="1" applyFont="1" applyBorder="1"/>
    <xf numFmtId="3" fontId="19" fillId="0" borderId="90" xfId="0" applyNumberFormat="1" applyFont="1" applyBorder="1"/>
    <xf numFmtId="3" fontId="18" fillId="0" borderId="35" xfId="0" applyNumberFormat="1" applyFont="1" applyBorder="1"/>
    <xf numFmtId="3" fontId="22" fillId="0" borderId="35" xfId="0" applyNumberFormat="1" applyFont="1" applyBorder="1"/>
    <xf numFmtId="0" fontId="9" fillId="0" borderId="13" xfId="28" applyFont="1" applyBorder="1" applyAlignment="1">
      <alignment shrinkToFit="1"/>
    </xf>
    <xf numFmtId="0" fontId="12" fillId="0" borderId="13" xfId="28" applyFont="1" applyBorder="1" applyAlignment="1">
      <alignment wrapText="1"/>
    </xf>
    <xf numFmtId="0" fontId="9" fillId="0" borderId="4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154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0" fontId="9" fillId="0" borderId="57" xfId="0" applyFont="1" applyBorder="1" applyAlignment="1">
      <alignment horizontal="center" vertical="center"/>
    </xf>
    <xf numFmtId="3" fontId="9" fillId="0" borderId="0" xfId="27" applyNumberFormat="1" applyFont="1" applyAlignment="1">
      <alignment horizontal="right"/>
    </xf>
    <xf numFmtId="3" fontId="16" fillId="0" borderId="101" xfId="29" applyNumberFormat="1" applyFont="1" applyBorder="1" applyAlignment="1">
      <alignment horizontal="left" vertical="center" wrapText="1"/>
    </xf>
    <xf numFmtId="0" fontId="9" fillId="0" borderId="18" xfId="31" applyFont="1" applyBorder="1" applyAlignment="1">
      <alignment wrapText="1"/>
    </xf>
    <xf numFmtId="0" fontId="28" fillId="0" borderId="13" xfId="31" applyFont="1" applyBorder="1" applyAlignment="1">
      <alignment wrapText="1"/>
    </xf>
    <xf numFmtId="0" fontId="23" fillId="0" borderId="13" xfId="31" applyFont="1" applyBorder="1" applyAlignment="1">
      <alignment wrapText="1"/>
    </xf>
    <xf numFmtId="3" fontId="28" fillId="0" borderId="18" xfId="30" applyNumberFormat="1" applyFont="1" applyBorder="1" applyAlignment="1" applyProtection="1">
      <alignment horizontal="left"/>
      <protection locked="0"/>
    </xf>
    <xf numFmtId="0" fontId="45" fillId="0" borderId="13" xfId="31" applyFont="1" applyBorder="1" applyAlignment="1">
      <alignment horizontal="left"/>
    </xf>
    <xf numFmtId="0" fontId="46" fillId="0" borderId="13" xfId="31" applyFont="1" applyBorder="1" applyAlignment="1">
      <alignment wrapText="1"/>
    </xf>
    <xf numFmtId="0" fontId="45" fillId="0" borderId="13" xfId="31" applyFont="1" applyBorder="1" applyAlignment="1">
      <alignment horizontal="left" wrapText="1"/>
    </xf>
    <xf numFmtId="3" fontId="19" fillId="0" borderId="18" xfId="0" applyNumberFormat="1" applyFont="1" applyBorder="1" applyAlignment="1">
      <alignment horizontal="right" wrapText="1"/>
    </xf>
    <xf numFmtId="3" fontId="18" fillId="0" borderId="18" xfId="27" applyNumberFormat="1" applyFont="1" applyBorder="1" applyAlignment="1">
      <alignment wrapText="1"/>
    </xf>
    <xf numFmtId="3" fontId="19" fillId="0" borderId="84" xfId="27" applyNumberFormat="1" applyFont="1" applyBorder="1" applyAlignment="1">
      <alignment horizontal="right"/>
    </xf>
    <xf numFmtId="3" fontId="18" fillId="0" borderId="18" xfId="0" applyNumberFormat="1" applyFont="1" applyBorder="1" applyAlignment="1">
      <alignment horizontal="right" wrapText="1"/>
    </xf>
    <xf numFmtId="3" fontId="18" fillId="0" borderId="22" xfId="0" applyNumberFormat="1" applyFont="1" applyBorder="1" applyAlignment="1">
      <alignment horizontal="right" wrapText="1"/>
    </xf>
    <xf numFmtId="3" fontId="18" fillId="0" borderId="84" xfId="27" applyNumberFormat="1" applyFont="1" applyBorder="1" applyAlignment="1">
      <alignment horizontal="right"/>
    </xf>
    <xf numFmtId="3" fontId="18" fillId="0" borderId="18" xfId="27" applyNumberFormat="1" applyFont="1" applyBorder="1" applyAlignment="1">
      <alignment horizontal="left" vertical="top" wrapText="1" indent="4"/>
    </xf>
    <xf numFmtId="3" fontId="19" fillId="0" borderId="13" xfId="0" applyNumberFormat="1" applyFont="1" applyBorder="1" applyAlignment="1">
      <alignment horizontal="right" wrapText="1"/>
    </xf>
    <xf numFmtId="3" fontId="19" fillId="0" borderId="14" xfId="0" applyNumberFormat="1" applyFont="1" applyBorder="1" applyAlignment="1">
      <alignment horizontal="right" wrapText="1"/>
    </xf>
    <xf numFmtId="3" fontId="16" fillId="0" borderId="13" xfId="0" applyNumberFormat="1" applyFont="1" applyBorder="1" applyAlignment="1">
      <alignment horizontal="right" wrapText="1"/>
    </xf>
    <xf numFmtId="3" fontId="18" fillId="0" borderId="13" xfId="0" applyNumberFormat="1" applyFont="1" applyBorder="1" applyAlignment="1">
      <alignment horizontal="right" wrapText="1"/>
    </xf>
    <xf numFmtId="3" fontId="18" fillId="0" borderId="14" xfId="0" applyNumberFormat="1" applyFont="1" applyBorder="1" applyAlignment="1">
      <alignment horizontal="right" wrapText="1"/>
    </xf>
    <xf numFmtId="3" fontId="22" fillId="0" borderId="14" xfId="0" applyNumberFormat="1" applyFont="1" applyBorder="1" applyAlignment="1">
      <alignment horizontal="right" wrapText="1"/>
    </xf>
    <xf numFmtId="3" fontId="9" fillId="0" borderId="36" xfId="27" applyNumberFormat="1" applyFont="1" applyBorder="1" applyAlignment="1">
      <alignment horizontal="center" vertical="center"/>
    </xf>
    <xf numFmtId="3" fontId="9" fillId="0" borderId="17" xfId="27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right" vertical="center" wrapText="1"/>
    </xf>
    <xf numFmtId="3" fontId="19" fillId="0" borderId="13" xfId="0" applyNumberFormat="1" applyFont="1" applyBorder="1" applyAlignment="1">
      <alignment horizontal="right" vertical="center" wrapText="1"/>
    </xf>
    <xf numFmtId="3" fontId="9" fillId="0" borderId="53" xfId="27" applyNumberFormat="1" applyFont="1" applyBorder="1" applyAlignment="1">
      <alignment horizontal="center" vertical="center"/>
    </xf>
    <xf numFmtId="3" fontId="41" fillId="0" borderId="36" xfId="27" applyNumberFormat="1" applyFont="1" applyBorder="1" applyAlignment="1">
      <alignment horizontal="center" vertical="center"/>
    </xf>
    <xf numFmtId="3" fontId="41" fillId="0" borderId="17" xfId="27" applyNumberFormat="1" applyFont="1" applyBorder="1" applyAlignment="1">
      <alignment horizontal="center" vertical="center"/>
    </xf>
    <xf numFmtId="3" fontId="19" fillId="0" borderId="22" xfId="0" applyNumberFormat="1" applyFont="1" applyBorder="1" applyAlignment="1">
      <alignment horizontal="right" wrapText="1"/>
    </xf>
    <xf numFmtId="3" fontId="19" fillId="0" borderId="14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18" fillId="0" borderId="14" xfId="0" applyNumberFormat="1" applyFont="1" applyBorder="1" applyAlignment="1">
      <alignment horizontal="right" vertical="center" wrapText="1"/>
    </xf>
    <xf numFmtId="3" fontId="22" fillId="0" borderId="22" xfId="0" applyNumberFormat="1" applyFont="1" applyBorder="1" applyAlignment="1">
      <alignment horizontal="right" wrapText="1"/>
    </xf>
    <xf numFmtId="3" fontId="16" fillId="0" borderId="13" xfId="27" applyNumberFormat="1" applyFont="1" applyBorder="1" applyAlignment="1">
      <alignment horizontal="center" vertical="center" wrapText="1"/>
    </xf>
    <xf numFmtId="3" fontId="19" fillId="0" borderId="20" xfId="27" applyNumberFormat="1" applyFont="1" applyBorder="1" applyAlignment="1">
      <alignment horizontal="center" vertical="center"/>
    </xf>
    <xf numFmtId="3" fontId="16" fillId="0" borderId="18" xfId="27" applyNumberFormat="1" applyFont="1" applyBorder="1" applyAlignment="1">
      <alignment horizontal="center" vertical="center" wrapText="1"/>
    </xf>
    <xf numFmtId="3" fontId="34" fillId="0" borderId="55" xfId="0" applyNumberFormat="1" applyFont="1" applyBorder="1"/>
    <xf numFmtId="3" fontId="34" fillId="0" borderId="52" xfId="27" applyNumberFormat="1" applyFont="1" applyBorder="1" applyAlignment="1">
      <alignment horizontal="center" vertical="center"/>
    </xf>
    <xf numFmtId="3" fontId="34" fillId="0" borderId="36" xfId="27" applyNumberFormat="1" applyFont="1" applyBorder="1" applyAlignment="1">
      <alignment horizontal="center" vertical="center"/>
    </xf>
    <xf numFmtId="3" fontId="34" fillId="0" borderId="118" xfId="27" applyNumberFormat="1" applyFont="1" applyBorder="1" applyAlignment="1">
      <alignment horizontal="center"/>
    </xf>
    <xf numFmtId="3" fontId="34" fillId="0" borderId="36" xfId="0" applyNumberFormat="1" applyFont="1" applyBorder="1" applyAlignment="1">
      <alignment horizontal="right" wrapText="1"/>
    </xf>
    <xf numFmtId="3" fontId="34" fillId="0" borderId="93" xfId="27" applyNumberFormat="1" applyFont="1" applyBorder="1" applyAlignment="1">
      <alignment horizontal="center"/>
    </xf>
    <xf numFmtId="3" fontId="16" fillId="0" borderId="51" xfId="0" applyNumberFormat="1" applyFont="1" applyBorder="1" applyAlignment="1">
      <alignment horizontal="center" wrapText="1"/>
    </xf>
    <xf numFmtId="3" fontId="34" fillId="0" borderId="115" xfId="27" applyNumberFormat="1" applyFont="1" applyBorder="1" applyAlignment="1">
      <alignment horizontal="center"/>
    </xf>
    <xf numFmtId="3" fontId="34" fillId="0" borderId="11" xfId="0" applyNumberFormat="1" applyFont="1" applyBorder="1" applyAlignment="1">
      <alignment horizontal="right"/>
    </xf>
    <xf numFmtId="3" fontId="19" fillId="0" borderId="13" xfId="27" applyNumberFormat="1" applyFont="1" applyBorder="1" applyAlignment="1">
      <alignment horizontal="right"/>
    </xf>
    <xf numFmtId="3" fontId="19" fillId="0" borderId="55" xfId="0" applyNumberFormat="1" applyFont="1" applyBorder="1"/>
    <xf numFmtId="3" fontId="11" fillId="0" borderId="210" xfId="26" applyNumberFormat="1" applyFont="1" applyBorder="1" applyAlignment="1">
      <alignment horizontal="center" vertical="center" wrapText="1"/>
    </xf>
    <xf numFmtId="3" fontId="11" fillId="0" borderId="211" xfId="26" applyNumberFormat="1" applyFont="1" applyBorder="1" applyAlignment="1">
      <alignment horizontal="right" wrapText="1"/>
    </xf>
    <xf numFmtId="3" fontId="11" fillId="0" borderId="61" xfId="26" applyNumberFormat="1" applyFont="1" applyBorder="1" applyAlignment="1">
      <alignment horizontal="right" wrapText="1"/>
    </xf>
    <xf numFmtId="3" fontId="11" fillId="0" borderId="61" xfId="0" applyNumberFormat="1" applyFont="1" applyBorder="1" applyAlignment="1">
      <alignment horizontal="right"/>
    </xf>
    <xf numFmtId="3" fontId="9" fillId="0" borderId="61" xfId="0" applyNumberFormat="1" applyFont="1" applyBorder="1" applyAlignment="1">
      <alignment horizontal="right"/>
    </xf>
    <xf numFmtId="3" fontId="9" fillId="0" borderId="61" xfId="0" applyNumberFormat="1" applyFont="1" applyBorder="1" applyAlignment="1">
      <alignment horizontal="right" vertical="center"/>
    </xf>
    <xf numFmtId="3" fontId="11" fillId="0" borderId="73" xfId="0" applyNumberFormat="1" applyFont="1" applyBorder="1" applyAlignment="1">
      <alignment horizontal="right"/>
    </xf>
    <xf numFmtId="3" fontId="11" fillId="0" borderId="63" xfId="0" applyNumberFormat="1" applyFont="1" applyBorder="1" applyAlignment="1">
      <alignment horizontal="right" vertical="center"/>
    </xf>
    <xf numFmtId="3" fontId="9" fillId="0" borderId="73" xfId="0" applyNumberFormat="1" applyFont="1" applyBorder="1" applyAlignment="1">
      <alignment horizontal="right"/>
    </xf>
    <xf numFmtId="3" fontId="11" fillId="0" borderId="66" xfId="0" applyNumberFormat="1" applyFont="1" applyBorder="1" applyAlignment="1">
      <alignment horizontal="right" vertical="center"/>
    </xf>
    <xf numFmtId="3" fontId="11" fillId="0" borderId="212" xfId="0" applyNumberFormat="1" applyFont="1" applyBorder="1" applyAlignment="1">
      <alignment horizontal="right" vertical="center"/>
    </xf>
    <xf numFmtId="3" fontId="11" fillId="0" borderId="61" xfId="0" applyNumberFormat="1" applyFont="1" applyBorder="1" applyAlignment="1">
      <alignment horizontal="right" vertical="center"/>
    </xf>
    <xf numFmtId="3" fontId="11" fillId="0" borderId="213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1" fillId="0" borderId="5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3" fontId="11" fillId="0" borderId="211" xfId="26" applyNumberFormat="1" applyFont="1" applyBorder="1"/>
    <xf numFmtId="3" fontId="9" fillId="0" borderId="61" xfId="26" applyNumberFormat="1" applyFont="1" applyBorder="1"/>
    <xf numFmtId="3" fontId="11" fillId="0" borderId="63" xfId="26" applyNumberFormat="1" applyFont="1" applyBorder="1"/>
    <xf numFmtId="3" fontId="11" fillId="0" borderId="61" xfId="26" applyNumberFormat="1" applyFont="1" applyBorder="1"/>
    <xf numFmtId="3" fontId="12" fillId="0" borderId="61" xfId="26" applyNumberFormat="1" applyFont="1" applyBorder="1"/>
    <xf numFmtId="3" fontId="11" fillId="0" borderId="210" xfId="26" applyNumberFormat="1" applyFont="1" applyBorder="1" applyAlignment="1">
      <alignment vertical="center"/>
    </xf>
    <xf numFmtId="3" fontId="12" fillId="0" borderId="15" xfId="26" applyNumberFormat="1" applyFont="1" applyBorder="1"/>
    <xf numFmtId="3" fontId="9" fillId="0" borderId="61" xfId="26" applyNumberFormat="1" applyFont="1" applyBorder="1" applyAlignment="1">
      <alignment vertical="center"/>
    </xf>
    <xf numFmtId="3" fontId="11" fillId="0" borderId="61" xfId="26" applyNumberFormat="1" applyFont="1" applyBorder="1" applyAlignment="1">
      <alignment vertical="center"/>
    </xf>
    <xf numFmtId="3" fontId="9" fillId="0" borderId="61" xfId="26" applyNumberFormat="1" applyFont="1" applyBorder="1" applyAlignment="1">
      <alignment vertical="top"/>
    </xf>
    <xf numFmtId="3" fontId="11" fillId="0" borderId="214" xfId="26" applyNumberFormat="1" applyFont="1" applyBorder="1" applyAlignment="1">
      <alignment horizontal="center" vertical="center" wrapText="1"/>
    </xf>
    <xf numFmtId="3" fontId="16" fillId="0" borderId="218" xfId="31" applyNumberFormat="1" applyFont="1" applyBorder="1" applyAlignment="1" applyProtection="1">
      <alignment horizontal="left"/>
      <protection locked="0"/>
    </xf>
    <xf numFmtId="3" fontId="16" fillId="0" borderId="218" xfId="31" applyNumberFormat="1" applyFont="1" applyBorder="1" applyAlignment="1" applyProtection="1">
      <alignment horizontal="right"/>
      <protection locked="0"/>
    </xf>
    <xf numFmtId="3" fontId="16" fillId="0" borderId="204" xfId="31" applyNumberFormat="1" applyFont="1" applyBorder="1" applyAlignment="1" applyProtection="1">
      <alignment horizontal="right"/>
      <protection locked="0"/>
    </xf>
    <xf numFmtId="3" fontId="19" fillId="0" borderId="212" xfId="31" applyNumberFormat="1" applyFont="1" applyBorder="1" applyAlignment="1" applyProtection="1">
      <alignment horizontal="right" vertical="center"/>
      <protection locked="0"/>
    </xf>
    <xf numFmtId="3" fontId="19" fillId="0" borderId="210" xfId="31" applyNumberFormat="1" applyFont="1" applyBorder="1" applyAlignment="1" applyProtection="1">
      <alignment horizontal="right" vertical="center"/>
      <protection locked="0"/>
    </xf>
    <xf numFmtId="3" fontId="19" fillId="0" borderId="103" xfId="31" applyNumberFormat="1" applyFont="1" applyBorder="1" applyAlignment="1" applyProtection="1">
      <alignment horizontal="right" vertical="center"/>
      <protection locked="0"/>
    </xf>
    <xf numFmtId="3" fontId="19" fillId="0" borderId="50" xfId="31" applyNumberFormat="1" applyFont="1" applyBorder="1" applyAlignment="1" applyProtection="1">
      <alignment horizontal="right" vertical="center"/>
      <protection locked="0"/>
    </xf>
    <xf numFmtId="3" fontId="16" fillId="0" borderId="87" xfId="31" applyNumberFormat="1" applyFont="1" applyBorder="1" applyAlignment="1" applyProtection="1">
      <alignment horizontal="left"/>
      <protection locked="0"/>
    </xf>
    <xf numFmtId="3" fontId="16" fillId="0" borderId="13" xfId="31" applyNumberFormat="1" applyFont="1" applyBorder="1" applyProtection="1">
      <protection locked="0"/>
    </xf>
    <xf numFmtId="3" fontId="16" fillId="0" borderId="13" xfId="31" applyNumberFormat="1" applyFont="1" applyBorder="1" applyAlignment="1" applyProtection="1">
      <alignment horizontal="left"/>
      <protection locked="0"/>
    </xf>
    <xf numFmtId="3" fontId="16" fillId="0" borderId="13" xfId="31" applyNumberFormat="1" applyFont="1" applyBorder="1" applyAlignment="1" applyProtection="1">
      <alignment vertical="top"/>
      <protection locked="0"/>
    </xf>
    <xf numFmtId="3" fontId="16" fillId="0" borderId="36" xfId="31" applyNumberFormat="1" applyFont="1" applyBorder="1" applyProtection="1">
      <protection locked="0"/>
    </xf>
    <xf numFmtId="3" fontId="16" fillId="0" borderId="18" xfId="31" applyNumberFormat="1" applyFont="1" applyBorder="1" applyAlignment="1" applyProtection="1">
      <alignment horizontal="left"/>
      <protection locked="0"/>
    </xf>
    <xf numFmtId="3" fontId="16" fillId="0" borderId="53" xfId="31" applyNumberFormat="1" applyFont="1" applyBorder="1" applyProtection="1">
      <protection locked="0"/>
    </xf>
    <xf numFmtId="3" fontId="49" fillId="0" borderId="13" xfId="0" applyNumberFormat="1" applyFont="1" applyBorder="1" applyAlignment="1">
      <alignment horizontal="right" wrapText="1"/>
    </xf>
    <xf numFmtId="3" fontId="49" fillId="0" borderId="13" xfId="28" applyNumberFormat="1" applyFont="1" applyBorder="1" applyAlignment="1">
      <alignment horizontal="right" wrapText="1"/>
    </xf>
    <xf numFmtId="3" fontId="49" fillId="0" borderId="108" xfId="28" applyNumberFormat="1" applyFont="1" applyBorder="1" applyAlignment="1">
      <alignment horizontal="right" wrapText="1"/>
    </xf>
    <xf numFmtId="3" fontId="49" fillId="0" borderId="108" xfId="28" applyNumberFormat="1" applyFont="1" applyBorder="1" applyAlignment="1">
      <alignment horizontal="right" vertical="center" wrapText="1"/>
    </xf>
    <xf numFmtId="3" fontId="49" fillId="0" borderId="13" xfId="28" applyNumberFormat="1" applyFont="1" applyBorder="1" applyAlignment="1">
      <alignment horizontal="right" vertical="center" wrapText="1"/>
    </xf>
    <xf numFmtId="3" fontId="49" fillId="0" borderId="84" xfId="28" applyNumberFormat="1" applyFont="1" applyBorder="1" applyAlignment="1">
      <alignment horizontal="right" vertical="center" wrapText="1"/>
    </xf>
    <xf numFmtId="3" fontId="49" fillId="0" borderId="13" xfId="31" applyNumberFormat="1" applyFont="1" applyBorder="1" applyAlignment="1">
      <alignment horizontal="right" vertical="center"/>
    </xf>
    <xf numFmtId="3" fontId="49" fillId="0" borderId="108" xfId="31" applyNumberFormat="1" applyFont="1" applyBorder="1" applyAlignment="1">
      <alignment horizontal="right" vertical="center"/>
    </xf>
    <xf numFmtId="3" fontId="49" fillId="0" borderId="84" xfId="31" applyNumberFormat="1" applyFont="1" applyBorder="1" applyAlignment="1">
      <alignment horizontal="right" vertical="center"/>
    </xf>
    <xf numFmtId="0" fontId="16" fillId="0" borderId="138" xfId="31" applyFont="1" applyBorder="1" applyAlignment="1">
      <alignment horizontal="center" vertical="center" wrapText="1"/>
    </xf>
    <xf numFmtId="3" fontId="16" fillId="0" borderId="53" xfId="31" applyNumberFormat="1" applyFont="1" applyBorder="1" applyAlignment="1">
      <alignment horizontal="right" vertical="center"/>
    </xf>
    <xf numFmtId="3" fontId="16" fillId="0" borderId="15" xfId="31" applyNumberFormat="1" applyFont="1" applyBorder="1" applyAlignment="1">
      <alignment horizontal="right" vertical="center"/>
    </xf>
    <xf numFmtId="0" fontId="16" fillId="0" borderId="91" xfId="31" applyFont="1" applyBorder="1" applyAlignment="1">
      <alignment horizontal="center" vertical="center"/>
    </xf>
    <xf numFmtId="3" fontId="34" fillId="0" borderId="13" xfId="27" applyNumberFormat="1" applyFont="1" applyBorder="1" applyAlignment="1">
      <alignment wrapText="1"/>
    </xf>
    <xf numFmtId="3" fontId="16" fillId="0" borderId="93" xfId="31" applyNumberFormat="1" applyFont="1" applyBorder="1" applyAlignment="1">
      <alignment horizontal="right" vertical="center"/>
    </xf>
    <xf numFmtId="3" fontId="19" fillId="0" borderId="34" xfId="28" applyNumberFormat="1" applyFont="1" applyBorder="1" applyAlignment="1">
      <alignment horizontal="center" vertical="center" wrapText="1"/>
    </xf>
    <xf numFmtId="3" fontId="19" fillId="0" borderId="13" xfId="28" applyNumberFormat="1" applyFont="1" applyBorder="1" applyAlignment="1">
      <alignment horizontal="center" vertical="center" wrapText="1"/>
    </xf>
    <xf numFmtId="3" fontId="19" fillId="0" borderId="94" xfId="28" applyNumberFormat="1" applyFont="1" applyBorder="1" applyAlignment="1">
      <alignment horizontal="right" vertical="center" wrapText="1"/>
    </xf>
    <xf numFmtId="3" fontId="19" fillId="0" borderId="84" xfId="28" applyNumberFormat="1" applyFont="1" applyBorder="1" applyAlignment="1">
      <alignment horizontal="right" vertical="center" wrapText="1"/>
    </xf>
    <xf numFmtId="3" fontId="19" fillId="0" borderId="108" xfId="31" applyNumberFormat="1" applyFont="1" applyBorder="1" applyAlignment="1">
      <alignment horizontal="right" vertical="center"/>
    </xf>
    <xf numFmtId="3" fontId="19" fillId="0" borderId="18" xfId="28" applyNumberFormat="1" applyFont="1" applyBorder="1" applyAlignment="1">
      <alignment horizontal="right" vertical="center" wrapText="1"/>
    </xf>
    <xf numFmtId="3" fontId="18" fillId="0" borderId="13" xfId="28" applyNumberFormat="1" applyFont="1" applyBorder="1" applyAlignment="1">
      <alignment horizontal="right" vertical="center" wrapText="1"/>
    </xf>
    <xf numFmtId="3" fontId="18" fillId="0" borderId="108" xfId="31" applyNumberFormat="1" applyFont="1" applyBorder="1" applyAlignment="1">
      <alignment horizontal="right" vertical="center"/>
    </xf>
    <xf numFmtId="3" fontId="49" fillId="0" borderId="34" xfId="28" applyNumberFormat="1" applyFont="1" applyBorder="1" applyAlignment="1">
      <alignment horizontal="right" vertical="center" wrapText="1"/>
    </xf>
    <xf numFmtId="3" fontId="19" fillId="0" borderId="33" xfId="28" applyNumberFormat="1" applyFont="1" applyBorder="1" applyAlignment="1">
      <alignment horizontal="center" vertical="center" wrapText="1"/>
    </xf>
    <xf numFmtId="3" fontId="19" fillId="0" borderId="220" xfId="28" applyNumberFormat="1" applyFont="1" applyBorder="1" applyAlignment="1">
      <alignment horizontal="right" vertical="center" wrapText="1"/>
    </xf>
    <xf numFmtId="3" fontId="19" fillId="0" borderId="12" xfId="28" applyNumberFormat="1" applyFont="1" applyBorder="1" applyAlignment="1">
      <alignment horizontal="center" vertical="center" wrapText="1"/>
    </xf>
    <xf numFmtId="3" fontId="19" fillId="0" borderId="195" xfId="28" applyNumberFormat="1" applyFont="1" applyBorder="1" applyAlignment="1">
      <alignment horizontal="right" vertical="center" wrapText="1"/>
    </xf>
    <xf numFmtId="3" fontId="19" fillId="0" borderId="113" xfId="28" applyNumberFormat="1" applyFont="1" applyBorder="1" applyAlignment="1">
      <alignment horizontal="center" vertical="center" wrapText="1"/>
    </xf>
    <xf numFmtId="3" fontId="19" fillId="0" borderId="114" xfId="28" applyNumberFormat="1" applyFont="1" applyBorder="1" applyAlignment="1">
      <alignment horizontal="center" vertical="center" wrapText="1"/>
    </xf>
    <xf numFmtId="3" fontId="19" fillId="0" borderId="116" xfId="28" applyNumberFormat="1" applyFont="1" applyBorder="1" applyAlignment="1">
      <alignment horizontal="right" vertical="center" wrapText="1"/>
    </xf>
    <xf numFmtId="3" fontId="19" fillId="0" borderId="221" xfId="28" applyNumberFormat="1" applyFont="1" applyBorder="1" applyAlignment="1">
      <alignment horizontal="right" vertical="center" wrapText="1"/>
    </xf>
    <xf numFmtId="3" fontId="34" fillId="0" borderId="19" xfId="0" applyNumberFormat="1" applyFont="1" applyBorder="1" applyAlignment="1">
      <alignment horizontal="center"/>
    </xf>
    <xf numFmtId="3" fontId="34" fillId="0" borderId="18" xfId="0" applyNumberFormat="1" applyFont="1" applyBorder="1"/>
    <xf numFmtId="3" fontId="34" fillId="0" borderId="20" xfId="0" applyNumberFormat="1" applyFont="1" applyBorder="1" applyAlignment="1">
      <alignment horizontal="center" vertical="top"/>
    </xf>
    <xf numFmtId="3" fontId="34" fillId="0" borderId="37" xfId="0" applyNumberFormat="1" applyFont="1" applyBorder="1"/>
    <xf numFmtId="3" fontId="34" fillId="0" borderId="17" xfId="0" applyNumberFormat="1" applyFont="1" applyBorder="1" applyAlignment="1">
      <alignment horizontal="center"/>
    </xf>
    <xf numFmtId="3" fontId="22" fillId="0" borderId="14" xfId="0" applyNumberFormat="1" applyFont="1" applyBorder="1"/>
    <xf numFmtId="3" fontId="18" fillId="0" borderId="84" xfId="0" applyNumberFormat="1" applyFont="1" applyBorder="1"/>
    <xf numFmtId="3" fontId="19" fillId="0" borderId="84" xfId="0" applyNumberFormat="1" applyFont="1" applyBorder="1"/>
    <xf numFmtId="3" fontId="19" fillId="0" borderId="18" xfId="0" applyNumberFormat="1" applyFont="1" applyBorder="1"/>
    <xf numFmtId="3" fontId="22" fillId="0" borderId="22" xfId="0" applyNumberFormat="1" applyFont="1" applyBorder="1"/>
    <xf numFmtId="3" fontId="19" fillId="0" borderId="95" xfId="0" applyNumberFormat="1" applyFont="1" applyBorder="1"/>
    <xf numFmtId="3" fontId="19" fillId="0" borderId="36" xfId="0" applyNumberFormat="1" applyFont="1" applyBorder="1"/>
    <xf numFmtId="3" fontId="19" fillId="0" borderId="37" xfId="0" applyNumberFormat="1" applyFont="1" applyBorder="1"/>
    <xf numFmtId="3" fontId="22" fillId="0" borderId="95" xfId="0" applyNumberFormat="1" applyFont="1" applyBorder="1"/>
    <xf numFmtId="3" fontId="22" fillId="0" borderId="37" xfId="0" applyNumberFormat="1" applyFont="1" applyBorder="1"/>
    <xf numFmtId="3" fontId="34" fillId="0" borderId="20" xfId="0" applyNumberFormat="1" applyFont="1" applyBorder="1" applyAlignment="1">
      <alignment horizontal="center" vertical="center"/>
    </xf>
    <xf numFmtId="3" fontId="18" fillId="0" borderId="95" xfId="0" applyNumberFormat="1" applyFont="1" applyBorder="1"/>
    <xf numFmtId="3" fontId="18" fillId="0" borderId="36" xfId="0" applyNumberFormat="1" applyFont="1" applyBorder="1"/>
    <xf numFmtId="3" fontId="18" fillId="0" borderId="37" xfId="0" applyNumberFormat="1" applyFont="1" applyBorder="1"/>
    <xf numFmtId="3" fontId="34" fillId="0" borderId="91" xfId="0" applyNumberFormat="1" applyFont="1" applyBorder="1" applyAlignment="1">
      <alignment horizontal="center" vertical="center"/>
    </xf>
    <xf numFmtId="3" fontId="0" fillId="0" borderId="13" xfId="0" applyNumberFormat="1" applyBorder="1"/>
    <xf numFmtId="0" fontId="0" fillId="0" borderId="12" xfId="0" applyBorder="1"/>
    <xf numFmtId="3" fontId="34" fillId="0" borderId="101" xfId="0" applyNumberFormat="1" applyFont="1" applyBorder="1" applyAlignment="1">
      <alignment horizontal="center" vertical="center"/>
    </xf>
    <xf numFmtId="3" fontId="34" fillId="0" borderId="18" xfId="0" applyNumberFormat="1" applyFont="1" applyBorder="1" applyAlignment="1">
      <alignment vertical="center"/>
    </xf>
    <xf numFmtId="3" fontId="34" fillId="0" borderId="18" xfId="0" applyNumberFormat="1" applyFont="1" applyBorder="1" applyAlignment="1">
      <alignment horizontal="right"/>
    </xf>
    <xf numFmtId="3" fontId="34" fillId="0" borderId="22" xfId="0" applyNumberFormat="1" applyFont="1" applyBorder="1" applyAlignment="1">
      <alignment horizontal="right"/>
    </xf>
    <xf numFmtId="3" fontId="34" fillId="0" borderId="13" xfId="0" applyNumberFormat="1" applyFont="1" applyBorder="1" applyAlignment="1">
      <alignment horizontal="center" vertical="center"/>
    </xf>
    <xf numFmtId="3" fontId="34" fillId="0" borderId="18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horizontal="right"/>
    </xf>
    <xf numFmtId="3" fontId="19" fillId="0" borderId="18" xfId="0" applyNumberFormat="1" applyFont="1" applyBorder="1" applyAlignment="1">
      <alignment horizontal="right"/>
    </xf>
    <xf numFmtId="3" fontId="19" fillId="0" borderId="14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3" fontId="19" fillId="0" borderId="20" xfId="0" applyNumberFormat="1" applyFont="1" applyBorder="1" applyAlignment="1">
      <alignment horizontal="center" vertical="center"/>
    </xf>
    <xf numFmtId="3" fontId="19" fillId="0" borderId="36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3" fontId="19" fillId="0" borderId="36" xfId="0" applyNumberFormat="1" applyFont="1" applyBorder="1" applyAlignment="1">
      <alignment horizontal="right"/>
    </xf>
    <xf numFmtId="3" fontId="19" fillId="0" borderId="118" xfId="0" applyNumberFormat="1" applyFont="1" applyBorder="1"/>
    <xf numFmtId="3" fontId="19" fillId="0" borderId="37" xfId="0" applyNumberFormat="1" applyFont="1" applyBorder="1" applyAlignment="1">
      <alignment horizontal="right"/>
    </xf>
    <xf numFmtId="3" fontId="22" fillId="0" borderId="118" xfId="0" applyNumberFormat="1" applyFont="1" applyBorder="1"/>
    <xf numFmtId="3" fontId="22" fillId="0" borderId="36" xfId="0" applyNumberFormat="1" applyFont="1" applyBorder="1" applyAlignment="1">
      <alignment horizontal="right"/>
    </xf>
    <xf numFmtId="3" fontId="19" fillId="0" borderId="17" xfId="0" applyNumberFormat="1" applyFont="1" applyBorder="1" applyAlignment="1">
      <alignment horizontal="center" vertical="center"/>
    </xf>
    <xf numFmtId="3" fontId="19" fillId="0" borderId="52" xfId="0" applyNumberFormat="1" applyFont="1" applyBorder="1" applyAlignment="1">
      <alignment horizontal="center" vertical="center"/>
    </xf>
    <xf numFmtId="3" fontId="19" fillId="0" borderId="91" xfId="0" applyNumberFormat="1" applyFont="1" applyBorder="1" applyAlignment="1">
      <alignment horizontal="center" vertical="center"/>
    </xf>
    <xf numFmtId="3" fontId="22" fillId="0" borderId="93" xfId="0" applyNumberFormat="1" applyFont="1" applyBorder="1" applyAlignment="1">
      <alignment horizontal="center" vertical="center"/>
    </xf>
    <xf numFmtId="3" fontId="43" fillId="0" borderId="19" xfId="0" applyNumberFormat="1" applyFont="1" applyBorder="1" applyAlignment="1">
      <alignment horizontal="center"/>
    </xf>
    <xf numFmtId="3" fontId="43" fillId="0" borderId="18" xfId="30" applyNumberFormat="1" applyFont="1" applyBorder="1" applyAlignment="1">
      <alignment horizontal="center"/>
    </xf>
    <xf numFmtId="3" fontId="43" fillId="0" borderId="18" xfId="0" applyNumberFormat="1" applyFont="1" applyBorder="1" applyAlignment="1">
      <alignment vertical="center"/>
    </xf>
    <xf numFmtId="3" fontId="34" fillId="0" borderId="18" xfId="0" applyNumberFormat="1" applyFont="1" applyBorder="1" applyAlignment="1">
      <alignment horizontal="right" vertical="center"/>
    </xf>
    <xf numFmtId="3" fontId="34" fillId="0" borderId="22" xfId="0" applyNumberFormat="1" applyFont="1" applyBorder="1" applyAlignment="1">
      <alignment horizontal="right" vertical="center"/>
    </xf>
    <xf numFmtId="3" fontId="34" fillId="0" borderId="224" xfId="0" applyNumberFormat="1" applyFont="1" applyBorder="1" applyAlignment="1">
      <alignment horizontal="center" vertical="center"/>
    </xf>
    <xf numFmtId="3" fontId="35" fillId="0" borderId="52" xfId="0" applyNumberFormat="1" applyFont="1" applyBorder="1" applyAlignment="1">
      <alignment horizontal="left" vertical="center" wrapText="1"/>
    </xf>
    <xf numFmtId="3" fontId="35" fillId="0" borderId="95" xfId="0" applyNumberFormat="1" applyFont="1" applyBorder="1" applyAlignment="1">
      <alignment horizontal="left" vertical="center" wrapText="1"/>
    </xf>
    <xf numFmtId="3" fontId="35" fillId="0" borderId="36" xfId="0" applyNumberFormat="1" applyFont="1" applyBorder="1" applyAlignment="1">
      <alignment horizontal="left" vertical="center" wrapText="1"/>
    </xf>
    <xf numFmtId="3" fontId="35" fillId="0" borderId="36" xfId="0" applyNumberFormat="1" applyFont="1" applyBorder="1" applyAlignment="1">
      <alignment horizontal="right" vertical="center"/>
    </xf>
    <xf numFmtId="3" fontId="34" fillId="0" borderId="36" xfId="0" applyNumberFormat="1" applyFont="1" applyBorder="1" applyAlignment="1">
      <alignment horizontal="right" vertical="center"/>
    </xf>
    <xf numFmtId="3" fontId="34" fillId="0" borderId="37" xfId="0" applyNumberFormat="1" applyFont="1" applyBorder="1" applyAlignment="1">
      <alignment horizontal="right" vertical="center"/>
    </xf>
    <xf numFmtId="3" fontId="34" fillId="0" borderId="95" xfId="0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horizontal="right" vertical="center"/>
    </xf>
    <xf numFmtId="3" fontId="22" fillId="0" borderId="14" xfId="0" applyNumberFormat="1" applyFont="1" applyBorder="1" applyAlignment="1">
      <alignment horizontal="right" vertical="center"/>
    </xf>
    <xf numFmtId="3" fontId="19" fillId="0" borderId="95" xfId="0" applyNumberFormat="1" applyFont="1" applyBorder="1" applyAlignment="1">
      <alignment horizontal="right" vertical="center"/>
    </xf>
    <xf numFmtId="3" fontId="19" fillId="0" borderId="36" xfId="0" applyNumberFormat="1" applyFont="1" applyBorder="1" applyAlignment="1">
      <alignment horizontal="right" vertical="center"/>
    </xf>
    <xf numFmtId="3" fontId="19" fillId="0" borderId="37" xfId="0" applyNumberFormat="1" applyFont="1" applyBorder="1" applyAlignment="1">
      <alignment horizontal="right" vertical="center"/>
    </xf>
    <xf numFmtId="3" fontId="34" fillId="0" borderId="95" xfId="0" applyNumberFormat="1" applyFont="1" applyBorder="1" applyAlignment="1">
      <alignment horizontal="center" vertical="center"/>
    </xf>
    <xf numFmtId="3" fontId="34" fillId="0" borderId="117" xfId="30" applyNumberFormat="1" applyFont="1" applyBorder="1"/>
    <xf numFmtId="3" fontId="34" fillId="0" borderId="36" xfId="30" applyNumberFormat="1" applyFont="1" applyBorder="1" applyAlignment="1">
      <alignment horizontal="center"/>
    </xf>
    <xf numFmtId="3" fontId="34" fillId="0" borderId="36" xfId="0" applyNumberFormat="1" applyFont="1" applyBorder="1" applyAlignment="1">
      <alignment vertical="center"/>
    </xf>
    <xf numFmtId="3" fontId="34" fillId="0" borderId="13" xfId="30" applyNumberFormat="1" applyFont="1" applyBorder="1" applyAlignment="1">
      <alignment horizontal="center"/>
    </xf>
    <xf numFmtId="3" fontId="34" fillId="0" borderId="84" xfId="0" applyNumberFormat="1" applyFont="1" applyBorder="1" applyAlignment="1">
      <alignment horizontal="center"/>
    </xf>
    <xf numFmtId="3" fontId="43" fillId="0" borderId="13" xfId="30" applyNumberFormat="1" applyFont="1" applyBorder="1" applyAlignment="1">
      <alignment horizontal="left" wrapText="1"/>
    </xf>
    <xf numFmtId="3" fontId="43" fillId="0" borderId="18" xfId="30" applyNumberFormat="1" applyFont="1" applyBorder="1" applyAlignment="1">
      <alignment horizontal="left" wrapText="1"/>
    </xf>
    <xf numFmtId="3" fontId="34" fillId="0" borderId="36" xfId="0" applyNumberFormat="1" applyFont="1" applyBorder="1" applyAlignment="1">
      <alignment horizontal="center" vertical="center"/>
    </xf>
    <xf numFmtId="0" fontId="40" fillId="0" borderId="13" xfId="31" applyFont="1" applyBorder="1" applyAlignment="1">
      <alignment wrapText="1"/>
    </xf>
    <xf numFmtId="0" fontId="46" fillId="0" borderId="13" xfId="31" applyFont="1" applyBorder="1" applyAlignment="1">
      <alignment shrinkToFit="1"/>
    </xf>
    <xf numFmtId="0" fontId="48" fillId="0" borderId="18" xfId="31" applyFont="1" applyBorder="1" applyAlignment="1">
      <alignment wrapText="1"/>
    </xf>
    <xf numFmtId="3" fontId="34" fillId="0" borderId="107" xfId="27" applyNumberFormat="1" applyFont="1" applyBorder="1" applyAlignment="1">
      <alignment wrapText="1"/>
    </xf>
    <xf numFmtId="3" fontId="19" fillId="0" borderId="125" xfId="27" applyNumberFormat="1" applyFont="1" applyBorder="1" applyAlignment="1">
      <alignment wrapText="1"/>
    </xf>
    <xf numFmtId="3" fontId="16" fillId="2" borderId="0" xfId="31" applyNumberFormat="1" applyFont="1" applyFill="1" applyAlignment="1">
      <alignment horizontal="right"/>
    </xf>
    <xf numFmtId="3" fontId="9" fillId="0" borderId="31" xfId="31" applyNumberFormat="1" applyFont="1" applyBorder="1" applyAlignment="1">
      <alignment horizontal="right"/>
    </xf>
    <xf numFmtId="0" fontId="9" fillId="0" borderId="36" xfId="31" applyFont="1" applyBorder="1" applyAlignment="1">
      <alignment horizontal="center" vertical="top"/>
    </xf>
    <xf numFmtId="3" fontId="38" fillId="0" borderId="95" xfId="31" applyNumberFormat="1" applyFont="1" applyBorder="1" applyAlignment="1">
      <alignment horizontal="right"/>
    </xf>
    <xf numFmtId="3" fontId="38" fillId="0" borderId="36" xfId="31" applyNumberFormat="1" applyFont="1" applyBorder="1" applyAlignment="1">
      <alignment horizontal="right"/>
    </xf>
    <xf numFmtId="3" fontId="39" fillId="0" borderId="36" xfId="31" applyNumberFormat="1" applyFont="1" applyBorder="1" applyAlignment="1">
      <alignment horizontal="right"/>
    </xf>
    <xf numFmtId="0" fontId="11" fillId="0" borderId="91" xfId="31" applyFont="1" applyBorder="1" applyAlignment="1">
      <alignment horizontal="center"/>
    </xf>
    <xf numFmtId="3" fontId="9" fillId="0" borderId="93" xfId="31" applyNumberFormat="1" applyFont="1" applyBorder="1" applyAlignment="1">
      <alignment horizontal="right"/>
    </xf>
    <xf numFmtId="3" fontId="11" fillId="0" borderId="34" xfId="28" applyNumberFormat="1" applyFont="1" applyBorder="1" applyAlignment="1">
      <alignment horizontal="center" vertical="center" wrapText="1"/>
    </xf>
    <xf numFmtId="3" fontId="11" fillId="0" borderId="13" xfId="28" applyNumberFormat="1" applyFont="1" applyBorder="1" applyAlignment="1">
      <alignment horizontal="center" vertical="center" wrapText="1"/>
    </xf>
    <xf numFmtId="3" fontId="11" fillId="0" borderId="13" xfId="28" applyNumberFormat="1" applyFont="1" applyBorder="1" applyAlignment="1">
      <alignment horizontal="right" vertical="center" wrapText="1"/>
    </xf>
    <xf numFmtId="3" fontId="9" fillId="0" borderId="94" xfId="28" applyNumberFormat="1" applyFont="1" applyBorder="1" applyAlignment="1">
      <alignment horizontal="right" vertical="center" wrapText="1"/>
    </xf>
    <xf numFmtId="3" fontId="9" fillId="0" borderId="84" xfId="28" applyNumberFormat="1" applyFont="1" applyBorder="1" applyAlignment="1">
      <alignment horizontal="right" vertical="center" wrapText="1"/>
    </xf>
    <xf numFmtId="3" fontId="11" fillId="0" borderId="108" xfId="28" applyNumberFormat="1" applyFont="1" applyBorder="1" applyAlignment="1">
      <alignment horizontal="right" vertical="center" wrapText="1"/>
    </xf>
    <xf numFmtId="3" fontId="11" fillId="0" borderId="33" xfId="28" applyNumberFormat="1" applyFont="1" applyBorder="1" applyAlignment="1">
      <alignment horizontal="center" vertical="center" wrapText="1"/>
    </xf>
    <xf numFmtId="3" fontId="11" fillId="0" borderId="220" xfId="28" applyNumberFormat="1" applyFont="1" applyBorder="1" applyAlignment="1">
      <alignment horizontal="right" vertical="center" wrapText="1"/>
    </xf>
    <xf numFmtId="3" fontId="11" fillId="0" borderId="12" xfId="28" applyNumberFormat="1" applyFont="1" applyBorder="1" applyAlignment="1">
      <alignment horizontal="center" vertical="center" wrapText="1"/>
    </xf>
    <xf numFmtId="3" fontId="11" fillId="0" borderId="195" xfId="28" applyNumberFormat="1" applyFont="1" applyBorder="1" applyAlignment="1">
      <alignment horizontal="right" vertical="center" wrapText="1"/>
    </xf>
    <xf numFmtId="3" fontId="11" fillId="0" borderId="113" xfId="28" applyNumberFormat="1" applyFont="1" applyBorder="1" applyAlignment="1">
      <alignment horizontal="center" vertical="center" wrapText="1"/>
    </xf>
    <xf numFmtId="3" fontId="11" fillId="0" borderId="114" xfId="28" applyNumberFormat="1" applyFont="1" applyBorder="1" applyAlignment="1">
      <alignment horizontal="center" vertical="center" wrapText="1"/>
    </xf>
    <xf numFmtId="3" fontId="9" fillId="0" borderId="116" xfId="28" applyNumberFormat="1" applyFont="1" applyBorder="1" applyAlignment="1">
      <alignment horizontal="right" vertical="center" wrapText="1"/>
    </xf>
    <xf numFmtId="3" fontId="11" fillId="0" borderId="221" xfId="28" applyNumberFormat="1" applyFont="1" applyBorder="1" applyAlignment="1">
      <alignment horizontal="right" vertical="center" wrapText="1"/>
    </xf>
    <xf numFmtId="3" fontId="23" fillId="0" borderId="13" xfId="31" applyNumberFormat="1" applyFont="1" applyBorder="1" applyAlignment="1">
      <alignment horizontal="right"/>
    </xf>
    <xf numFmtId="3" fontId="12" fillId="0" borderId="13" xfId="31" applyNumberFormat="1" applyFont="1" applyBorder="1" applyAlignment="1">
      <alignment horizontal="right"/>
    </xf>
    <xf numFmtId="3" fontId="23" fillId="0" borderId="108" xfId="28" applyNumberFormat="1" applyFont="1" applyBorder="1" applyAlignment="1">
      <alignment horizontal="right" wrapText="1"/>
    </xf>
    <xf numFmtId="3" fontId="12" fillId="0" borderId="108" xfId="28" applyNumberFormat="1" applyFont="1" applyBorder="1" applyAlignment="1">
      <alignment horizontal="right" wrapText="1"/>
    </xf>
    <xf numFmtId="3" fontId="23" fillId="0" borderId="13" xfId="28" applyNumberFormat="1" applyFont="1" applyBorder="1" applyAlignment="1">
      <alignment horizontal="right" wrapText="1"/>
    </xf>
    <xf numFmtId="3" fontId="12" fillId="0" borderId="13" xfId="28" applyNumberFormat="1" applyFont="1" applyBorder="1" applyAlignment="1">
      <alignment horizontal="right" wrapText="1"/>
    </xf>
    <xf numFmtId="3" fontId="50" fillId="0" borderId="84" xfId="28" applyNumberFormat="1" applyFont="1" applyBorder="1" applyAlignment="1">
      <alignment horizontal="right" wrapText="1"/>
    </xf>
    <xf numFmtId="3" fontId="50" fillId="0" borderId="13" xfId="28" applyNumberFormat="1" applyFont="1" applyBorder="1" applyAlignment="1">
      <alignment horizontal="right" wrapText="1"/>
    </xf>
    <xf numFmtId="3" fontId="23" fillId="0" borderId="84" xfId="28" applyNumberFormat="1" applyFont="1" applyBorder="1" applyAlignment="1">
      <alignment horizontal="right" wrapText="1"/>
    </xf>
    <xf numFmtId="3" fontId="12" fillId="0" borderId="84" xfId="28" applyNumberFormat="1" applyFont="1" applyBorder="1" applyAlignment="1">
      <alignment horizontal="right" wrapText="1"/>
    </xf>
    <xf numFmtId="3" fontId="12" fillId="0" borderId="84" xfId="31" applyNumberFormat="1" applyFont="1" applyBorder="1" applyAlignment="1">
      <alignment horizontal="right"/>
    </xf>
    <xf numFmtId="3" fontId="50" fillId="0" borderId="13" xfId="31" applyNumberFormat="1" applyFont="1" applyBorder="1" applyAlignment="1">
      <alignment horizontal="right"/>
    </xf>
    <xf numFmtId="3" fontId="9" fillId="0" borderId="84" xfId="31" applyNumberFormat="1" applyFont="1" applyBorder="1" applyAlignment="1">
      <alignment horizontal="right"/>
    </xf>
    <xf numFmtId="3" fontId="11" fillId="0" borderId="127" xfId="28" applyNumberFormat="1" applyFont="1" applyBorder="1" applyAlignment="1">
      <alignment horizontal="right" wrapText="1"/>
    </xf>
    <xf numFmtId="3" fontId="23" fillId="0" borderId="127" xfId="28" applyNumberFormat="1" applyFont="1" applyBorder="1" applyAlignment="1">
      <alignment horizontal="right" wrapText="1"/>
    </xf>
    <xf numFmtId="3" fontId="12" fillId="0" borderId="127" xfId="28" applyNumberFormat="1" applyFont="1" applyBorder="1" applyAlignment="1">
      <alignment horizontal="right" wrapText="1"/>
    </xf>
    <xf numFmtId="3" fontId="11" fillId="0" borderId="102" xfId="28" applyNumberFormat="1" applyFont="1" applyBorder="1" applyAlignment="1">
      <alignment horizontal="center" vertical="center" wrapText="1"/>
    </xf>
    <xf numFmtId="3" fontId="11" fillId="0" borderId="219" xfId="28" applyNumberFormat="1" applyFont="1" applyBorder="1" applyAlignment="1">
      <alignment horizontal="center" vertical="center" wrapText="1"/>
    </xf>
    <xf numFmtId="3" fontId="11" fillId="0" borderId="93" xfId="28" applyNumberFormat="1" applyFont="1" applyBorder="1" applyAlignment="1">
      <alignment horizontal="center" vertical="center" wrapText="1"/>
    </xf>
    <xf numFmtId="3" fontId="11" fillId="0" borderId="165" xfId="28" applyNumberFormat="1" applyFont="1" applyBorder="1" applyAlignment="1">
      <alignment horizontal="center" vertical="center" wrapText="1"/>
    </xf>
    <xf numFmtId="3" fontId="11" fillId="0" borderId="115" xfId="28" applyNumberFormat="1" applyFont="1" applyBorder="1" applyAlignment="1">
      <alignment horizontal="center" vertical="center" wrapText="1"/>
    </xf>
    <xf numFmtId="3" fontId="11" fillId="0" borderId="166" xfId="28" applyNumberFormat="1" applyFont="1" applyBorder="1" applyAlignment="1">
      <alignment horizontal="center" vertical="center" wrapText="1"/>
    </xf>
    <xf numFmtId="0" fontId="34" fillId="0" borderId="93" xfId="28" applyFont="1" applyBorder="1"/>
    <xf numFmtId="0" fontId="34" fillId="0" borderId="13" xfId="28" applyFont="1" applyBorder="1" applyAlignment="1">
      <alignment horizontal="left"/>
    </xf>
    <xf numFmtId="0" fontId="34" fillId="0" borderId="111" xfId="28" applyFont="1" applyBorder="1"/>
    <xf numFmtId="3" fontId="9" fillId="0" borderId="36" xfId="28" applyNumberFormat="1" applyFont="1" applyBorder="1" applyAlignment="1">
      <alignment horizontal="right"/>
    </xf>
    <xf numFmtId="0" fontId="9" fillId="0" borderId="84" xfId="31" applyFont="1" applyBorder="1" applyAlignment="1">
      <alignment horizontal="center" wrapText="1"/>
    </xf>
    <xf numFmtId="3" fontId="9" fillId="0" borderId="108" xfId="31" applyNumberFormat="1" applyFont="1" applyBorder="1" applyAlignment="1">
      <alignment horizontal="right"/>
    </xf>
    <xf numFmtId="3" fontId="11" fillId="0" borderId="102" xfId="28" applyNumberFormat="1" applyFont="1" applyBorder="1" applyAlignment="1">
      <alignment horizontal="right" vertical="center" wrapText="1"/>
    </xf>
    <xf numFmtId="3" fontId="11" fillId="0" borderId="93" xfId="28" applyNumberFormat="1" applyFont="1" applyBorder="1" applyAlignment="1">
      <alignment horizontal="right" vertical="center" wrapText="1"/>
    </xf>
    <xf numFmtId="3" fontId="11" fillId="0" borderId="144" xfId="28" applyNumberFormat="1" applyFont="1" applyBorder="1" applyAlignment="1">
      <alignment horizontal="center" vertical="center" wrapText="1"/>
    </xf>
    <xf numFmtId="3" fontId="11" fillId="0" borderId="91" xfId="28" applyNumberFormat="1" applyFont="1" applyBorder="1" applyAlignment="1">
      <alignment horizontal="center" vertical="center" wrapText="1"/>
    </xf>
    <xf numFmtId="3" fontId="11" fillId="0" borderId="223" xfId="28" applyNumberFormat="1" applyFont="1" applyBorder="1" applyAlignment="1">
      <alignment horizontal="center" vertical="center" wrapText="1"/>
    </xf>
    <xf numFmtId="3" fontId="11" fillId="0" borderId="115" xfId="28" applyNumberFormat="1" applyFont="1" applyBorder="1" applyAlignment="1">
      <alignment horizontal="right" vertical="center" wrapText="1"/>
    </xf>
    <xf numFmtId="3" fontId="50" fillId="0" borderId="84" xfId="31" applyNumberFormat="1" applyFont="1" applyBorder="1" applyAlignment="1">
      <alignment horizontal="right"/>
    </xf>
    <xf numFmtId="3" fontId="38" fillId="0" borderId="107" xfId="28" applyNumberFormat="1" applyFont="1" applyBorder="1" applyAlignment="1">
      <alignment horizontal="right" wrapText="1"/>
    </xf>
    <xf numFmtId="3" fontId="9" fillId="0" borderId="53" xfId="31" applyNumberFormat="1" applyFont="1" applyBorder="1" applyAlignment="1">
      <alignment horizontal="right"/>
    </xf>
    <xf numFmtId="3" fontId="39" fillId="0" borderId="53" xfId="28" applyNumberFormat="1" applyFont="1" applyBorder="1" applyAlignment="1">
      <alignment horizontal="right"/>
    </xf>
    <xf numFmtId="3" fontId="9" fillId="0" borderId="201" xfId="31" applyNumberFormat="1" applyFont="1" applyBorder="1" applyAlignment="1">
      <alignment horizontal="right"/>
    </xf>
    <xf numFmtId="0" fontId="38" fillId="0" borderId="138" xfId="31" applyFont="1" applyBorder="1" applyAlignment="1">
      <alignment horizontal="center" wrapText="1"/>
    </xf>
    <xf numFmtId="3" fontId="38" fillId="0" borderId="31" xfId="31" applyNumberFormat="1" applyFont="1" applyBorder="1" applyAlignment="1">
      <alignment horizontal="right"/>
    </xf>
    <xf numFmtId="3" fontId="9" fillId="0" borderId="54" xfId="31" applyNumberFormat="1" applyFont="1" applyBorder="1" applyAlignment="1">
      <alignment horizontal="right"/>
    </xf>
    <xf numFmtId="3" fontId="9" fillId="0" borderId="54" xfId="28" applyNumberFormat="1" applyFont="1" applyBorder="1" applyAlignment="1">
      <alignment horizontal="right" wrapText="1"/>
    </xf>
    <xf numFmtId="3" fontId="9" fillId="0" borderId="102" xfId="28" applyNumberFormat="1" applyFont="1" applyBorder="1" applyAlignment="1">
      <alignment horizontal="right" vertical="center" wrapText="1"/>
    </xf>
    <xf numFmtId="3" fontId="9" fillId="0" borderId="93" xfId="28" applyNumberFormat="1" applyFont="1" applyBorder="1" applyAlignment="1">
      <alignment horizontal="right" vertical="center" wrapText="1"/>
    </xf>
    <xf numFmtId="0" fontId="9" fillId="0" borderId="91" xfId="31" applyFont="1" applyBorder="1" applyAlignment="1">
      <alignment horizontal="center"/>
    </xf>
    <xf numFmtId="3" fontId="19" fillId="0" borderId="36" xfId="27" applyNumberFormat="1" applyFont="1" applyBorder="1" applyAlignment="1">
      <alignment wrapText="1"/>
    </xf>
    <xf numFmtId="0" fontId="9" fillId="0" borderId="206" xfId="31" applyFont="1" applyBorder="1" applyAlignment="1">
      <alignment horizontal="center"/>
    </xf>
    <xf numFmtId="0" fontId="11" fillId="0" borderId="206" xfId="28" applyFont="1" applyBorder="1" applyAlignment="1">
      <alignment horizontal="left"/>
    </xf>
    <xf numFmtId="3" fontId="11" fillId="0" borderId="206" xfId="28" applyNumberFormat="1" applyFont="1" applyBorder="1" applyAlignment="1">
      <alignment horizontal="right"/>
    </xf>
    <xf numFmtId="0" fontId="11" fillId="0" borderId="226" xfId="31" applyFont="1" applyBorder="1" applyAlignment="1">
      <alignment horizontal="center" wrapText="1"/>
    </xf>
    <xf numFmtId="3" fontId="11" fillId="0" borderId="227" xfId="28" applyNumberFormat="1" applyFont="1" applyBorder="1" applyAlignment="1">
      <alignment horizontal="right" wrapText="1"/>
    </xf>
    <xf numFmtId="3" fontId="38" fillId="0" borderId="228" xfId="31" applyNumberFormat="1" applyFont="1" applyBorder="1" applyAlignment="1">
      <alignment horizontal="right"/>
    </xf>
    <xf numFmtId="3" fontId="11" fillId="0" borderId="13" xfId="28" applyNumberFormat="1" applyFont="1" applyBorder="1" applyAlignment="1">
      <alignment horizontal="right"/>
    </xf>
    <xf numFmtId="3" fontId="11" fillId="0" borderId="17" xfId="28" applyNumberFormat="1" applyFont="1" applyBorder="1" applyAlignment="1">
      <alignment horizontal="right"/>
    </xf>
    <xf numFmtId="3" fontId="11" fillId="0" borderId="81" xfId="28" applyNumberFormat="1" applyFont="1" applyBorder="1" applyAlignment="1">
      <alignment horizontal="right"/>
    </xf>
    <xf numFmtId="3" fontId="11" fillId="0" borderId="100" xfId="28" applyNumberFormat="1" applyFont="1" applyBorder="1" applyAlignment="1">
      <alignment horizontal="right"/>
    </xf>
    <xf numFmtId="3" fontId="38" fillId="0" borderId="202" xfId="31" applyNumberFormat="1" applyFont="1" applyBorder="1" applyAlignment="1">
      <alignment horizontal="right"/>
    </xf>
    <xf numFmtId="3" fontId="11" fillId="0" borderId="203" xfId="28" applyNumberFormat="1" applyFont="1" applyBorder="1" applyAlignment="1">
      <alignment horizontal="right" wrapText="1"/>
    </xf>
    <xf numFmtId="3" fontId="51" fillId="0" borderId="84" xfId="28" applyNumberFormat="1" applyFont="1" applyBorder="1" applyAlignment="1">
      <alignment horizontal="right" wrapText="1"/>
    </xf>
    <xf numFmtId="3" fontId="51" fillId="0" borderId="108" xfId="28" applyNumberFormat="1" applyFont="1" applyBorder="1" applyAlignment="1">
      <alignment horizontal="right" wrapText="1"/>
    </xf>
    <xf numFmtId="3" fontId="52" fillId="0" borderId="84" xfId="28" applyNumberFormat="1" applyFont="1" applyBorder="1" applyAlignment="1">
      <alignment horizontal="right" wrapText="1"/>
    </xf>
    <xf numFmtId="3" fontId="52" fillId="0" borderId="13" xfId="28" applyNumberFormat="1" applyFont="1" applyBorder="1" applyAlignment="1">
      <alignment horizontal="right" wrapText="1"/>
    </xf>
    <xf numFmtId="3" fontId="51" fillId="0" borderId="13" xfId="28" applyNumberFormat="1" applyFont="1" applyBorder="1" applyAlignment="1">
      <alignment horizontal="right" wrapText="1"/>
    </xf>
    <xf numFmtId="3" fontId="11" fillId="0" borderId="206" xfId="31" applyNumberFormat="1" applyFont="1" applyBorder="1" applyAlignment="1">
      <alignment horizontal="right"/>
    </xf>
    <xf numFmtId="3" fontId="11" fillId="0" borderId="226" xfId="31" applyNumberFormat="1" applyFont="1" applyBorder="1" applyAlignment="1">
      <alignment horizontal="right"/>
    </xf>
    <xf numFmtId="3" fontId="9" fillId="0" borderId="228" xfId="31" applyNumberFormat="1" applyFont="1" applyBorder="1" applyAlignment="1">
      <alignment horizontal="right"/>
    </xf>
    <xf numFmtId="0" fontId="9" fillId="0" borderId="13" xfId="31" applyFont="1" applyBorder="1"/>
    <xf numFmtId="0" fontId="11" fillId="0" borderId="13" xfId="31" applyFont="1" applyBorder="1"/>
    <xf numFmtId="3" fontId="11" fillId="0" borderId="203" xfId="31" applyNumberFormat="1" applyFont="1" applyBorder="1" applyAlignment="1">
      <alignment horizontal="right"/>
    </xf>
    <xf numFmtId="3" fontId="11" fillId="0" borderId="99" xfId="31" applyNumberFormat="1" applyFont="1" applyBorder="1" applyAlignment="1">
      <alignment horizontal="right"/>
    </xf>
    <xf numFmtId="0" fontId="9" fillId="0" borderId="84" xfId="31" applyFont="1" applyBorder="1"/>
    <xf numFmtId="3" fontId="51" fillId="0" borderId="13" xfId="31" applyNumberFormat="1" applyFont="1" applyBorder="1" applyAlignment="1">
      <alignment horizontal="right"/>
    </xf>
    <xf numFmtId="3" fontId="51" fillId="0" borderId="108" xfId="31" applyNumberFormat="1" applyFont="1" applyBorder="1" applyAlignment="1">
      <alignment horizontal="right"/>
    </xf>
    <xf numFmtId="3" fontId="11" fillId="0" borderId="230" xfId="31" applyNumberFormat="1" applyFont="1" applyBorder="1" applyAlignment="1">
      <alignment horizontal="right"/>
    </xf>
    <xf numFmtId="3" fontId="11" fillId="0" borderId="227" xfId="31" applyNumberFormat="1" applyFont="1" applyBorder="1" applyAlignment="1">
      <alignment horizontal="right"/>
    </xf>
    <xf numFmtId="3" fontId="9" fillId="0" borderId="231" xfId="31" applyNumberFormat="1" applyFont="1" applyBorder="1" applyAlignment="1">
      <alignment horizontal="right"/>
    </xf>
    <xf numFmtId="0" fontId="9" fillId="0" borderId="20" xfId="31" applyFont="1" applyBorder="1" applyAlignment="1">
      <alignment horizontal="center"/>
    </xf>
    <xf numFmtId="0" fontId="9" fillId="0" borderId="93" xfId="31" applyFont="1" applyBorder="1"/>
    <xf numFmtId="0" fontId="11" fillId="0" borderId="93" xfId="31" applyFont="1" applyBorder="1"/>
    <xf numFmtId="3" fontId="9" fillId="0" borderId="232" xfId="31" applyNumberFormat="1" applyFont="1" applyBorder="1" applyAlignment="1">
      <alignment horizontal="right"/>
    </xf>
    <xf numFmtId="0" fontId="9" fillId="0" borderId="52" xfId="31" applyFont="1" applyBorder="1" applyAlignment="1">
      <alignment horizontal="center"/>
    </xf>
    <xf numFmtId="3" fontId="11" fillId="0" borderId="228" xfId="31" applyNumberFormat="1" applyFont="1" applyBorder="1" applyAlignment="1">
      <alignment horizontal="right"/>
    </xf>
    <xf numFmtId="0" fontId="11" fillId="0" borderId="70" xfId="28" applyFont="1" applyBorder="1" applyAlignment="1">
      <alignment horizontal="left"/>
    </xf>
    <xf numFmtId="3" fontId="11" fillId="0" borderId="70" xfId="28" applyNumberFormat="1" applyFont="1" applyBorder="1" applyAlignment="1">
      <alignment horizontal="right" wrapText="1"/>
    </xf>
    <xf numFmtId="0" fontId="11" fillId="0" borderId="93" xfId="31" applyFont="1" applyBorder="1" applyAlignment="1">
      <alignment horizontal="center" wrapText="1"/>
    </xf>
    <xf numFmtId="0" fontId="9" fillId="0" borderId="100" xfId="31" applyFont="1" applyBorder="1" applyAlignment="1">
      <alignment horizontal="center"/>
    </xf>
    <xf numFmtId="0" fontId="11" fillId="0" borderId="112" xfId="31" applyFont="1" applyBorder="1" applyAlignment="1">
      <alignment horizontal="center" wrapText="1"/>
    </xf>
    <xf numFmtId="3" fontId="11" fillId="0" borderId="232" xfId="31" applyNumberFormat="1" applyFont="1" applyBorder="1" applyAlignment="1">
      <alignment horizontal="right"/>
    </xf>
    <xf numFmtId="3" fontId="11" fillId="0" borderId="165" xfId="31" applyNumberFormat="1" applyFont="1" applyBorder="1" applyAlignment="1">
      <alignment horizontal="right"/>
    </xf>
    <xf numFmtId="3" fontId="11" fillId="0" borderId="208" xfId="31" applyNumberFormat="1" applyFont="1" applyBorder="1" applyAlignment="1">
      <alignment horizontal="right"/>
    </xf>
    <xf numFmtId="3" fontId="19" fillId="0" borderId="17" xfId="27" applyNumberFormat="1" applyFont="1" applyBorder="1" applyAlignment="1">
      <alignment wrapText="1"/>
    </xf>
    <xf numFmtId="3" fontId="11" fillId="0" borderId="81" xfId="28" applyNumberFormat="1" applyFont="1" applyBorder="1" applyAlignment="1">
      <alignment horizontal="right" wrapText="1"/>
    </xf>
    <xf numFmtId="3" fontId="9" fillId="0" borderId="95" xfId="28" applyNumberFormat="1" applyFont="1" applyBorder="1" applyAlignment="1">
      <alignment horizontal="right" wrapText="1"/>
    </xf>
    <xf numFmtId="0" fontId="9" fillId="0" borderId="229" xfId="31" applyFont="1" applyBorder="1" applyAlignment="1">
      <alignment horizontal="center"/>
    </xf>
    <xf numFmtId="0" fontId="11" fillId="0" borderId="227" xfId="31" applyFont="1" applyBorder="1" applyAlignment="1">
      <alignment horizontal="center" wrapText="1"/>
    </xf>
    <xf numFmtId="3" fontId="11" fillId="0" borderId="206" xfId="28" applyNumberFormat="1" applyFont="1" applyBorder="1" applyAlignment="1">
      <alignment horizontal="right" wrapText="1"/>
    </xf>
    <xf numFmtId="3" fontId="11" fillId="0" borderId="230" xfId="28" applyNumberFormat="1" applyFont="1" applyBorder="1" applyAlignment="1">
      <alignment horizontal="right" wrapText="1"/>
    </xf>
    <xf numFmtId="3" fontId="11" fillId="0" borderId="231" xfId="31" applyNumberFormat="1" applyFont="1" applyBorder="1" applyAlignment="1">
      <alignment horizontal="right"/>
    </xf>
    <xf numFmtId="0" fontId="11" fillId="0" borderId="99" xfId="31" applyFont="1" applyBorder="1" applyAlignment="1">
      <alignment horizontal="center" wrapText="1"/>
    </xf>
    <xf numFmtId="3" fontId="12" fillId="0" borderId="18" xfId="28" applyNumberFormat="1" applyFont="1" applyBorder="1" applyAlignment="1">
      <alignment horizontal="right" wrapText="1"/>
    </xf>
    <xf numFmtId="3" fontId="12" fillId="0" borderId="55" xfId="28" applyNumberFormat="1" applyFont="1" applyBorder="1" applyAlignment="1">
      <alignment horizontal="right" wrapText="1"/>
    </xf>
    <xf numFmtId="0" fontId="11" fillId="0" borderId="101" xfId="28" applyFont="1" applyBorder="1"/>
    <xf numFmtId="3" fontId="11" fillId="0" borderId="119" xfId="31" applyNumberFormat="1" applyFont="1" applyBorder="1" applyAlignment="1">
      <alignment horizontal="right"/>
    </xf>
    <xf numFmtId="3" fontId="52" fillId="0" borderId="195" xfId="31" applyNumberFormat="1" applyFont="1" applyBorder="1" applyAlignment="1">
      <alignment horizontal="right"/>
    </xf>
    <xf numFmtId="3" fontId="9" fillId="0" borderId="115" xfId="28" applyNumberFormat="1" applyFont="1" applyBorder="1" applyAlignment="1">
      <alignment horizontal="right" vertical="center" wrapText="1"/>
    </xf>
    <xf numFmtId="3" fontId="11" fillId="0" borderId="9" xfId="28" applyNumberFormat="1" applyFont="1" applyBorder="1" applyAlignment="1">
      <alignment horizontal="right" vertical="center" wrapText="1"/>
    </xf>
    <xf numFmtId="0" fontId="38" fillId="0" borderId="226" xfId="31" applyFont="1" applyBorder="1" applyAlignment="1">
      <alignment horizontal="center" wrapText="1"/>
    </xf>
    <xf numFmtId="0" fontId="38" fillId="0" borderId="98" xfId="31" applyFont="1" applyBorder="1" applyAlignment="1">
      <alignment horizontal="center" wrapText="1"/>
    </xf>
    <xf numFmtId="3" fontId="51" fillId="0" borderId="87" xfId="28" applyNumberFormat="1" applyFont="1" applyBorder="1" applyAlignment="1">
      <alignment horizontal="right" vertical="center" wrapText="1"/>
    </xf>
    <xf numFmtId="3" fontId="51" fillId="0" borderId="125" xfId="28" applyNumberFormat="1" applyFont="1" applyBorder="1" applyAlignment="1">
      <alignment horizontal="right" vertical="center" wrapText="1"/>
    </xf>
    <xf numFmtId="3" fontId="9" fillId="0" borderId="58" xfId="0" applyNumberFormat="1" applyFont="1" applyBorder="1" applyAlignment="1">
      <alignment horizontal="center" vertical="center" wrapText="1"/>
    </xf>
    <xf numFmtId="3" fontId="11" fillId="0" borderId="233" xfId="0" applyNumberFormat="1" applyFont="1" applyBorder="1" applyAlignment="1">
      <alignment horizontal="right" vertical="center"/>
    </xf>
    <xf numFmtId="1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60" xfId="0" applyNumberFormat="1" applyFont="1" applyBorder="1" applyAlignment="1">
      <alignment horizontal="right" vertical="center" textRotation="180"/>
    </xf>
    <xf numFmtId="3" fontId="11" fillId="0" borderId="62" xfId="0" applyNumberFormat="1" applyFont="1" applyBorder="1" applyAlignment="1">
      <alignment horizontal="right" vertical="center"/>
    </xf>
    <xf numFmtId="3" fontId="11" fillId="0" borderId="237" xfId="0" applyNumberFormat="1" applyFont="1" applyBorder="1" applyAlignment="1">
      <alignment horizontal="right" vertical="center"/>
    </xf>
    <xf numFmtId="3" fontId="9" fillId="0" borderId="78" xfId="0" applyNumberFormat="1" applyFont="1" applyBorder="1" applyAlignment="1">
      <alignment horizontal="right" vertical="center"/>
    </xf>
    <xf numFmtId="3" fontId="18" fillId="0" borderId="36" xfId="0" applyNumberFormat="1" applyFont="1" applyBorder="1" applyAlignment="1">
      <alignment horizontal="right"/>
    </xf>
    <xf numFmtId="3" fontId="18" fillId="0" borderId="38" xfId="0" applyNumberFormat="1" applyFont="1" applyBorder="1"/>
    <xf numFmtId="3" fontId="18" fillId="0" borderId="18" xfId="0" applyNumberFormat="1" applyFont="1" applyBorder="1"/>
    <xf numFmtId="3" fontId="16" fillId="0" borderId="18" xfId="30" applyNumberFormat="1" applyFont="1" applyBorder="1" applyAlignment="1" applyProtection="1">
      <alignment horizontal="center" vertical="top"/>
      <protection locked="0"/>
    </xf>
    <xf numFmtId="0" fontId="16" fillId="0" borderId="52" xfId="32" applyFont="1" applyBorder="1" applyAlignment="1" applyProtection="1">
      <alignment horizontal="center"/>
      <protection locked="0"/>
    </xf>
    <xf numFmtId="3" fontId="16" fillId="0" borderId="36" xfId="30" applyNumberFormat="1" applyFont="1" applyBorder="1" applyAlignment="1" applyProtection="1">
      <alignment horizontal="center"/>
      <protection locked="0"/>
    </xf>
    <xf numFmtId="0" fontId="16" fillId="0" borderId="36" xfId="31" applyFont="1" applyBorder="1" applyAlignment="1" applyProtection="1">
      <alignment horizontal="left" wrapText="1"/>
      <protection locked="0"/>
    </xf>
    <xf numFmtId="0" fontId="16" fillId="0" borderId="36" xfId="32" applyFont="1" applyBorder="1" applyAlignment="1" applyProtection="1">
      <alignment horizontal="center"/>
      <protection locked="0"/>
    </xf>
    <xf numFmtId="3" fontId="16" fillId="0" borderId="36" xfId="32" applyNumberFormat="1" applyFont="1" applyBorder="1" applyAlignment="1" applyProtection="1">
      <alignment vertical="center"/>
      <protection locked="0"/>
    </xf>
    <xf numFmtId="3" fontId="16" fillId="0" borderId="36" xfId="31" applyNumberFormat="1" applyFont="1" applyBorder="1" applyAlignment="1" applyProtection="1">
      <alignment vertical="center"/>
      <protection locked="0"/>
    </xf>
    <xf numFmtId="3" fontId="16" fillId="0" borderId="239" xfId="31" applyNumberFormat="1" applyFont="1" applyBorder="1" applyAlignment="1" applyProtection="1">
      <alignment horizontal="right"/>
      <protection locked="0"/>
    </xf>
    <xf numFmtId="0" fontId="16" fillId="0" borderId="91" xfId="32" applyFont="1" applyBorder="1" applyAlignment="1" applyProtection="1">
      <alignment horizontal="center"/>
      <protection locked="0"/>
    </xf>
    <xf numFmtId="0" fontId="16" fillId="0" borderId="84" xfId="31" applyFont="1" applyBorder="1" applyAlignment="1" applyProtection="1">
      <alignment horizontal="left" wrapText="1"/>
      <protection locked="0"/>
    </xf>
    <xf numFmtId="3" fontId="18" fillId="0" borderId="108" xfId="28" applyNumberFormat="1" applyFont="1" applyBorder="1" applyAlignment="1">
      <alignment horizontal="right" vertical="center" wrapText="1"/>
    </xf>
    <xf numFmtId="3" fontId="18" fillId="0" borderId="13" xfId="31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horizontal="right" wrapText="1"/>
    </xf>
    <xf numFmtId="3" fontId="19" fillId="0" borderId="13" xfId="27" applyNumberFormat="1" applyFont="1" applyBorder="1"/>
    <xf numFmtId="3" fontId="18" fillId="0" borderId="13" xfId="27" applyNumberFormat="1" applyFont="1" applyBorder="1"/>
    <xf numFmtId="3" fontId="19" fillId="0" borderId="36" xfId="0" applyNumberFormat="1" applyFont="1" applyBorder="1" applyAlignment="1">
      <alignment horizontal="right" wrapText="1"/>
    </xf>
    <xf numFmtId="3" fontId="18" fillId="0" borderId="13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22" fillId="0" borderId="37" xfId="0" applyNumberFormat="1" applyFont="1" applyBorder="1" applyAlignment="1">
      <alignment horizontal="right"/>
    </xf>
    <xf numFmtId="3" fontId="12" fillId="0" borderId="13" xfId="27" applyNumberFormat="1" applyFont="1" applyBorder="1"/>
    <xf numFmtId="3" fontId="16" fillId="0" borderId="95" xfId="0" applyNumberFormat="1" applyFont="1" applyBorder="1" applyAlignment="1">
      <alignment horizontal="center" vertical="center"/>
    </xf>
    <xf numFmtId="0" fontId="16" fillId="0" borderId="193" xfId="31" applyFont="1" applyBorder="1" applyAlignment="1">
      <alignment horizontal="center" vertical="center"/>
    </xf>
    <xf numFmtId="0" fontId="16" fillId="0" borderId="36" xfId="31" applyFont="1" applyBorder="1" applyAlignment="1">
      <alignment horizontal="center" vertical="top"/>
    </xf>
    <xf numFmtId="3" fontId="16" fillId="0" borderId="111" xfId="31" applyNumberFormat="1" applyFont="1" applyBorder="1" applyAlignment="1">
      <alignment horizontal="right" vertical="center"/>
    </xf>
    <xf numFmtId="3" fontId="16" fillId="0" borderId="36" xfId="28" applyNumberFormat="1" applyFont="1" applyBorder="1" applyAlignment="1">
      <alignment horizontal="right" vertical="center"/>
    </xf>
    <xf numFmtId="3" fontId="12" fillId="0" borderId="0" xfId="0" applyNumberFormat="1" applyFont="1"/>
    <xf numFmtId="3" fontId="23" fillId="0" borderId="0" xfId="26" applyNumberFormat="1" applyFont="1"/>
    <xf numFmtId="3" fontId="9" fillId="0" borderId="9" xfId="26" applyNumberFormat="1" applyFont="1" applyBorder="1" applyAlignment="1">
      <alignment horizontal="center" vertical="center" wrapText="1"/>
    </xf>
    <xf numFmtId="3" fontId="11" fillId="0" borderId="86" xfId="26" applyNumberFormat="1" applyFont="1" applyBorder="1" applyAlignment="1">
      <alignment horizontal="right" wrapText="1"/>
    </xf>
    <xf numFmtId="3" fontId="9" fillId="0" borderId="49" xfId="26" applyNumberFormat="1" applyFont="1" applyBorder="1" applyAlignment="1">
      <alignment horizontal="center" vertical="center" wrapText="1"/>
    </xf>
    <xf numFmtId="3" fontId="16" fillId="0" borderId="125" xfId="0" applyNumberFormat="1" applyFont="1" applyBorder="1"/>
    <xf numFmtId="3" fontId="16" fillId="0" borderId="108" xfId="0" applyNumberFormat="1" applyFont="1" applyBorder="1"/>
    <xf numFmtId="3" fontId="34" fillId="0" borderId="108" xfId="0" applyNumberFormat="1" applyFont="1" applyBorder="1"/>
    <xf numFmtId="0" fontId="0" fillId="0" borderId="108" xfId="0" applyBorder="1"/>
    <xf numFmtId="3" fontId="34" fillId="0" borderId="125" xfId="0" applyNumberFormat="1" applyFont="1" applyBorder="1"/>
    <xf numFmtId="3" fontId="19" fillId="0" borderId="119" xfId="0" applyNumberFormat="1" applyFont="1" applyBorder="1"/>
    <xf numFmtId="3" fontId="34" fillId="0" borderId="127" xfId="0" applyNumberFormat="1" applyFont="1" applyBorder="1"/>
    <xf numFmtId="3" fontId="34" fillId="0" borderId="203" xfId="0" applyNumberFormat="1" applyFont="1" applyBorder="1"/>
    <xf numFmtId="3" fontId="19" fillId="0" borderId="107" xfId="0" applyNumberFormat="1" applyFont="1" applyBorder="1"/>
    <xf numFmtId="3" fontId="34" fillId="0" borderId="165" xfId="0" applyNumberFormat="1" applyFont="1" applyBorder="1"/>
    <xf numFmtId="3" fontId="16" fillId="0" borderId="107" xfId="30" applyNumberFormat="1" applyFont="1" applyBorder="1" applyAlignment="1">
      <alignment wrapText="1"/>
    </xf>
    <xf numFmtId="3" fontId="0" fillId="0" borderId="108" xfId="0" applyNumberFormat="1" applyBorder="1"/>
    <xf numFmtId="3" fontId="16" fillId="0" borderId="19" xfId="0" applyNumberFormat="1" applyFont="1" applyBorder="1"/>
    <xf numFmtId="3" fontId="16" fillId="0" borderId="17" xfId="0" applyNumberFormat="1" applyFont="1" applyBorder="1"/>
    <xf numFmtId="3" fontId="34" fillId="0" borderId="17" xfId="0" applyNumberFormat="1" applyFont="1" applyBorder="1" applyAlignment="1">
      <alignment vertical="center"/>
    </xf>
    <xf numFmtId="3" fontId="34" fillId="0" borderId="19" xfId="0" applyNumberFormat="1" applyFont="1" applyBorder="1" applyAlignment="1">
      <alignment vertical="center"/>
    </xf>
    <xf numFmtId="3" fontId="22" fillId="0" borderId="104" xfId="0" applyNumberFormat="1" applyFont="1" applyBorder="1" applyAlignment="1">
      <alignment vertical="center"/>
    </xf>
    <xf numFmtId="3" fontId="34" fillId="0" borderId="100" xfId="0" applyNumberFormat="1" applyFont="1" applyBorder="1" applyAlignment="1">
      <alignment vertical="center"/>
    </xf>
    <xf numFmtId="3" fontId="34" fillId="0" borderId="117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18" fillId="0" borderId="17" xfId="0" applyNumberFormat="1" applyFont="1" applyBorder="1"/>
    <xf numFmtId="3" fontId="35" fillId="0" borderId="17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top"/>
    </xf>
    <xf numFmtId="3" fontId="34" fillId="0" borderId="108" xfId="0" applyNumberFormat="1" applyFont="1" applyBorder="1" applyAlignment="1">
      <alignment vertical="center"/>
    </xf>
    <xf numFmtId="3" fontId="22" fillId="0" borderId="119" xfId="0" applyNumberFormat="1" applyFont="1" applyBorder="1" applyAlignment="1">
      <alignment vertical="center"/>
    </xf>
    <xf numFmtId="3" fontId="19" fillId="0" borderId="56" xfId="0" applyNumberFormat="1" applyFont="1" applyBorder="1" applyAlignment="1">
      <alignment vertical="center"/>
    </xf>
    <xf numFmtId="3" fontId="34" fillId="0" borderId="165" xfId="0" applyNumberFormat="1" applyFont="1" applyBorder="1" applyAlignment="1">
      <alignment vertical="center"/>
    </xf>
    <xf numFmtId="3" fontId="19" fillId="0" borderId="56" xfId="0" applyNumberFormat="1" applyFont="1" applyBorder="1" applyAlignment="1">
      <alignment horizontal="right"/>
    </xf>
    <xf numFmtId="3" fontId="43" fillId="0" borderId="17" xfId="0" applyNumberFormat="1" applyFont="1" applyBorder="1" applyAlignment="1">
      <alignment vertical="center"/>
    </xf>
    <xf numFmtId="3" fontId="43" fillId="0" borderId="19" xfId="0" applyNumberFormat="1" applyFont="1" applyBorder="1" applyAlignment="1">
      <alignment vertical="center"/>
    </xf>
    <xf numFmtId="3" fontId="34" fillId="0" borderId="127" xfId="0" applyNumberFormat="1" applyFont="1" applyBorder="1" applyAlignment="1">
      <alignment vertical="center"/>
    </xf>
    <xf numFmtId="3" fontId="19" fillId="0" borderId="56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3" fontId="35" fillId="0" borderId="108" xfId="0" applyNumberFormat="1" applyFont="1" applyBorder="1" applyAlignment="1">
      <alignment horizontal="right" vertical="center"/>
    </xf>
    <xf numFmtId="3" fontId="35" fillId="0" borderId="17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top"/>
    </xf>
    <xf numFmtId="3" fontId="35" fillId="0" borderId="127" xfId="0" applyNumberFormat="1" applyFont="1" applyBorder="1" applyAlignment="1">
      <alignment horizontal="right" vertical="center"/>
    </xf>
    <xf numFmtId="3" fontId="16" fillId="0" borderId="107" xfId="27" applyNumberFormat="1" applyFont="1" applyBorder="1" applyAlignment="1">
      <alignment horizontal="center" vertical="center" wrapText="1"/>
    </xf>
    <xf numFmtId="3" fontId="16" fillId="0" borderId="19" xfId="27" applyNumberFormat="1" applyFont="1" applyBorder="1" applyAlignment="1">
      <alignment horizontal="right"/>
    </xf>
    <xf numFmtId="3" fontId="16" fillId="0" borderId="17" xfId="27" applyNumberFormat="1" applyFont="1" applyBorder="1" applyAlignment="1">
      <alignment horizontal="right"/>
    </xf>
    <xf numFmtId="3" fontId="9" fillId="0" borderId="108" xfId="27" applyNumberFormat="1" applyFont="1" applyBorder="1" applyAlignment="1">
      <alignment horizontal="center" vertical="center"/>
    </xf>
    <xf numFmtId="3" fontId="34" fillId="0" borderId="17" xfId="27" applyNumberFormat="1" applyFont="1" applyBorder="1" applyAlignment="1">
      <alignment horizontal="right"/>
    </xf>
    <xf numFmtId="3" fontId="18" fillId="0" borderId="17" xfId="27" applyNumberFormat="1" applyFont="1" applyBorder="1" applyAlignment="1">
      <alignment horizontal="right"/>
    </xf>
    <xf numFmtId="3" fontId="9" fillId="0" borderId="165" xfId="27" applyNumberFormat="1" applyFont="1" applyBorder="1" applyAlignment="1">
      <alignment horizontal="center" vertical="center"/>
    </xf>
    <xf numFmtId="3" fontId="35" fillId="0" borderId="17" xfId="27" applyNumberFormat="1" applyFont="1" applyBorder="1" applyAlignment="1">
      <alignment horizontal="right"/>
    </xf>
    <xf numFmtId="3" fontId="41" fillId="0" borderId="165" xfId="27" applyNumberFormat="1" applyFont="1" applyBorder="1" applyAlignment="1">
      <alignment horizontal="center" vertical="center"/>
    </xf>
    <xf numFmtId="3" fontId="18" fillId="0" borderId="19" xfId="27" applyNumberFormat="1" applyFont="1" applyBorder="1" applyAlignment="1">
      <alignment horizontal="right"/>
    </xf>
    <xf numFmtId="3" fontId="34" fillId="0" borderId="19" xfId="27" applyNumberFormat="1" applyFont="1" applyBorder="1" applyAlignment="1">
      <alignment horizontal="right"/>
    </xf>
    <xf numFmtId="3" fontId="16" fillId="0" borderId="17" xfId="27" applyNumberFormat="1" applyFont="1" applyBorder="1"/>
    <xf numFmtId="3" fontId="35" fillId="0" borderId="19" xfId="27" applyNumberFormat="1" applyFont="1" applyBorder="1" applyAlignment="1">
      <alignment horizontal="right"/>
    </xf>
    <xf numFmtId="3" fontId="16" fillId="0" borderId="19" xfId="31" applyNumberFormat="1" applyFont="1" applyBorder="1" applyAlignment="1">
      <alignment horizontal="right" vertical="center"/>
    </xf>
    <xf numFmtId="3" fontId="16" fillId="0" borderId="17" xfId="31" applyNumberFormat="1" applyFont="1" applyBorder="1" applyAlignment="1">
      <alignment horizontal="right" vertical="center"/>
    </xf>
    <xf numFmtId="3" fontId="18" fillId="0" borderId="14" xfId="27" applyNumberFormat="1" applyFont="1" applyBorder="1"/>
    <xf numFmtId="3" fontId="19" fillId="0" borderId="14" xfId="27" applyNumberFormat="1" applyFont="1" applyBorder="1"/>
    <xf numFmtId="3" fontId="34" fillId="0" borderId="133" xfId="0" applyNumberFormat="1" applyFont="1" applyBorder="1"/>
    <xf numFmtId="3" fontId="19" fillId="0" borderId="133" xfId="0" applyNumberFormat="1" applyFont="1" applyBorder="1"/>
    <xf numFmtId="3" fontId="34" fillId="0" borderId="37" xfId="0" applyNumberFormat="1" applyFont="1" applyBorder="1" applyAlignment="1">
      <alignment horizontal="right" wrapText="1"/>
    </xf>
    <xf numFmtId="3" fontId="19" fillId="0" borderId="37" xfId="0" applyNumberFormat="1" applyFont="1" applyBorder="1" applyAlignment="1">
      <alignment horizontal="right" wrapText="1"/>
    </xf>
    <xf numFmtId="3" fontId="16" fillId="0" borderId="19" xfId="31" applyNumberFormat="1" applyFont="1" applyBorder="1" applyAlignment="1" applyProtection="1">
      <alignment horizontal="right"/>
      <protection locked="0"/>
    </xf>
    <xf numFmtId="3" fontId="16" fillId="0" borderId="19" xfId="31" applyNumberFormat="1" applyFont="1" applyBorder="1" applyAlignment="1" applyProtection="1">
      <alignment horizontal="right" vertical="center"/>
      <protection locked="0"/>
    </xf>
    <xf numFmtId="3" fontId="16" fillId="0" borderId="19" xfId="31" applyNumberFormat="1" applyFont="1" applyBorder="1" applyAlignment="1" applyProtection="1">
      <alignment horizontal="left"/>
      <protection locked="0"/>
    </xf>
    <xf numFmtId="3" fontId="16" fillId="0" borderId="117" xfId="31" applyNumberFormat="1" applyFont="1" applyBorder="1" applyAlignment="1" applyProtection="1">
      <alignment horizontal="right" vertical="center"/>
      <protection locked="0"/>
    </xf>
    <xf numFmtId="3" fontId="16" fillId="0" borderId="17" xfId="31" applyNumberFormat="1" applyFont="1" applyBorder="1" applyAlignment="1" applyProtection="1">
      <alignment horizontal="right" vertical="center"/>
      <protection locked="0"/>
    </xf>
    <xf numFmtId="3" fontId="19" fillId="0" borderId="123" xfId="31" applyNumberFormat="1" applyFont="1" applyBorder="1" applyAlignment="1" applyProtection="1">
      <alignment horizontal="right" vertical="center"/>
      <protection locked="0"/>
    </xf>
    <xf numFmtId="3" fontId="19" fillId="0" borderId="124" xfId="31" applyNumberFormat="1" applyFont="1" applyBorder="1" applyAlignment="1" applyProtection="1">
      <alignment horizontal="right" vertical="center"/>
      <protection locked="0"/>
    </xf>
    <xf numFmtId="0" fontId="9" fillId="0" borderId="0" xfId="32" applyFont="1"/>
    <xf numFmtId="3" fontId="22" fillId="0" borderId="196" xfId="0" applyNumberFormat="1" applyFont="1" applyBorder="1"/>
    <xf numFmtId="3" fontId="16" fillId="0" borderId="17" xfId="0" applyNumberFormat="1" applyFont="1" applyBorder="1" applyAlignment="1">
      <alignment horizontal="center" vertical="top"/>
    </xf>
    <xf numFmtId="3" fontId="18" fillId="0" borderId="118" xfId="0" applyNumberFormat="1" applyFont="1" applyBorder="1"/>
    <xf numFmtId="3" fontId="16" fillId="0" borderId="95" xfId="30" applyNumberFormat="1" applyFont="1" applyBorder="1" applyAlignment="1">
      <alignment horizontal="left"/>
    </xf>
    <xf numFmtId="9" fontId="9" fillId="0" borderId="93" xfId="33" applyFont="1" applyFill="1" applyBorder="1" applyAlignment="1">
      <alignment vertical="top" wrapText="1"/>
    </xf>
    <xf numFmtId="0" fontId="9" fillId="0" borderId="11" xfId="31" applyFont="1" applyBorder="1" applyAlignment="1">
      <alignment horizontal="center"/>
    </xf>
    <xf numFmtId="3" fontId="11" fillId="0" borderId="11" xfId="31" applyNumberFormat="1" applyFont="1" applyBorder="1" applyAlignment="1">
      <alignment horizontal="right"/>
    </xf>
    <xf numFmtId="3" fontId="11" fillId="0" borderId="11" xfId="28" applyNumberFormat="1" applyFont="1" applyBorder="1" applyAlignment="1">
      <alignment horizontal="right" wrapText="1"/>
    </xf>
    <xf numFmtId="0" fontId="11" fillId="0" borderId="85" xfId="31" applyFont="1" applyBorder="1" applyAlignment="1">
      <alignment horizontal="center" wrapText="1"/>
    </xf>
    <xf numFmtId="3" fontId="11" fillId="0" borderId="242" xfId="31" applyNumberFormat="1" applyFont="1" applyBorder="1" applyAlignment="1">
      <alignment horizontal="right"/>
    </xf>
    <xf numFmtId="3" fontId="11" fillId="0" borderId="119" xfId="28" applyNumberFormat="1" applyFont="1" applyBorder="1" applyAlignment="1">
      <alignment horizontal="right" wrapText="1"/>
    </xf>
    <xf numFmtId="3" fontId="16" fillId="0" borderId="19" xfId="0" applyNumberFormat="1" applyFont="1" applyBorder="1" applyAlignment="1">
      <alignment horizontal="center"/>
    </xf>
    <xf numFmtId="3" fontId="11" fillId="0" borderId="137" xfId="28" applyNumberFormat="1" applyFont="1" applyBorder="1" applyAlignment="1">
      <alignment horizontal="right" wrapText="1"/>
    </xf>
    <xf numFmtId="0" fontId="11" fillId="0" borderId="11" xfId="28" applyFont="1" applyBorder="1" applyAlignment="1">
      <alignment horizontal="left"/>
    </xf>
    <xf numFmtId="3" fontId="9" fillId="0" borderId="111" xfId="31" applyNumberFormat="1" applyFont="1" applyBorder="1" applyAlignment="1">
      <alignment horizontal="right"/>
    </xf>
    <xf numFmtId="0" fontId="9" fillId="0" borderId="85" xfId="31" applyFont="1" applyBorder="1" applyAlignment="1">
      <alignment horizontal="center" wrapText="1"/>
    </xf>
    <xf numFmtId="0" fontId="9" fillId="0" borderId="54" xfId="31" applyFont="1" applyBorder="1" applyAlignment="1">
      <alignment horizontal="center" wrapText="1"/>
    </xf>
    <xf numFmtId="0" fontId="9" fillId="0" borderId="13" xfId="28" applyFont="1" applyBorder="1" applyAlignment="1">
      <alignment horizontal="left" wrapText="1"/>
    </xf>
    <xf numFmtId="3" fontId="9" fillId="0" borderId="13" xfId="31" applyNumberFormat="1" applyFont="1" applyBorder="1" applyAlignment="1">
      <alignment horizontal="right" vertical="top"/>
    </xf>
    <xf numFmtId="3" fontId="22" fillId="0" borderId="13" xfId="27" applyNumberFormat="1" applyFont="1" applyBorder="1"/>
    <xf numFmtId="3" fontId="22" fillId="0" borderId="18" xfId="27" applyNumberFormat="1" applyFont="1" applyBorder="1" applyAlignment="1">
      <alignment horizontal="left" vertical="top" wrapText="1" indent="4"/>
    </xf>
    <xf numFmtId="3" fontId="22" fillId="0" borderId="14" xfId="27" applyNumberFormat="1" applyFont="1" applyBorder="1"/>
    <xf numFmtId="3" fontId="23" fillId="0" borderId="15" xfId="0" applyNumberFormat="1" applyFont="1" applyBorder="1" applyAlignment="1">
      <alignment vertical="center"/>
    </xf>
    <xf numFmtId="0" fontId="18" fillId="0" borderId="0" xfId="31" applyFont="1" applyProtection="1">
      <protection locked="0"/>
    </xf>
    <xf numFmtId="0" fontId="19" fillId="0" borderId="13" xfId="0" applyFont="1" applyBorder="1" applyAlignment="1">
      <alignment wrapText="1"/>
    </xf>
    <xf numFmtId="0" fontId="16" fillId="0" borderId="36" xfId="31" applyFont="1" applyBorder="1" applyAlignment="1">
      <alignment horizontal="center"/>
    </xf>
    <xf numFmtId="3" fontId="9" fillId="0" borderId="0" xfId="31" applyNumberFormat="1" applyFont="1"/>
    <xf numFmtId="0" fontId="9" fillId="0" borderId="53" xfId="31" applyFont="1" applyBorder="1" applyAlignment="1">
      <alignment horizontal="center" vertical="top"/>
    </xf>
    <xf numFmtId="3" fontId="11" fillId="0" borderId="0" xfId="27" applyNumberFormat="1" applyFont="1" applyAlignment="1">
      <alignment horizontal="center" vertical="center"/>
    </xf>
    <xf numFmtId="0" fontId="38" fillId="0" borderId="56" xfId="28" applyFont="1" applyBorder="1"/>
    <xf numFmtId="3" fontId="18" fillId="0" borderId="114" xfId="27" applyNumberFormat="1" applyFont="1" applyBorder="1" applyAlignment="1">
      <alignment horizontal="right"/>
    </xf>
    <xf numFmtId="3" fontId="18" fillId="0" borderId="114" xfId="0" applyNumberFormat="1" applyFont="1" applyBorder="1" applyAlignment="1">
      <alignment horizontal="right" wrapText="1"/>
    </xf>
    <xf numFmtId="3" fontId="18" fillId="0" borderId="114" xfId="28" applyNumberFormat="1" applyFont="1" applyBorder="1" applyAlignment="1">
      <alignment horizontal="right" vertical="center" wrapText="1"/>
    </xf>
    <xf numFmtId="3" fontId="18" fillId="0" borderId="139" xfId="31" applyNumberFormat="1" applyFont="1" applyBorder="1" applyAlignment="1">
      <alignment horizontal="right" vertical="center"/>
    </xf>
    <xf numFmtId="3" fontId="22" fillId="0" borderId="222" xfId="27" applyNumberFormat="1" applyFont="1" applyBorder="1" applyAlignment="1">
      <alignment wrapText="1"/>
    </xf>
    <xf numFmtId="3" fontId="22" fillId="0" borderId="225" xfId="27" applyNumberFormat="1" applyFont="1" applyBorder="1" applyAlignment="1">
      <alignment wrapText="1"/>
    </xf>
    <xf numFmtId="3" fontId="23" fillId="0" borderId="114" xfId="28" applyNumberFormat="1" applyFont="1" applyBorder="1" applyAlignment="1">
      <alignment horizontal="right" wrapText="1"/>
    </xf>
    <xf numFmtId="3" fontId="23" fillId="0" borderId="139" xfId="28" applyNumberFormat="1" applyFont="1" applyBorder="1" applyAlignment="1">
      <alignment horizontal="right" vertical="center" wrapText="1"/>
    </xf>
    <xf numFmtId="0" fontId="11" fillId="0" borderId="53" xfId="28" applyFont="1" applyBorder="1" applyAlignment="1">
      <alignment horizontal="left"/>
    </xf>
    <xf numFmtId="3" fontId="18" fillId="0" borderId="81" xfId="27" applyNumberFormat="1" applyFont="1" applyBorder="1" applyAlignment="1">
      <alignment wrapText="1"/>
    </xf>
    <xf numFmtId="3" fontId="23" fillId="0" borderId="99" xfId="28" applyNumberFormat="1" applyFont="1" applyBorder="1" applyAlignment="1">
      <alignment horizontal="right" wrapText="1"/>
    </xf>
    <xf numFmtId="3" fontId="23" fillId="0" borderId="203" xfId="28" applyNumberFormat="1" applyFont="1" applyBorder="1" applyAlignment="1">
      <alignment horizontal="right" wrapText="1"/>
    </xf>
    <xf numFmtId="3" fontId="23" fillId="0" borderId="81" xfId="31" applyNumberFormat="1" applyFont="1" applyBorder="1" applyAlignment="1">
      <alignment horizontal="right"/>
    </xf>
    <xf numFmtId="3" fontId="23" fillId="0" borderId="203" xfId="31" applyNumberFormat="1" applyFont="1" applyBorder="1" applyAlignment="1">
      <alignment horizontal="right"/>
    </xf>
    <xf numFmtId="3" fontId="18" fillId="0" borderId="100" xfId="27" applyNumberFormat="1" applyFont="1" applyBorder="1" applyAlignment="1">
      <alignment wrapText="1"/>
    </xf>
    <xf numFmtId="3" fontId="23" fillId="0" borderId="81" xfId="28" applyNumberFormat="1" applyFont="1" applyBorder="1" applyAlignment="1">
      <alignment horizontal="right" wrapText="1"/>
    </xf>
    <xf numFmtId="3" fontId="12" fillId="0" borderId="81" xfId="28" applyNumberFormat="1" applyFont="1" applyBorder="1" applyAlignment="1">
      <alignment horizontal="right" wrapText="1"/>
    </xf>
    <xf numFmtId="3" fontId="12" fillId="0" borderId="203" xfId="28" applyNumberFormat="1" applyFont="1" applyBorder="1" applyAlignment="1">
      <alignment horizontal="right" wrapText="1"/>
    </xf>
    <xf numFmtId="3" fontId="18" fillId="0" borderId="120" xfId="27" applyNumberFormat="1" applyFont="1" applyBorder="1" applyAlignment="1">
      <alignment wrapText="1"/>
    </xf>
    <xf numFmtId="3" fontId="23" fillId="0" borderId="222" xfId="28" applyNumberFormat="1" applyFont="1" applyBorder="1" applyAlignment="1">
      <alignment horizontal="right" vertical="center" wrapText="1"/>
    </xf>
    <xf numFmtId="3" fontId="23" fillId="0" borderId="139" xfId="28" applyNumberFormat="1" applyFont="1" applyBorder="1" applyAlignment="1">
      <alignment horizontal="right" wrapText="1"/>
    </xf>
    <xf numFmtId="3" fontId="22" fillId="0" borderId="98" xfId="0" applyNumberFormat="1" applyFont="1" applyBorder="1"/>
    <xf numFmtId="3" fontId="22" fillId="0" borderId="81" xfId="0" applyNumberFormat="1" applyFont="1" applyBorder="1" applyAlignment="1">
      <alignment horizontal="right"/>
    </xf>
    <xf numFmtId="3" fontId="22" fillId="0" borderId="99" xfId="0" applyNumberFormat="1" applyFont="1" applyBorder="1"/>
    <xf numFmtId="3" fontId="22" fillId="0" borderId="81" xfId="0" applyNumberFormat="1" applyFont="1" applyBorder="1"/>
    <xf numFmtId="3" fontId="18" fillId="0" borderId="114" xfId="27" applyNumberFormat="1" applyFont="1" applyBorder="1" applyAlignment="1">
      <alignment wrapText="1"/>
    </xf>
    <xf numFmtId="3" fontId="12" fillId="0" borderId="24" xfId="26" applyNumberFormat="1" applyFont="1" applyBorder="1" applyAlignment="1">
      <alignment horizontal="center" vertical="center"/>
    </xf>
    <xf numFmtId="3" fontId="23" fillId="0" borderId="171" xfId="26" applyNumberFormat="1" applyFont="1" applyBorder="1"/>
    <xf numFmtId="3" fontId="23" fillId="0" borderId="172" xfId="26" applyNumberFormat="1" applyFont="1" applyBorder="1"/>
    <xf numFmtId="3" fontId="23" fillId="0" borderId="15" xfId="26" applyNumberFormat="1" applyFont="1" applyBorder="1"/>
    <xf numFmtId="3" fontId="12" fillId="0" borderId="15" xfId="26" applyNumberFormat="1" applyFont="1" applyBorder="1" applyAlignment="1">
      <alignment vertical="center"/>
    </xf>
    <xf numFmtId="3" fontId="23" fillId="0" borderId="24" xfId="26" applyNumberFormat="1" applyFont="1" applyBorder="1" applyAlignment="1">
      <alignment vertical="center"/>
    </xf>
    <xf numFmtId="3" fontId="12" fillId="0" borderId="15" xfId="26" applyNumberFormat="1" applyFont="1" applyBorder="1" applyAlignment="1">
      <alignment vertical="top"/>
    </xf>
    <xf numFmtId="3" fontId="23" fillId="0" borderId="171" xfId="26" applyNumberFormat="1" applyFont="1" applyBorder="1" applyAlignment="1">
      <alignment horizontal="right" wrapText="1"/>
    </xf>
    <xf numFmtId="3" fontId="23" fillId="0" borderId="15" xfId="26" applyNumberFormat="1" applyFont="1" applyBorder="1" applyAlignment="1">
      <alignment horizontal="right" wrapText="1"/>
    </xf>
    <xf numFmtId="3" fontId="23" fillId="0" borderId="15" xfId="0" applyNumberFormat="1" applyFont="1" applyBorder="1" applyAlignment="1">
      <alignment horizontal="right"/>
    </xf>
    <xf numFmtId="3" fontId="12" fillId="0" borderId="15" xfId="0" applyNumberFormat="1" applyFont="1" applyBorder="1"/>
    <xf numFmtId="3" fontId="12" fillId="0" borderId="15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vertical="center"/>
    </xf>
    <xf numFmtId="3" fontId="23" fillId="0" borderId="15" xfId="0" applyNumberFormat="1" applyFont="1" applyBorder="1"/>
    <xf numFmtId="3" fontId="23" fillId="0" borderId="89" xfId="0" applyNumberFormat="1" applyFont="1" applyBorder="1"/>
    <xf numFmtId="3" fontId="23" fillId="0" borderId="89" xfId="26" applyNumberFormat="1" applyFont="1" applyBorder="1" applyAlignment="1">
      <alignment horizontal="right" wrapText="1"/>
    </xf>
    <xf numFmtId="3" fontId="23" fillId="0" borderId="172" xfId="0" applyNumberFormat="1" applyFont="1" applyBorder="1" applyAlignment="1">
      <alignment horizontal="right" vertical="center"/>
    </xf>
    <xf numFmtId="3" fontId="23" fillId="0" borderId="215" xfId="0" applyNumberFormat="1" applyFont="1" applyBorder="1" applyAlignment="1">
      <alignment horizontal="right" vertical="center"/>
    </xf>
    <xf numFmtId="3" fontId="23" fillId="0" borderId="216" xfId="0" applyNumberFormat="1" applyFont="1" applyBorder="1" applyAlignment="1">
      <alignment horizontal="right" vertical="center"/>
    </xf>
    <xf numFmtId="3" fontId="23" fillId="0" borderId="15" xfId="0" applyNumberFormat="1" applyFont="1" applyBorder="1" applyAlignment="1">
      <alignment horizontal="right" vertical="center"/>
    </xf>
    <xf numFmtId="3" fontId="23" fillId="0" borderId="173" xfId="0" applyNumberFormat="1" applyFont="1" applyBorder="1" applyAlignment="1">
      <alignment horizontal="right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60" xfId="0" applyFont="1" applyBorder="1"/>
    <xf numFmtId="0" fontId="9" fillId="0" borderId="60" xfId="0" applyFont="1" applyBorder="1" applyAlignment="1">
      <alignment vertical="center"/>
    </xf>
    <xf numFmtId="165" fontId="9" fillId="0" borderId="187" xfId="33" applyNumberFormat="1" applyFont="1" applyFill="1" applyBorder="1" applyAlignment="1">
      <alignment horizontal="right"/>
    </xf>
    <xf numFmtId="3" fontId="23" fillId="0" borderId="184" xfId="0" applyNumberFormat="1" applyFont="1" applyBorder="1" applyAlignment="1">
      <alignment horizontal="center" vertical="center" wrapText="1"/>
    </xf>
    <xf numFmtId="3" fontId="23" fillId="0" borderId="234" xfId="0" applyNumberFormat="1" applyFont="1" applyBorder="1" applyAlignment="1">
      <alignment horizontal="right"/>
    </xf>
    <xf numFmtId="3" fontId="23" fillId="0" borderId="234" xfId="0" applyNumberFormat="1" applyFont="1" applyBorder="1"/>
    <xf numFmtId="3" fontId="23" fillId="0" borderId="190" xfId="0" applyNumberFormat="1" applyFont="1" applyBorder="1" applyAlignment="1">
      <alignment vertical="center"/>
    </xf>
    <xf numFmtId="3" fontId="23" fillId="0" borderId="235" xfId="0" applyNumberFormat="1" applyFont="1" applyBorder="1" applyAlignment="1">
      <alignment horizontal="right" vertical="center"/>
    </xf>
    <xf numFmtId="3" fontId="23" fillId="0" borderId="76" xfId="0" applyNumberFormat="1" applyFont="1" applyBorder="1" applyAlignment="1">
      <alignment horizontal="right" vertical="center"/>
    </xf>
    <xf numFmtId="3" fontId="23" fillId="0" borderId="234" xfId="0" applyNumberFormat="1" applyFont="1" applyBorder="1" applyAlignment="1">
      <alignment horizontal="right" vertical="center"/>
    </xf>
    <xf numFmtId="3" fontId="23" fillId="0" borderId="238" xfId="0" applyNumberFormat="1" applyFont="1" applyBorder="1" applyAlignment="1">
      <alignment horizontal="right" vertical="center"/>
    </xf>
    <xf numFmtId="3" fontId="23" fillId="0" borderId="236" xfId="0" applyNumberFormat="1" applyFont="1" applyBorder="1" applyAlignment="1">
      <alignment horizontal="right" vertical="center"/>
    </xf>
    <xf numFmtId="165" fontId="23" fillId="0" borderId="243" xfId="33" applyNumberFormat="1" applyFont="1" applyFill="1" applyBorder="1" applyAlignment="1">
      <alignment horizontal="right"/>
    </xf>
    <xf numFmtId="165" fontId="23" fillId="0" borderId="150" xfId="33" applyNumberFormat="1" applyFont="1" applyFill="1" applyBorder="1" applyAlignment="1">
      <alignment horizontal="right"/>
    </xf>
    <xf numFmtId="3" fontId="23" fillId="0" borderId="64" xfId="0" applyNumberFormat="1" applyFont="1" applyBorder="1" applyAlignment="1">
      <alignment horizontal="right" vertical="center"/>
    </xf>
    <xf numFmtId="3" fontId="23" fillId="0" borderId="240" xfId="0" applyNumberFormat="1" applyFont="1" applyBorder="1" applyAlignment="1">
      <alignment horizontal="right" vertical="center"/>
    </xf>
    <xf numFmtId="3" fontId="23" fillId="0" borderId="241" xfId="0" applyNumberFormat="1" applyFont="1" applyBorder="1" applyAlignment="1">
      <alignment horizontal="right" vertical="center"/>
    </xf>
    <xf numFmtId="0" fontId="23" fillId="0" borderId="59" xfId="0" applyFont="1" applyBorder="1" applyAlignment="1">
      <alignment horizontal="center" vertical="center"/>
    </xf>
    <xf numFmtId="0" fontId="23" fillId="0" borderId="65" xfId="0" applyFont="1" applyBorder="1"/>
    <xf numFmtId="0" fontId="23" fillId="0" borderId="65" xfId="0" applyFont="1" applyBorder="1" applyAlignment="1">
      <alignment vertical="center"/>
    </xf>
    <xf numFmtId="165" fontId="23" fillId="0" borderId="200" xfId="33" applyNumberFormat="1" applyFont="1" applyFill="1" applyBorder="1" applyAlignment="1">
      <alignment horizontal="right"/>
    </xf>
    <xf numFmtId="165" fontId="23" fillId="0" borderId="23" xfId="33" applyNumberFormat="1" applyFont="1" applyFill="1" applyBorder="1" applyAlignment="1">
      <alignment horizontal="right"/>
    </xf>
    <xf numFmtId="3" fontId="23" fillId="0" borderId="65" xfId="0" applyNumberFormat="1" applyFont="1" applyBorder="1"/>
    <xf numFmtId="3" fontId="22" fillId="0" borderId="84" xfId="27" applyNumberFormat="1" applyFont="1" applyBorder="1" applyAlignment="1">
      <alignment horizontal="right"/>
    </xf>
    <xf numFmtId="3" fontId="18" fillId="0" borderId="84" xfId="28" applyNumberFormat="1" applyFont="1" applyBorder="1" applyAlignment="1">
      <alignment horizontal="right" vertical="center" wrapText="1"/>
    </xf>
    <xf numFmtId="3" fontId="23" fillId="0" borderId="65" xfId="0" applyNumberFormat="1" applyFont="1" applyBorder="1" applyAlignment="1">
      <alignment horizontal="right"/>
    </xf>
    <xf numFmtId="3" fontId="23" fillId="0" borderId="65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 wrapText="1"/>
    </xf>
    <xf numFmtId="3" fontId="16" fillId="0" borderId="17" xfId="30" applyNumberFormat="1" applyFont="1" applyBorder="1" applyAlignment="1">
      <alignment horizontal="left" wrapText="1"/>
    </xf>
    <xf numFmtId="3" fontId="16" fillId="0" borderId="17" xfId="30" applyNumberFormat="1" applyFont="1" applyBorder="1" applyAlignment="1">
      <alignment horizontal="left"/>
    </xf>
    <xf numFmtId="3" fontId="16" fillId="0" borderId="84" xfId="30" applyNumberFormat="1" applyFont="1" applyBorder="1" applyAlignment="1">
      <alignment horizontal="left"/>
    </xf>
    <xf numFmtId="3" fontId="16" fillId="0" borderId="122" xfId="31" applyNumberFormat="1" applyFont="1" applyBorder="1" applyAlignment="1">
      <alignment horizontal="center" vertical="center" wrapText="1"/>
    </xf>
    <xf numFmtId="3" fontId="22" fillId="0" borderId="244" xfId="0" applyNumberFormat="1" applyFont="1" applyBorder="1"/>
    <xf numFmtId="0" fontId="0" fillId="0" borderId="113" xfId="0" applyBorder="1"/>
    <xf numFmtId="0" fontId="0" fillId="0" borderId="114" xfId="0" applyBorder="1"/>
    <xf numFmtId="3" fontId="18" fillId="0" borderId="222" xfId="27" applyNumberFormat="1" applyFont="1" applyBorder="1" applyAlignment="1">
      <alignment wrapText="1"/>
    </xf>
    <xf numFmtId="0" fontId="0" fillId="0" borderId="139" xfId="0" applyBorder="1"/>
    <xf numFmtId="3" fontId="22" fillId="0" borderId="116" xfId="0" applyNumberFormat="1" applyFont="1" applyBorder="1"/>
    <xf numFmtId="3" fontId="22" fillId="0" borderId="114" xfId="0" applyNumberFormat="1" applyFont="1" applyBorder="1"/>
    <xf numFmtId="3" fontId="22" fillId="0" borderId="245" xfId="0" applyNumberFormat="1" applyFont="1" applyBorder="1"/>
    <xf numFmtId="3" fontId="22" fillId="0" borderId="244" xfId="0" applyNumberFormat="1" applyFont="1" applyBorder="1" applyAlignment="1">
      <alignment horizontal="right"/>
    </xf>
    <xf numFmtId="3" fontId="35" fillId="0" borderId="113" xfId="0" applyNumberFormat="1" applyFont="1" applyBorder="1" applyAlignment="1">
      <alignment horizontal="left" vertical="center" wrapText="1"/>
    </xf>
    <xf numFmtId="3" fontId="35" fillId="0" borderId="114" xfId="0" applyNumberFormat="1" applyFont="1" applyBorder="1" applyAlignment="1">
      <alignment horizontal="left" vertical="center" wrapText="1"/>
    </xf>
    <xf numFmtId="3" fontId="35" fillId="0" borderId="114" xfId="0" applyNumberFormat="1" applyFont="1" applyBorder="1" applyAlignment="1">
      <alignment horizontal="right" vertical="center"/>
    </xf>
    <xf numFmtId="3" fontId="35" fillId="0" borderId="139" xfId="0" applyNumberFormat="1" applyFont="1" applyBorder="1" applyAlignment="1">
      <alignment horizontal="right" vertical="center"/>
    </xf>
    <xf numFmtId="3" fontId="22" fillId="0" borderId="116" xfId="0" applyNumberFormat="1" applyFont="1" applyBorder="1" applyAlignment="1">
      <alignment horizontal="right" vertical="center"/>
    </xf>
    <xf numFmtId="3" fontId="18" fillId="0" borderId="114" xfId="0" applyNumberFormat="1" applyFont="1" applyBorder="1" applyAlignment="1">
      <alignment horizontal="right" vertical="center"/>
    </xf>
    <xf numFmtId="3" fontId="18" fillId="0" borderId="245" xfId="0" applyNumberFormat="1" applyFont="1" applyBorder="1" applyAlignment="1">
      <alignment horizontal="right" vertical="center"/>
    </xf>
    <xf numFmtId="3" fontId="18" fillId="0" borderId="136" xfId="31" applyNumberFormat="1" applyFont="1" applyBorder="1" applyAlignment="1" applyProtection="1">
      <alignment horizontal="left"/>
      <protection locked="0"/>
    </xf>
    <xf numFmtId="3" fontId="18" fillId="0" borderId="14" xfId="31" applyNumberFormat="1" applyFont="1" applyBorder="1" applyProtection="1">
      <protection locked="0"/>
    </xf>
    <xf numFmtId="3" fontId="18" fillId="0" borderId="14" xfId="31" applyNumberFormat="1" applyFont="1" applyBorder="1" applyAlignment="1" applyProtection="1">
      <alignment horizontal="left"/>
      <protection locked="0"/>
    </xf>
    <xf numFmtId="3" fontId="18" fillId="0" borderId="14" xfId="31" applyNumberFormat="1" applyFont="1" applyBorder="1" applyAlignment="1" applyProtection="1">
      <alignment vertical="top"/>
      <protection locked="0"/>
    </xf>
    <xf numFmtId="3" fontId="18" fillId="0" borderId="37" xfId="31" applyNumberFormat="1" applyFont="1" applyBorder="1" applyProtection="1">
      <protection locked="0"/>
    </xf>
    <xf numFmtId="3" fontId="22" fillId="0" borderId="246" xfId="31" applyNumberFormat="1" applyFont="1" applyBorder="1" applyAlignment="1" applyProtection="1">
      <alignment horizontal="right" vertical="center"/>
      <protection locked="0"/>
    </xf>
    <xf numFmtId="3" fontId="18" fillId="0" borderId="22" xfId="31" applyNumberFormat="1" applyFont="1" applyBorder="1" applyAlignment="1" applyProtection="1">
      <alignment horizontal="left"/>
      <protection locked="0"/>
    </xf>
    <xf numFmtId="3" fontId="18" fillId="0" borderId="247" xfId="31" applyNumberFormat="1" applyFont="1" applyBorder="1" applyProtection="1">
      <protection locked="0"/>
    </xf>
    <xf numFmtId="3" fontId="22" fillId="0" borderId="21" xfId="31" applyNumberFormat="1" applyFont="1" applyBorder="1" applyAlignment="1" applyProtection="1">
      <alignment horizontal="right" vertical="center"/>
      <protection locked="0"/>
    </xf>
    <xf numFmtId="3" fontId="18" fillId="0" borderId="195" xfId="0" applyNumberFormat="1" applyFont="1" applyBorder="1"/>
    <xf numFmtId="3" fontId="18" fillId="0" borderId="245" xfId="0" applyNumberFormat="1" applyFont="1" applyBorder="1" applyAlignment="1">
      <alignment horizontal="right" wrapText="1"/>
    </xf>
    <xf numFmtId="3" fontId="9" fillId="5" borderId="80" xfId="29" applyNumberFormat="1" applyFont="1" applyFill="1" applyBorder="1" applyAlignment="1">
      <alignment horizontal="center" vertical="center" wrapText="1"/>
    </xf>
    <xf numFmtId="3" fontId="9" fillId="5" borderId="93" xfId="29" applyNumberFormat="1" applyFont="1" applyFill="1" applyBorder="1" applyAlignment="1">
      <alignment horizontal="right" vertical="center" wrapText="1"/>
    </xf>
    <xf numFmtId="3" fontId="9" fillId="5" borderId="101" xfId="29" applyNumberFormat="1" applyFont="1" applyFill="1" applyBorder="1" applyAlignment="1">
      <alignment horizontal="right" vertical="center" wrapText="1"/>
    </xf>
    <xf numFmtId="3" fontId="9" fillId="5" borderId="111" xfId="29" applyNumberFormat="1" applyFont="1" applyFill="1" applyBorder="1" applyAlignment="1">
      <alignment horizontal="right" vertical="center" wrapText="1"/>
    </xf>
    <xf numFmtId="3" fontId="11" fillId="0" borderId="124" xfId="29" applyNumberFormat="1" applyFont="1" applyBorder="1" applyAlignment="1">
      <alignment horizontal="right" vertical="center"/>
    </xf>
    <xf numFmtId="3" fontId="11" fillId="5" borderId="28" xfId="29" applyNumberFormat="1" applyFont="1" applyFill="1" applyBorder="1" applyAlignment="1">
      <alignment horizontal="right" vertical="center"/>
    </xf>
    <xf numFmtId="3" fontId="9" fillId="5" borderId="31" xfId="29" applyNumberFormat="1" applyFont="1" applyFill="1" applyBorder="1" applyAlignment="1">
      <alignment horizontal="center" vertical="center" wrapText="1"/>
    </xf>
    <xf numFmtId="3" fontId="11" fillId="5" borderId="30" xfId="29" applyNumberFormat="1" applyFont="1" applyFill="1" applyBorder="1" applyAlignment="1">
      <alignment horizontal="right" vertical="center"/>
    </xf>
    <xf numFmtId="3" fontId="18" fillId="0" borderId="0" xfId="29" applyNumberFormat="1" applyFont="1" applyAlignment="1">
      <alignment horizontal="right"/>
    </xf>
    <xf numFmtId="3" fontId="18" fillId="0" borderId="0" xfId="29" applyNumberFormat="1" applyFont="1"/>
    <xf numFmtId="3" fontId="9" fillId="5" borderId="106" xfId="29" applyNumberFormat="1" applyFont="1" applyFill="1" applyBorder="1" applyAlignment="1">
      <alignment horizontal="right" vertical="center"/>
    </xf>
    <xf numFmtId="3" fontId="9" fillId="5" borderId="106" xfId="29" applyNumberFormat="1" applyFont="1" applyFill="1" applyBorder="1" applyAlignment="1">
      <alignment horizontal="right" vertical="center" wrapText="1"/>
    </xf>
    <xf numFmtId="0" fontId="9" fillId="0" borderId="0" xfId="53" applyFont="1" applyAlignment="1">
      <alignment horizontal="center" vertical="center"/>
    </xf>
    <xf numFmtId="0" fontId="9" fillId="0" borderId="0" xfId="53" applyFont="1"/>
    <xf numFmtId="0" fontId="9" fillId="0" borderId="0" xfId="53" applyFont="1" applyAlignment="1">
      <alignment vertical="center"/>
    </xf>
    <xf numFmtId="0" fontId="9" fillId="0" borderId="0" xfId="54" applyFont="1" applyAlignment="1">
      <alignment horizontal="center" vertical="center"/>
    </xf>
    <xf numFmtId="0" fontId="12" fillId="0" borderId="0" xfId="53" applyFont="1" applyAlignment="1">
      <alignment horizontal="right"/>
    </xf>
    <xf numFmtId="0" fontId="16" fillId="0" borderId="0" xfId="53" applyFont="1" applyAlignment="1">
      <alignment horizontal="center" vertical="center"/>
    </xf>
    <xf numFmtId="0" fontId="16" fillId="0" borderId="0" xfId="55" applyFont="1" applyAlignment="1">
      <alignment horizontal="center"/>
    </xf>
    <xf numFmtId="0" fontId="16" fillId="0" borderId="0" xfId="53" applyFont="1" applyAlignment="1">
      <alignment horizontal="center"/>
    </xf>
    <xf numFmtId="0" fontId="13" fillId="0" borderId="0" xfId="53" applyFont="1"/>
    <xf numFmtId="0" fontId="16" fillId="0" borderId="251" xfId="54" applyFont="1" applyBorder="1" applyAlignment="1">
      <alignment horizontal="center" vertical="center" wrapText="1"/>
    </xf>
    <xf numFmtId="0" fontId="16" fillId="0" borderId="252" xfId="54" applyFont="1" applyBorder="1" applyAlignment="1">
      <alignment horizontal="center" vertical="center" wrapText="1"/>
    </xf>
    <xf numFmtId="0" fontId="13" fillId="0" borderId="0" xfId="53" applyFont="1" applyAlignment="1">
      <alignment horizontal="center" vertical="center"/>
    </xf>
    <xf numFmtId="3" fontId="13" fillId="0" borderId="0" xfId="53" applyNumberFormat="1" applyFont="1"/>
    <xf numFmtId="0" fontId="16" fillId="0" borderId="255" xfId="53" applyFont="1" applyBorder="1" applyAlignment="1">
      <alignment horizontal="center" vertical="top"/>
    </xf>
    <xf numFmtId="0" fontId="16" fillId="0" borderId="81" xfId="53" applyFont="1" applyBorder="1" applyAlignment="1">
      <alignment horizontal="center" vertical="center" wrapText="1"/>
    </xf>
    <xf numFmtId="14" fontId="16" fillId="0" borderId="81" xfId="53" applyNumberFormat="1" applyFont="1" applyBorder="1" applyAlignment="1">
      <alignment horizontal="center" vertical="center" wrapText="1"/>
    </xf>
    <xf numFmtId="14" fontId="16" fillId="0" borderId="81" xfId="53" applyNumberFormat="1" applyFont="1" applyBorder="1" applyAlignment="1">
      <alignment horizontal="center" vertical="center"/>
    </xf>
    <xf numFmtId="3" fontId="16" fillId="0" borderId="81" xfId="57" applyNumberFormat="1" applyFont="1" applyBorder="1" applyAlignment="1">
      <alignment horizontal="center" vertical="center"/>
    </xf>
    <xf numFmtId="3" fontId="16" fillId="0" borderId="244" xfId="57" applyNumberFormat="1" applyFont="1" applyBorder="1" applyAlignment="1">
      <alignment horizontal="center" vertical="center"/>
    </xf>
    <xf numFmtId="0" fontId="19" fillId="0" borderId="198" xfId="54" applyFont="1" applyBorder="1" applyAlignment="1">
      <alignment horizontal="center" vertical="center"/>
    </xf>
    <xf numFmtId="3" fontId="19" fillId="0" borderId="128" xfId="53" applyNumberFormat="1" applyFont="1" applyBorder="1" applyAlignment="1">
      <alignment vertical="center"/>
    </xf>
    <xf numFmtId="3" fontId="19" fillId="0" borderId="128" xfId="53" applyNumberFormat="1" applyFont="1" applyBorder="1" applyAlignment="1">
      <alignment horizontal="center" vertical="center"/>
    </xf>
    <xf numFmtId="3" fontId="19" fillId="0" borderId="256" xfId="53" applyNumberFormat="1" applyFont="1" applyBorder="1" applyAlignment="1">
      <alignment horizontal="center" vertical="center"/>
    </xf>
    <xf numFmtId="0" fontId="13" fillId="0" borderId="0" xfId="53" applyFont="1" applyAlignment="1">
      <alignment vertical="center"/>
    </xf>
    <xf numFmtId="0" fontId="9" fillId="0" borderId="0" xfId="54" applyFont="1" applyAlignment="1">
      <alignment horizontal="center"/>
    </xf>
    <xf numFmtId="0" fontId="9" fillId="0" borderId="0" xfId="54" applyFont="1"/>
    <xf numFmtId="3" fontId="9" fillId="0" borderId="0" xfId="54" applyNumberFormat="1" applyFont="1" applyAlignment="1">
      <alignment horizontal="center"/>
    </xf>
    <xf numFmtId="3" fontId="18" fillId="4" borderId="14" xfId="0" applyNumberFormat="1" applyFont="1" applyFill="1" applyBorder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3" fontId="11" fillId="0" borderId="0" xfId="26" applyNumberFormat="1" applyFont="1" applyAlignment="1">
      <alignment horizontal="center" vertical="center"/>
    </xf>
    <xf numFmtId="3" fontId="19" fillId="0" borderId="144" xfId="30" applyNumberFormat="1" applyFont="1" applyBorder="1" applyAlignment="1">
      <alignment horizontal="center" vertical="center"/>
    </xf>
    <xf numFmtId="3" fontId="19" fillId="0" borderId="102" xfId="30" applyNumberFormat="1" applyFont="1" applyBorder="1" applyAlignment="1">
      <alignment horizontal="center" vertical="center"/>
    </xf>
    <xf numFmtId="3" fontId="19" fillId="0" borderId="94" xfId="30" applyNumberFormat="1" applyFont="1" applyBorder="1" applyAlignment="1">
      <alignment horizontal="center" vertical="center"/>
    </xf>
    <xf numFmtId="3" fontId="19" fillId="0" borderId="17" xfId="30" applyNumberFormat="1" applyFont="1" applyBorder="1" applyAlignment="1">
      <alignment horizontal="left" wrapText="1"/>
    </xf>
    <xf numFmtId="3" fontId="19" fillId="0" borderId="84" xfId="30" applyNumberFormat="1" applyFont="1" applyBorder="1" applyAlignment="1">
      <alignment horizontal="left" wrapText="1"/>
    </xf>
    <xf numFmtId="3" fontId="22" fillId="0" borderId="104" xfId="0" applyNumberFormat="1" applyFont="1" applyBorder="1" applyAlignment="1">
      <alignment horizontal="left" vertical="center"/>
    </xf>
    <xf numFmtId="3" fontId="22" fillId="0" borderId="143" xfId="0" applyNumberFormat="1" applyFont="1" applyBorder="1" applyAlignment="1">
      <alignment horizontal="left" vertical="center"/>
    </xf>
    <xf numFmtId="3" fontId="22" fillId="0" borderId="55" xfId="0" applyNumberFormat="1" applyFont="1" applyBorder="1" applyAlignment="1">
      <alignment horizontal="left" vertical="center"/>
    </xf>
    <xf numFmtId="3" fontId="19" fillId="0" borderId="144" xfId="0" applyNumberFormat="1" applyFont="1" applyBorder="1" applyAlignment="1">
      <alignment horizontal="center" vertical="center"/>
    </xf>
    <xf numFmtId="3" fontId="19" fillId="0" borderId="102" xfId="0" applyNumberFormat="1" applyFont="1" applyBorder="1" applyAlignment="1">
      <alignment horizontal="center" vertical="center"/>
    </xf>
    <xf numFmtId="3" fontId="19" fillId="0" borderId="55" xfId="0" applyNumberFormat="1" applyFont="1" applyBorder="1" applyAlignment="1">
      <alignment horizontal="center" vertical="center"/>
    </xf>
    <xf numFmtId="3" fontId="19" fillId="0" borderId="56" xfId="30" applyNumberFormat="1" applyFont="1" applyBorder="1" applyAlignment="1">
      <alignment horizontal="left" wrapText="1"/>
    </xf>
    <xf numFmtId="3" fontId="19" fillId="0" borderId="102" xfId="30" applyNumberFormat="1" applyFont="1" applyBorder="1" applyAlignment="1">
      <alignment horizontal="left" wrapText="1"/>
    </xf>
    <xf numFmtId="3" fontId="16" fillId="0" borderId="17" xfId="30" applyNumberFormat="1" applyFont="1" applyBorder="1" applyAlignment="1">
      <alignment horizontal="left" wrapText="1"/>
    </xf>
    <xf numFmtId="3" fontId="16" fillId="0" borderId="84" xfId="30" applyNumberFormat="1" applyFont="1" applyBorder="1" applyAlignment="1">
      <alignment horizontal="left" wrapText="1"/>
    </xf>
    <xf numFmtId="3" fontId="19" fillId="0" borderId="83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3" fontId="16" fillId="0" borderId="145" xfId="0" applyNumberFormat="1" applyFont="1" applyBorder="1" applyAlignment="1">
      <alignment horizontal="center" vertical="center"/>
    </xf>
    <xf numFmtId="3" fontId="16" fillId="0" borderId="145" xfId="0" applyNumberFormat="1" applyFont="1" applyBorder="1" applyAlignment="1">
      <alignment horizontal="center" vertical="center" wrapText="1"/>
    </xf>
    <xf numFmtId="3" fontId="19" fillId="0" borderId="19" xfId="30" applyNumberFormat="1" applyFont="1" applyBorder="1" applyAlignment="1">
      <alignment horizontal="left" wrapText="1"/>
    </xf>
    <xf numFmtId="3" fontId="19" fillId="0" borderId="55" xfId="30" applyNumberFormat="1" applyFont="1" applyBorder="1" applyAlignment="1">
      <alignment horizontal="left" wrapText="1"/>
    </xf>
    <xf numFmtId="3" fontId="22" fillId="0" borderId="85" xfId="0" applyNumberFormat="1" applyFont="1" applyBorder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6" fillId="0" borderId="140" xfId="0" applyNumberFormat="1" applyFont="1" applyBorder="1" applyAlignment="1">
      <alignment horizontal="center" vertical="center" textRotation="90"/>
    </xf>
    <xf numFmtId="3" fontId="16" fillId="0" borderId="141" xfId="0" applyNumberFormat="1" applyFont="1" applyBorder="1" applyAlignment="1">
      <alignment horizontal="center" vertical="center" textRotation="90"/>
    </xf>
    <xf numFmtId="3" fontId="16" fillId="0" borderId="146" xfId="0" applyNumberFormat="1" applyFont="1" applyBorder="1" applyAlignment="1">
      <alignment horizontal="center" vertical="center" textRotation="90"/>
    </xf>
    <xf numFmtId="0" fontId="0" fillId="0" borderId="79" xfId="0" applyBorder="1" applyAlignment="1">
      <alignment horizontal="center" vertical="center"/>
    </xf>
    <xf numFmtId="3" fontId="19" fillId="0" borderId="146" xfId="0" applyNumberFormat="1" applyFont="1" applyBorder="1" applyAlignment="1">
      <alignment horizontal="center" vertical="center"/>
    </xf>
    <xf numFmtId="3" fontId="19" fillId="0" borderId="83" xfId="0" applyNumberFormat="1" applyFont="1" applyBorder="1" applyAlignment="1">
      <alignment horizontal="center" vertical="center"/>
    </xf>
    <xf numFmtId="3" fontId="19" fillId="0" borderId="79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16" fillId="0" borderId="142" xfId="0" applyNumberFormat="1" applyFont="1" applyBorder="1" applyAlignment="1">
      <alignment horizontal="center" vertical="center" wrapText="1"/>
    </xf>
    <xf numFmtId="3" fontId="16" fillId="0" borderId="132" xfId="0" applyNumberFormat="1" applyFont="1" applyBorder="1" applyAlignment="1">
      <alignment horizontal="center" vertical="center" wrapText="1"/>
    </xf>
    <xf numFmtId="3" fontId="16" fillId="0" borderId="149" xfId="0" applyNumberFormat="1" applyFont="1" applyBorder="1" applyAlignment="1">
      <alignment horizontal="center" vertical="center" wrapText="1"/>
    </xf>
    <xf numFmtId="3" fontId="16" fillId="0" borderId="150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left" vertical="center" wrapText="1"/>
    </xf>
    <xf numFmtId="3" fontId="18" fillId="0" borderId="84" xfId="0" applyNumberFormat="1" applyFont="1" applyBorder="1" applyAlignment="1">
      <alignment horizontal="left" vertical="center" wrapText="1"/>
    </xf>
    <xf numFmtId="3" fontId="18" fillId="0" borderId="13" xfId="0" applyNumberFormat="1" applyFont="1" applyBorder="1" applyAlignment="1">
      <alignment horizontal="left" vertical="center" wrapText="1"/>
    </xf>
    <xf numFmtId="3" fontId="18" fillId="0" borderId="12" xfId="0" applyNumberFormat="1" applyFont="1" applyBorder="1" applyAlignment="1">
      <alignment horizontal="left" vertical="top" wrapText="1"/>
    </xf>
    <xf numFmtId="3" fontId="18" fillId="0" borderId="84" xfId="0" applyNumberFormat="1" applyFont="1" applyBorder="1" applyAlignment="1">
      <alignment horizontal="left" vertical="top" wrapText="1"/>
    </xf>
    <xf numFmtId="3" fontId="18" fillId="0" borderId="13" xfId="0" applyNumberFormat="1" applyFont="1" applyBorder="1" applyAlignment="1">
      <alignment horizontal="left" vertical="top" wrapText="1"/>
    </xf>
    <xf numFmtId="3" fontId="16" fillId="0" borderId="17" xfId="30" applyNumberFormat="1" applyFont="1" applyBorder="1" applyAlignment="1">
      <alignment horizontal="left"/>
    </xf>
    <xf numFmtId="3" fontId="16" fillId="0" borderId="84" xfId="30" applyNumberFormat="1" applyFont="1" applyBorder="1" applyAlignment="1">
      <alignment horizontal="left"/>
    </xf>
    <xf numFmtId="3" fontId="22" fillId="0" borderId="104" xfId="30" applyNumberFormat="1" applyFont="1" applyBorder="1" applyAlignment="1">
      <alignment horizontal="left" vertical="center"/>
    </xf>
    <xf numFmtId="3" fontId="22" fillId="0" borderId="143" xfId="30" applyNumberFormat="1" applyFont="1" applyBorder="1" applyAlignment="1">
      <alignment horizontal="left" vertical="center"/>
    </xf>
    <xf numFmtId="3" fontId="22" fillId="0" borderId="85" xfId="30" applyNumberFormat="1" applyFont="1" applyBorder="1" applyAlignment="1">
      <alignment horizontal="left" vertical="center"/>
    </xf>
    <xf numFmtId="3" fontId="19" fillId="0" borderId="94" xfId="0" applyNumberFormat="1" applyFont="1" applyBorder="1" applyAlignment="1">
      <alignment horizontal="center" vertical="center"/>
    </xf>
    <xf numFmtId="3" fontId="18" fillId="0" borderId="33" xfId="0" applyNumberFormat="1" applyFont="1" applyBorder="1" applyAlignment="1">
      <alignment horizontal="left" vertical="center"/>
    </xf>
    <xf numFmtId="3" fontId="18" fillId="0" borderId="94" xfId="0" applyNumberFormat="1" applyFont="1" applyBorder="1" applyAlignment="1">
      <alignment horizontal="left" vertical="center"/>
    </xf>
    <xf numFmtId="3" fontId="18" fillId="0" borderId="34" xfId="0" applyNumberFormat="1" applyFont="1" applyBorder="1" applyAlignment="1">
      <alignment horizontal="left" vertical="center"/>
    </xf>
    <xf numFmtId="3" fontId="16" fillId="0" borderId="93" xfId="30" applyNumberFormat="1" applyFont="1" applyBorder="1" applyAlignment="1">
      <alignment horizontal="left" wrapText="1"/>
    </xf>
    <xf numFmtId="3" fontId="18" fillId="0" borderId="17" xfId="30" applyNumberFormat="1" applyFont="1" applyBorder="1" applyAlignment="1">
      <alignment horizontal="left"/>
    </xf>
    <xf numFmtId="3" fontId="18" fillId="0" borderId="84" xfId="30" applyNumberFormat="1" applyFont="1" applyBorder="1" applyAlignment="1">
      <alignment horizontal="left"/>
    </xf>
    <xf numFmtId="0" fontId="9" fillId="0" borderId="17" xfId="28" applyFont="1" applyBorder="1" applyAlignment="1">
      <alignment horizontal="left" vertical="top" wrapText="1"/>
    </xf>
    <xf numFmtId="0" fontId="9" fillId="0" borderId="93" xfId="28" applyFont="1" applyBorder="1" applyAlignment="1">
      <alignment horizontal="left" vertical="top" wrapText="1"/>
    </xf>
    <xf numFmtId="0" fontId="9" fillId="0" borderId="84" xfId="28" applyFont="1" applyBorder="1" applyAlignment="1">
      <alignment horizontal="left" vertical="top" wrapText="1"/>
    </xf>
    <xf numFmtId="3" fontId="16" fillId="0" borderId="17" xfId="30" applyNumberFormat="1" applyFont="1" applyBorder="1" applyAlignment="1">
      <alignment horizontal="left" vertical="top" wrapText="1"/>
    </xf>
    <xf numFmtId="3" fontId="16" fillId="0" borderId="84" xfId="30" applyNumberFormat="1" applyFont="1" applyBorder="1" applyAlignment="1">
      <alignment horizontal="left" vertical="top" wrapText="1"/>
    </xf>
    <xf numFmtId="3" fontId="18" fillId="0" borderId="0" xfId="0" applyNumberFormat="1" applyFont="1" applyAlignment="1">
      <alignment horizontal="right"/>
    </xf>
    <xf numFmtId="3" fontId="16" fillId="0" borderId="142" xfId="0" applyNumberFormat="1" applyFont="1" applyBorder="1" applyAlignment="1">
      <alignment horizontal="center" vertical="center" textRotation="90"/>
    </xf>
    <xf numFmtId="3" fontId="16" fillId="0" borderId="132" xfId="0" applyNumberFormat="1" applyFont="1" applyBorder="1" applyAlignment="1">
      <alignment horizontal="center" vertical="center" textRotation="90"/>
    </xf>
    <xf numFmtId="3" fontId="19" fillId="0" borderId="147" xfId="0" applyNumberFormat="1" applyFont="1" applyBorder="1" applyAlignment="1">
      <alignment horizontal="center" vertical="center"/>
    </xf>
    <xf numFmtId="3" fontId="19" fillId="0" borderId="148" xfId="0" applyNumberFormat="1" applyFont="1" applyBorder="1" applyAlignment="1">
      <alignment horizontal="center" vertical="center"/>
    </xf>
    <xf numFmtId="3" fontId="16" fillId="0" borderId="142" xfId="0" applyNumberFormat="1" applyFont="1" applyBorder="1" applyAlignment="1">
      <alignment horizontal="center" vertical="center" textRotation="90" wrapText="1"/>
    </xf>
    <xf numFmtId="0" fontId="0" fillId="0" borderId="132" xfId="0" applyBorder="1" applyAlignment="1">
      <alignment horizontal="center" vertical="center" textRotation="90" wrapText="1"/>
    </xf>
    <xf numFmtId="3" fontId="19" fillId="0" borderId="151" xfId="0" applyNumberFormat="1" applyFont="1" applyBorder="1" applyAlignment="1">
      <alignment horizontal="center" vertical="center" wrapText="1"/>
    </xf>
    <xf numFmtId="3" fontId="19" fillId="0" borderId="152" xfId="0" applyNumberFormat="1" applyFont="1" applyBorder="1" applyAlignment="1">
      <alignment horizontal="center" vertical="center" wrapText="1"/>
    </xf>
    <xf numFmtId="3" fontId="16" fillId="0" borderId="82" xfId="0" applyNumberFormat="1" applyFont="1" applyBorder="1" applyAlignment="1">
      <alignment horizontal="center" vertical="center"/>
    </xf>
    <xf numFmtId="3" fontId="16" fillId="0" borderId="80" xfId="0" applyNumberFormat="1" applyFont="1" applyBorder="1" applyAlignment="1">
      <alignment horizontal="center" vertical="center"/>
    </xf>
    <xf numFmtId="3" fontId="16" fillId="0" borderId="83" xfId="0" applyNumberFormat="1" applyFont="1" applyBorder="1" applyAlignment="1">
      <alignment horizontal="center" vertical="center"/>
    </xf>
    <xf numFmtId="3" fontId="16" fillId="0" borderId="145" xfId="26" applyNumberFormat="1" applyFont="1" applyBorder="1" applyAlignment="1">
      <alignment horizontal="center" vertical="center" wrapText="1"/>
    </xf>
    <xf numFmtId="3" fontId="16" fillId="0" borderId="142" xfId="31" applyNumberFormat="1" applyFont="1" applyBorder="1" applyAlignment="1" applyProtection="1">
      <alignment horizontal="center" vertical="center" wrapText="1"/>
      <protection locked="0"/>
    </xf>
    <xf numFmtId="3" fontId="16" fillId="0" borderId="132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Alignment="1" applyProtection="1">
      <alignment horizontal="center"/>
      <protection locked="0"/>
    </xf>
    <xf numFmtId="0" fontId="11" fillId="0" borderId="0" xfId="32" applyFont="1" applyAlignment="1" applyProtection="1">
      <alignment horizontal="center" vertical="center"/>
      <protection locked="0"/>
    </xf>
    <xf numFmtId="3" fontId="11" fillId="0" borderId="142" xfId="26" applyNumberFormat="1" applyFont="1" applyBorder="1" applyAlignment="1">
      <alignment horizontal="center" vertical="center" wrapText="1"/>
    </xf>
    <xf numFmtId="3" fontId="11" fillId="0" borderId="132" xfId="26" applyNumberFormat="1" applyFont="1" applyBorder="1" applyAlignment="1">
      <alignment horizontal="center" vertical="center" wrapText="1"/>
    </xf>
    <xf numFmtId="3" fontId="12" fillId="0" borderId="83" xfId="26" applyNumberFormat="1" applyFont="1" applyBorder="1" applyAlignment="1">
      <alignment horizontal="center" vertical="center"/>
    </xf>
    <xf numFmtId="3" fontId="12" fillId="0" borderId="16" xfId="26" applyNumberFormat="1" applyFont="1" applyBorder="1" applyAlignment="1">
      <alignment horizontal="center" vertical="center"/>
    </xf>
    <xf numFmtId="3" fontId="19" fillId="0" borderId="217" xfId="31" applyNumberFormat="1" applyFont="1" applyBorder="1" applyAlignment="1" applyProtection="1">
      <alignment horizontal="center" vertical="center" wrapText="1"/>
      <protection locked="0"/>
    </xf>
    <xf numFmtId="3" fontId="19" fillId="0" borderId="74" xfId="31" applyNumberFormat="1" applyFont="1" applyBorder="1" applyAlignment="1" applyProtection="1">
      <alignment horizontal="center" vertical="center" wrapText="1"/>
      <protection locked="0"/>
    </xf>
    <xf numFmtId="3" fontId="16" fillId="0" borderId="146" xfId="31" applyNumberFormat="1" applyFont="1" applyBorder="1" applyAlignment="1" applyProtection="1">
      <alignment horizontal="center" vertical="center" wrapText="1"/>
      <protection locked="0"/>
    </xf>
    <xf numFmtId="3" fontId="16" fillId="0" borderId="79" xfId="31" applyNumberFormat="1" applyFont="1" applyBorder="1" applyAlignment="1" applyProtection="1">
      <alignment horizontal="center" vertical="center" wrapText="1"/>
      <protection locked="0"/>
    </xf>
    <xf numFmtId="3" fontId="16" fillId="0" borderId="140" xfId="27" applyNumberFormat="1" applyFont="1" applyBorder="1" applyAlignment="1" applyProtection="1">
      <alignment horizontal="center" vertical="center" textRotation="90"/>
      <protection locked="0"/>
    </xf>
    <xf numFmtId="3" fontId="16" fillId="0" borderId="141" xfId="27" applyNumberFormat="1" applyFont="1" applyBorder="1" applyAlignment="1" applyProtection="1">
      <alignment horizontal="center" vertical="center" textRotation="90"/>
      <protection locked="0"/>
    </xf>
    <xf numFmtId="3" fontId="16" fillId="0" borderId="142" xfId="27" applyNumberFormat="1" applyFont="1" applyBorder="1" applyAlignment="1" applyProtection="1">
      <alignment horizontal="center" vertical="center" textRotation="90"/>
      <protection locked="0"/>
    </xf>
    <xf numFmtId="3" fontId="16" fillId="0" borderId="132" xfId="27" applyNumberFormat="1" applyFont="1" applyBorder="1" applyAlignment="1" applyProtection="1">
      <alignment horizontal="center" vertical="center" textRotation="90"/>
      <protection locked="0"/>
    </xf>
    <xf numFmtId="0" fontId="19" fillId="0" borderId="142" xfId="31" applyFont="1" applyBorder="1" applyAlignment="1" applyProtection="1">
      <alignment horizontal="center" vertical="center" wrapText="1"/>
      <protection locked="0"/>
    </xf>
    <xf numFmtId="0" fontId="19" fillId="0" borderId="132" xfId="31" applyFont="1" applyBorder="1" applyAlignment="1" applyProtection="1">
      <alignment horizontal="center" vertical="center" wrapText="1"/>
      <protection locked="0"/>
    </xf>
    <xf numFmtId="0" fontId="16" fillId="0" borderId="142" xfId="31" applyFont="1" applyBorder="1" applyAlignment="1" applyProtection="1">
      <alignment horizontal="center" vertical="center" textRotation="90" wrapText="1"/>
      <protection locked="0"/>
    </xf>
    <xf numFmtId="0" fontId="16" fillId="0" borderId="132" xfId="31" applyFont="1" applyBorder="1" applyAlignment="1" applyProtection="1">
      <alignment horizontal="center" vertical="center" textRotation="90" wrapText="1"/>
      <protection locked="0"/>
    </xf>
    <xf numFmtId="0" fontId="19" fillId="0" borderId="8" xfId="32" applyFont="1" applyBorder="1" applyAlignment="1" applyProtection="1">
      <alignment horizontal="center" vertical="center"/>
      <protection locked="0"/>
    </xf>
    <xf numFmtId="0" fontId="19" fillId="0" borderId="9" xfId="32" applyFont="1" applyBorder="1" applyAlignment="1" applyProtection="1">
      <alignment horizontal="center" vertical="center"/>
      <protection locked="0"/>
    </xf>
    <xf numFmtId="0" fontId="19" fillId="0" borderId="97" xfId="32" applyFont="1" applyBorder="1" applyAlignment="1" applyProtection="1">
      <alignment horizontal="center" vertical="center"/>
      <protection locked="0"/>
    </xf>
    <xf numFmtId="0" fontId="19" fillId="0" borderId="45" xfId="32" applyFont="1" applyBorder="1" applyAlignment="1" applyProtection="1">
      <alignment horizontal="center" vertical="center"/>
      <protection locked="0"/>
    </xf>
    <xf numFmtId="0" fontId="19" fillId="0" borderId="26" xfId="32" applyFont="1" applyBorder="1" applyAlignment="1" applyProtection="1">
      <alignment horizontal="center" vertical="center"/>
      <protection locked="0"/>
    </xf>
    <xf numFmtId="0" fontId="19" fillId="0" borderId="131" xfId="32" applyFont="1" applyBorder="1" applyAlignment="1" applyProtection="1">
      <alignment horizontal="center" vertical="center"/>
      <protection locked="0"/>
    </xf>
    <xf numFmtId="3" fontId="11" fillId="0" borderId="0" xfId="27" applyNumberFormat="1" applyFont="1" applyAlignment="1">
      <alignment horizontal="center"/>
    </xf>
    <xf numFmtId="3" fontId="11" fillId="0" borderId="0" xfId="27" applyNumberFormat="1" applyFont="1" applyAlignment="1">
      <alignment horizontal="center" vertical="center"/>
    </xf>
    <xf numFmtId="3" fontId="18" fillId="0" borderId="0" xfId="27" applyNumberFormat="1" applyFont="1" applyAlignment="1">
      <alignment horizontal="right"/>
    </xf>
    <xf numFmtId="3" fontId="13" fillId="0" borderId="0" xfId="0" applyNumberFormat="1" applyFont="1" applyAlignment="1">
      <alignment horizontal="left" vertical="top"/>
    </xf>
    <xf numFmtId="3" fontId="19" fillId="0" borderId="156" xfId="27" applyNumberFormat="1" applyFont="1" applyBorder="1" applyAlignment="1">
      <alignment horizontal="center" vertical="center" wrapText="1"/>
    </xf>
    <xf numFmtId="3" fontId="19" fillId="0" borderId="157" xfId="27" applyNumberFormat="1" applyFont="1" applyBorder="1" applyAlignment="1">
      <alignment horizontal="center" vertical="center" wrapText="1"/>
    </xf>
    <xf numFmtId="3" fontId="16" fillId="0" borderId="158" xfId="0" applyNumberFormat="1" applyFont="1" applyBorder="1" applyAlignment="1">
      <alignment horizontal="center" vertical="center"/>
    </xf>
    <xf numFmtId="3" fontId="16" fillId="0" borderId="159" xfId="0" applyNumberFormat="1" applyFont="1" applyBorder="1" applyAlignment="1">
      <alignment horizontal="center" vertical="center"/>
    </xf>
    <xf numFmtId="3" fontId="16" fillId="0" borderId="156" xfId="27" applyNumberFormat="1" applyFont="1" applyBorder="1" applyAlignment="1">
      <alignment horizontal="center" vertical="center" wrapText="1"/>
    </xf>
    <xf numFmtId="3" fontId="16" fillId="0" borderId="157" xfId="27" applyNumberFormat="1" applyFont="1" applyBorder="1" applyAlignment="1">
      <alignment horizontal="center" vertical="center" wrapText="1"/>
    </xf>
    <xf numFmtId="3" fontId="16" fillId="0" borderId="160" xfId="27" applyNumberFormat="1" applyFont="1" applyBorder="1" applyAlignment="1">
      <alignment horizontal="center" vertical="center" textRotation="90"/>
    </xf>
    <xf numFmtId="3" fontId="16" fillId="0" borderId="161" xfId="27" applyNumberFormat="1" applyFont="1" applyBorder="1" applyAlignment="1">
      <alignment horizontal="center" vertical="center" textRotation="90"/>
    </xf>
    <xf numFmtId="3" fontId="16" fillId="0" borderId="156" xfId="27" applyNumberFormat="1" applyFont="1" applyBorder="1" applyAlignment="1">
      <alignment horizontal="center" vertical="center" textRotation="90"/>
    </xf>
    <xf numFmtId="3" fontId="16" fillId="0" borderId="157" xfId="27" applyNumberFormat="1" applyFont="1" applyBorder="1" applyAlignment="1">
      <alignment horizontal="center" vertical="center" textRotation="90"/>
    </xf>
    <xf numFmtId="3" fontId="16" fillId="0" borderId="162" xfId="27" applyNumberFormat="1" applyFont="1" applyBorder="1" applyAlignment="1">
      <alignment horizontal="center" vertical="center" wrapText="1"/>
    </xf>
    <xf numFmtId="3" fontId="16" fillId="0" borderId="163" xfId="27" applyNumberFormat="1" applyFont="1" applyBorder="1" applyAlignment="1">
      <alignment horizontal="center" vertical="center" wrapText="1"/>
    </xf>
    <xf numFmtId="0" fontId="19" fillId="0" borderId="156" xfId="27" applyFont="1" applyBorder="1" applyAlignment="1">
      <alignment horizontal="center" vertical="center" wrapText="1"/>
    </xf>
    <xf numFmtId="0" fontId="19" fillId="0" borderId="157" xfId="27" applyFont="1" applyBorder="1" applyAlignment="1">
      <alignment horizontal="center" vertical="center" wrapText="1"/>
    </xf>
    <xf numFmtId="3" fontId="19" fillId="0" borderId="153" xfId="27" applyNumberFormat="1" applyFont="1" applyBorder="1" applyAlignment="1">
      <alignment horizontal="center" vertical="center" wrapText="1"/>
    </xf>
    <xf numFmtId="3" fontId="19" fillId="0" borderId="154" xfId="27" applyNumberFormat="1" applyFont="1" applyBorder="1" applyAlignment="1">
      <alignment horizontal="center" vertical="center" wrapText="1"/>
    </xf>
    <xf numFmtId="3" fontId="19" fillId="0" borderId="155" xfId="27" applyNumberFormat="1" applyFont="1" applyBorder="1" applyAlignment="1">
      <alignment horizontal="center" vertical="center" wrapText="1"/>
    </xf>
    <xf numFmtId="3" fontId="16" fillId="0" borderId="147" xfId="0" applyNumberFormat="1" applyFont="1" applyBorder="1" applyAlignment="1">
      <alignment horizontal="center" vertical="center" textRotation="90" wrapText="1"/>
    </xf>
    <xf numFmtId="0" fontId="16" fillId="0" borderId="148" xfId="0" applyFont="1" applyBorder="1" applyAlignment="1">
      <alignment horizontal="center" vertical="center" textRotation="90" wrapText="1"/>
    </xf>
    <xf numFmtId="3" fontId="18" fillId="0" borderId="104" xfId="0" applyNumberFormat="1" applyFont="1" applyBorder="1" applyAlignment="1">
      <alignment horizontal="left" wrapText="1"/>
    </xf>
    <xf numFmtId="3" fontId="18" fillId="0" borderId="143" xfId="0" applyNumberFormat="1" applyFont="1" applyBorder="1" applyAlignment="1">
      <alignment horizontal="left" wrapText="1"/>
    </xf>
    <xf numFmtId="3" fontId="18" fillId="0" borderId="164" xfId="0" applyNumberFormat="1" applyFont="1" applyBorder="1" applyAlignment="1">
      <alignment horizontal="left" wrapText="1"/>
    </xf>
    <xf numFmtId="3" fontId="34" fillId="0" borderId="17" xfId="27" applyNumberFormat="1" applyFont="1" applyBorder="1" applyAlignment="1">
      <alignment horizontal="left" wrapText="1"/>
    </xf>
    <xf numFmtId="0" fontId="0" fillId="0" borderId="93" xfId="0" applyBorder="1" applyAlignment="1">
      <alignment horizontal="left" wrapText="1"/>
    </xf>
    <xf numFmtId="0" fontId="0" fillId="0" borderId="165" xfId="0" applyBorder="1" applyAlignment="1">
      <alignment horizontal="left" wrapText="1"/>
    </xf>
    <xf numFmtId="3" fontId="18" fillId="0" borderId="19" xfId="0" applyNumberFormat="1" applyFont="1" applyBorder="1" applyAlignment="1">
      <alignment horizontal="left" wrapText="1"/>
    </xf>
    <xf numFmtId="0" fontId="0" fillId="0" borderId="101" xfId="0" applyBorder="1" applyAlignment="1">
      <alignment horizontal="left" wrapText="1"/>
    </xf>
    <xf numFmtId="0" fontId="0" fillId="0" borderId="207" xfId="0" applyBorder="1" applyAlignment="1">
      <alignment horizontal="left" wrapText="1"/>
    </xf>
    <xf numFmtId="3" fontId="34" fillId="0" borderId="117" xfId="27" applyNumberFormat="1" applyFont="1" applyBorder="1" applyAlignment="1">
      <alignment horizontal="left" wrapText="1"/>
    </xf>
    <xf numFmtId="0" fontId="0" fillId="0" borderId="111" xfId="0" applyBorder="1" applyAlignment="1">
      <alignment horizontal="left" wrapText="1"/>
    </xf>
    <xf numFmtId="0" fontId="0" fillId="0" borderId="209" xfId="0" applyBorder="1" applyAlignment="1">
      <alignment horizontal="left" wrapText="1"/>
    </xf>
    <xf numFmtId="3" fontId="34" fillId="0" borderId="104" xfId="27" applyNumberFormat="1" applyFont="1" applyBorder="1" applyAlignment="1">
      <alignment horizontal="left" wrapText="1"/>
    </xf>
    <xf numFmtId="3" fontId="34" fillId="0" borderId="143" xfId="27" applyNumberFormat="1" applyFont="1" applyBorder="1" applyAlignment="1">
      <alignment horizontal="left" wrapText="1"/>
    </xf>
    <xf numFmtId="3" fontId="34" fillId="0" borderId="164" xfId="27" applyNumberFormat="1" applyFont="1" applyBorder="1" applyAlignment="1">
      <alignment horizontal="left" wrapText="1"/>
    </xf>
    <xf numFmtId="3" fontId="19" fillId="0" borderId="17" xfId="27" applyNumberFormat="1" applyFont="1" applyBorder="1" applyAlignment="1">
      <alignment horizontal="left" wrapText="1"/>
    </xf>
    <xf numFmtId="3" fontId="19" fillId="0" borderId="93" xfId="27" applyNumberFormat="1" applyFont="1" applyBorder="1" applyAlignment="1">
      <alignment horizontal="left" wrapText="1"/>
    </xf>
    <xf numFmtId="3" fontId="19" fillId="0" borderId="165" xfId="27" applyNumberFormat="1" applyFont="1" applyBorder="1" applyAlignment="1">
      <alignment horizontal="left" wrapText="1"/>
    </xf>
    <xf numFmtId="3" fontId="18" fillId="0" borderId="17" xfId="27" applyNumberFormat="1" applyFont="1" applyBorder="1" applyAlignment="1">
      <alignment horizontal="left" wrapText="1"/>
    </xf>
    <xf numFmtId="3" fontId="18" fillId="0" borderId="93" xfId="27" applyNumberFormat="1" applyFont="1" applyBorder="1" applyAlignment="1">
      <alignment horizontal="left" wrapText="1"/>
    </xf>
    <xf numFmtId="3" fontId="18" fillId="0" borderId="165" xfId="27" applyNumberFormat="1" applyFont="1" applyBorder="1" applyAlignment="1">
      <alignment horizontal="left" wrapText="1"/>
    </xf>
    <xf numFmtId="3" fontId="18" fillId="0" borderId="120" xfId="27" applyNumberFormat="1" applyFont="1" applyBorder="1" applyAlignment="1">
      <alignment horizontal="left" wrapText="1"/>
    </xf>
    <xf numFmtId="3" fontId="18" fillId="0" borderId="115" xfId="27" applyNumberFormat="1" applyFont="1" applyBorder="1" applyAlignment="1">
      <alignment horizontal="left" wrapText="1"/>
    </xf>
    <xf numFmtId="3" fontId="18" fillId="0" borderId="166" xfId="27" applyNumberFormat="1" applyFont="1" applyBorder="1" applyAlignment="1">
      <alignment horizontal="left" wrapText="1"/>
    </xf>
    <xf numFmtId="3" fontId="19" fillId="0" borderId="8" xfId="28" applyNumberFormat="1" applyFont="1" applyBorder="1" applyAlignment="1">
      <alignment horizontal="center" vertical="center" wrapText="1"/>
    </xf>
    <xf numFmtId="3" fontId="19" fillId="0" borderId="9" xfId="28" applyNumberFormat="1" applyFont="1" applyBorder="1" applyAlignment="1">
      <alignment horizontal="center" vertical="center" wrapText="1"/>
    </xf>
    <xf numFmtId="3" fontId="19" fillId="0" borderId="170" xfId="28" applyNumberFormat="1" applyFont="1" applyBorder="1" applyAlignment="1">
      <alignment horizontal="center" vertical="center" wrapText="1"/>
    </xf>
    <xf numFmtId="3" fontId="34" fillId="0" borderId="56" xfId="27" applyNumberFormat="1" applyFont="1" applyBorder="1" applyAlignment="1">
      <alignment horizontal="left" wrapText="1"/>
    </xf>
    <xf numFmtId="3" fontId="34" fillId="0" borderId="102" xfId="27" applyNumberFormat="1" applyFont="1" applyBorder="1" applyAlignment="1">
      <alignment horizontal="left" wrapText="1"/>
    </xf>
    <xf numFmtId="3" fontId="34" fillId="0" borderId="219" xfId="27" applyNumberFormat="1" applyFont="1" applyBorder="1" applyAlignment="1">
      <alignment horizontal="left" wrapText="1"/>
    </xf>
    <xf numFmtId="3" fontId="9" fillId="0" borderId="0" xfId="31" applyNumberFormat="1" applyFont="1" applyAlignment="1">
      <alignment horizontal="right"/>
    </xf>
    <xf numFmtId="0" fontId="11" fillId="0" borderId="0" xfId="31" applyFont="1" applyAlignment="1">
      <alignment horizontal="center"/>
    </xf>
    <xf numFmtId="0" fontId="11" fillId="0" borderId="0" xfId="32" applyFont="1" applyAlignment="1">
      <alignment horizontal="center" vertical="center"/>
    </xf>
    <xf numFmtId="3" fontId="19" fillId="0" borderId="147" xfId="31" applyNumberFormat="1" applyFont="1" applyBorder="1" applyAlignment="1">
      <alignment horizontal="center" vertical="center" wrapText="1"/>
    </xf>
    <xf numFmtId="3" fontId="19" fillId="0" borderId="142" xfId="31" applyNumberFormat="1" applyFont="1" applyBorder="1" applyAlignment="1">
      <alignment horizontal="center" vertical="center" wrapText="1"/>
    </xf>
    <xf numFmtId="3" fontId="19" fillId="0" borderId="149" xfId="31" applyNumberFormat="1" applyFont="1" applyBorder="1" applyAlignment="1">
      <alignment horizontal="center" vertical="center" wrapText="1"/>
    </xf>
    <xf numFmtId="3" fontId="16" fillId="0" borderId="171" xfId="31" applyNumberFormat="1" applyFont="1" applyBorder="1" applyAlignment="1">
      <alignment horizontal="center" vertical="center" wrapText="1"/>
    </xf>
    <xf numFmtId="3" fontId="16" fillId="0" borderId="172" xfId="31" applyNumberFormat="1" applyFont="1" applyBorder="1" applyAlignment="1">
      <alignment horizontal="center" vertical="center" wrapText="1"/>
    </xf>
    <xf numFmtId="3" fontId="16" fillId="0" borderId="173" xfId="31" applyNumberFormat="1" applyFont="1" applyBorder="1" applyAlignment="1">
      <alignment horizontal="center" vertical="center" wrapText="1"/>
    </xf>
    <xf numFmtId="3" fontId="16" fillId="0" borderId="168" xfId="31" applyNumberFormat="1" applyFont="1" applyBorder="1" applyAlignment="1">
      <alignment horizontal="center" vertical="center" wrapText="1"/>
    </xf>
    <xf numFmtId="3" fontId="16" fillId="0" borderId="169" xfId="31" applyNumberFormat="1" applyFont="1" applyBorder="1" applyAlignment="1">
      <alignment horizontal="center" vertical="center" wrapText="1"/>
    </xf>
    <xf numFmtId="3" fontId="16" fillId="0" borderId="40" xfId="31" applyNumberFormat="1" applyFont="1" applyBorder="1" applyAlignment="1">
      <alignment horizontal="center" vertical="center" wrapText="1"/>
    </xf>
    <xf numFmtId="3" fontId="16" fillId="0" borderId="174" xfId="27" applyNumberFormat="1" applyFont="1" applyBorder="1" applyAlignment="1">
      <alignment horizontal="center" vertical="center" textRotation="90"/>
    </xf>
    <xf numFmtId="3" fontId="16" fillId="0" borderId="175" xfId="27" applyNumberFormat="1" applyFont="1" applyBorder="1" applyAlignment="1">
      <alignment horizontal="center" vertical="center" textRotation="90"/>
    </xf>
    <xf numFmtId="3" fontId="16" fillId="0" borderId="176" xfId="27" applyNumberFormat="1" applyFont="1" applyBorder="1" applyAlignment="1">
      <alignment horizontal="center" vertical="center" textRotation="90"/>
    </xf>
    <xf numFmtId="3" fontId="16" fillId="0" borderId="168" xfId="27" applyNumberFormat="1" applyFont="1" applyBorder="1" applyAlignment="1">
      <alignment horizontal="center" vertical="center" textRotation="90"/>
    </xf>
    <xf numFmtId="3" fontId="16" fillId="0" borderId="169" xfId="27" applyNumberFormat="1" applyFont="1" applyBorder="1" applyAlignment="1">
      <alignment horizontal="center" vertical="center" textRotation="90"/>
    </xf>
    <xf numFmtId="3" fontId="16" fillId="0" borderId="40" xfId="27" applyNumberFormat="1" applyFont="1" applyBorder="1" applyAlignment="1">
      <alignment horizontal="center" vertical="center" textRotation="90"/>
    </xf>
    <xf numFmtId="0" fontId="19" fillId="0" borderId="142" xfId="31" applyFont="1" applyBorder="1" applyAlignment="1">
      <alignment horizontal="center" vertical="center" wrapText="1"/>
    </xf>
    <xf numFmtId="0" fontId="19" fillId="0" borderId="177" xfId="31" applyFont="1" applyBorder="1" applyAlignment="1">
      <alignment horizontal="center" vertical="center" wrapText="1"/>
    </xf>
    <xf numFmtId="0" fontId="19" fillId="0" borderId="132" xfId="31" applyFont="1" applyBorder="1" applyAlignment="1">
      <alignment horizontal="center" vertical="center" wrapText="1"/>
    </xf>
    <xf numFmtId="3" fontId="16" fillId="0" borderId="122" xfId="31" applyNumberFormat="1" applyFont="1" applyBorder="1" applyAlignment="1">
      <alignment horizontal="center" vertical="center" wrapText="1"/>
    </xf>
    <xf numFmtId="3" fontId="19" fillId="0" borderId="178" xfId="31" applyNumberFormat="1" applyFont="1" applyBorder="1" applyAlignment="1">
      <alignment horizontal="center" vertical="center" wrapText="1"/>
    </xf>
    <xf numFmtId="3" fontId="19" fillId="0" borderId="179" xfId="31" applyNumberFormat="1" applyFont="1" applyBorder="1" applyAlignment="1">
      <alignment horizontal="center" vertical="center" wrapText="1"/>
    </xf>
    <xf numFmtId="0" fontId="16" fillId="0" borderId="180" xfId="31" applyFont="1" applyBorder="1" applyAlignment="1">
      <alignment horizontal="center" vertical="center" textRotation="90" wrapText="1"/>
    </xf>
    <xf numFmtId="0" fontId="16" fillId="0" borderId="181" xfId="31" applyFont="1" applyBorder="1" applyAlignment="1">
      <alignment horizontal="center" vertical="center" textRotation="90" wrapText="1"/>
    </xf>
    <xf numFmtId="0" fontId="16" fillId="0" borderId="41" xfId="31" applyFont="1" applyBorder="1" applyAlignment="1">
      <alignment horizontal="center" vertical="center" textRotation="90" wrapText="1"/>
    </xf>
    <xf numFmtId="3" fontId="16" fillId="0" borderId="58" xfId="31" applyNumberFormat="1" applyFont="1" applyBorder="1" applyAlignment="1">
      <alignment horizontal="center" vertical="center" wrapText="1"/>
    </xf>
    <xf numFmtId="3" fontId="16" fillId="0" borderId="62" xfId="31" applyNumberFormat="1" applyFont="1" applyBorder="1" applyAlignment="1">
      <alignment horizontal="center" vertical="center" wrapText="1"/>
    </xf>
    <xf numFmtId="3" fontId="16" fillId="0" borderId="167" xfId="31" applyNumberFormat="1" applyFont="1" applyBorder="1" applyAlignment="1">
      <alignment horizontal="center" vertical="center" wrapText="1"/>
    </xf>
    <xf numFmtId="3" fontId="19" fillId="0" borderId="80" xfId="31" applyNumberFormat="1" applyFont="1" applyBorder="1" applyAlignment="1">
      <alignment horizontal="center" vertical="center" wrapText="1"/>
    </xf>
    <xf numFmtId="3" fontId="19" fillId="0" borderId="182" xfId="31" applyNumberFormat="1" applyFont="1" applyBorder="1" applyAlignment="1">
      <alignment horizontal="center" vertical="center" wrapText="1"/>
    </xf>
    <xf numFmtId="0" fontId="38" fillId="0" borderId="56" xfId="28" applyFont="1" applyBorder="1" applyAlignment="1">
      <alignment horizontal="left"/>
    </xf>
    <xf numFmtId="0" fontId="38" fillId="0" borderId="102" xfId="28" applyFont="1" applyBorder="1" applyAlignment="1">
      <alignment horizontal="left"/>
    </xf>
    <xf numFmtId="0" fontId="38" fillId="0" borderId="219" xfId="28" applyFont="1" applyBorder="1" applyAlignment="1">
      <alignment horizontal="left"/>
    </xf>
    <xf numFmtId="0" fontId="9" fillId="0" borderId="0" xfId="31" applyFont="1" applyAlignment="1">
      <alignment horizontal="center"/>
    </xf>
    <xf numFmtId="3" fontId="11" fillId="0" borderId="8" xfId="28" applyNumberFormat="1" applyFont="1" applyBorder="1" applyAlignment="1">
      <alignment horizontal="center" vertical="center" wrapText="1"/>
    </xf>
    <xf numFmtId="3" fontId="11" fillId="0" borderId="9" xfId="28" applyNumberFormat="1" applyFont="1" applyBorder="1" applyAlignment="1">
      <alignment horizontal="center" vertical="center" wrapText="1"/>
    </xf>
    <xf numFmtId="3" fontId="11" fillId="0" borderId="170" xfId="28" applyNumberFormat="1" applyFont="1" applyBorder="1" applyAlignment="1">
      <alignment horizontal="center" vertical="center" wrapText="1"/>
    </xf>
    <xf numFmtId="3" fontId="9" fillId="0" borderId="174" xfId="27" applyNumberFormat="1" applyFont="1" applyBorder="1" applyAlignment="1">
      <alignment horizontal="center" vertical="center" textRotation="90"/>
    </xf>
    <xf numFmtId="3" fontId="9" fillId="0" borderId="175" xfId="27" applyNumberFormat="1" applyFont="1" applyBorder="1" applyAlignment="1">
      <alignment horizontal="center" vertical="center" textRotation="90"/>
    </xf>
    <xf numFmtId="3" fontId="9" fillId="0" borderId="176" xfId="27" applyNumberFormat="1" applyFont="1" applyBorder="1" applyAlignment="1">
      <alignment horizontal="center" vertical="center" textRotation="90"/>
    </xf>
    <xf numFmtId="3" fontId="9" fillId="0" borderId="168" xfId="31" applyNumberFormat="1" applyFont="1" applyBorder="1" applyAlignment="1">
      <alignment horizontal="center" vertical="center" wrapText="1"/>
    </xf>
    <xf numFmtId="3" fontId="9" fillId="0" borderId="169" xfId="31" applyNumberFormat="1" applyFont="1" applyBorder="1" applyAlignment="1">
      <alignment horizontal="center" vertical="center" wrapText="1"/>
    </xf>
    <xf numFmtId="3" fontId="9" fillId="0" borderId="40" xfId="31" applyNumberFormat="1" applyFont="1" applyBorder="1" applyAlignment="1">
      <alignment horizontal="center" vertical="center" wrapText="1"/>
    </xf>
    <xf numFmtId="0" fontId="11" fillId="0" borderId="0" xfId="32" applyFont="1" applyAlignment="1">
      <alignment horizontal="center"/>
    </xf>
    <xf numFmtId="0" fontId="9" fillId="0" borderId="142" xfId="31" applyFont="1" applyBorder="1" applyAlignment="1">
      <alignment horizontal="center" vertical="center"/>
    </xf>
    <xf numFmtId="0" fontId="9" fillId="0" borderId="177" xfId="31" applyFont="1" applyBorder="1" applyAlignment="1">
      <alignment horizontal="center" vertical="center"/>
    </xf>
    <xf numFmtId="0" fontId="9" fillId="0" borderId="132" xfId="31" applyFont="1" applyBorder="1" applyAlignment="1">
      <alignment horizontal="center" vertical="center"/>
    </xf>
    <xf numFmtId="3" fontId="9" fillId="0" borderId="58" xfId="31" applyNumberFormat="1" applyFont="1" applyBorder="1" applyAlignment="1">
      <alignment horizontal="center" vertical="center" wrapText="1"/>
    </xf>
    <xf numFmtId="3" fontId="9" fillId="0" borderId="62" xfId="31" applyNumberFormat="1" applyFont="1" applyBorder="1" applyAlignment="1">
      <alignment horizontal="center" vertical="center" wrapText="1"/>
    </xf>
    <xf numFmtId="3" fontId="9" fillId="0" borderId="167" xfId="31" applyNumberFormat="1" applyFont="1" applyBorder="1" applyAlignment="1">
      <alignment horizontal="center" vertical="center" wrapText="1"/>
    </xf>
    <xf numFmtId="3" fontId="9" fillId="0" borderId="57" xfId="31" applyNumberFormat="1" applyFont="1" applyBorder="1" applyAlignment="1">
      <alignment horizontal="center" vertical="center" wrapText="1"/>
    </xf>
    <xf numFmtId="3" fontId="9" fillId="0" borderId="184" xfId="31" applyNumberFormat="1" applyFont="1" applyBorder="1" applyAlignment="1">
      <alignment horizontal="center" vertical="center" wrapText="1"/>
    </xf>
    <xf numFmtId="3" fontId="9" fillId="0" borderId="171" xfId="31" applyNumberFormat="1" applyFont="1" applyBorder="1" applyAlignment="1">
      <alignment horizontal="center" vertical="center" wrapText="1"/>
    </xf>
    <xf numFmtId="3" fontId="9" fillId="0" borderId="172" xfId="31" applyNumberFormat="1" applyFont="1" applyBorder="1" applyAlignment="1">
      <alignment horizontal="center" vertical="center" wrapText="1"/>
    </xf>
    <xf numFmtId="3" fontId="9" fillId="0" borderId="173" xfId="31" applyNumberFormat="1" applyFont="1" applyBorder="1" applyAlignment="1">
      <alignment horizontal="center" vertical="center" wrapText="1"/>
    </xf>
    <xf numFmtId="3" fontId="9" fillId="0" borderId="185" xfId="31" applyNumberFormat="1" applyFont="1" applyBorder="1" applyAlignment="1">
      <alignment horizontal="center" vertical="center" wrapText="1"/>
    </xf>
    <xf numFmtId="3" fontId="9" fillId="0" borderId="186" xfId="31" applyNumberFormat="1" applyFont="1" applyBorder="1" applyAlignment="1">
      <alignment horizontal="center" vertical="center" wrapText="1"/>
    </xf>
    <xf numFmtId="3" fontId="9" fillId="0" borderId="187" xfId="31" applyNumberFormat="1" applyFont="1" applyBorder="1" applyAlignment="1">
      <alignment horizontal="center" vertical="center" wrapText="1"/>
    </xf>
    <xf numFmtId="3" fontId="9" fillId="0" borderId="183" xfId="31" applyNumberFormat="1" applyFont="1" applyBorder="1" applyAlignment="1">
      <alignment horizontal="center" vertical="center" wrapText="1"/>
    </xf>
    <xf numFmtId="3" fontId="11" fillId="0" borderId="86" xfId="31" applyNumberFormat="1" applyFont="1" applyBorder="1" applyAlignment="1">
      <alignment horizontal="center" vertical="center" wrapText="1"/>
    </xf>
    <xf numFmtId="3" fontId="11" fillId="0" borderId="179" xfId="31" applyNumberFormat="1" applyFont="1" applyBorder="1" applyAlignment="1">
      <alignment horizontal="center" vertical="center" wrapText="1"/>
    </xf>
    <xf numFmtId="3" fontId="9" fillId="0" borderId="168" xfId="27" applyNumberFormat="1" applyFont="1" applyBorder="1" applyAlignment="1">
      <alignment horizontal="center" vertical="center" textRotation="90"/>
    </xf>
    <xf numFmtId="3" fontId="9" fillId="0" borderId="169" xfId="27" applyNumberFormat="1" applyFont="1" applyBorder="1" applyAlignment="1">
      <alignment horizontal="center" vertical="center" textRotation="90"/>
    </xf>
    <xf numFmtId="3" fontId="9" fillId="0" borderId="40" xfId="27" applyNumberFormat="1" applyFont="1" applyBorder="1" applyAlignment="1">
      <alignment horizontal="center" vertical="center" textRotation="90"/>
    </xf>
    <xf numFmtId="0" fontId="34" fillId="0" borderId="56" xfId="28" applyFont="1" applyBorder="1" applyAlignment="1">
      <alignment horizontal="left"/>
    </xf>
    <xf numFmtId="0" fontId="34" fillId="0" borderId="102" xfId="28" applyFont="1" applyBorder="1" applyAlignment="1">
      <alignment horizontal="left"/>
    </xf>
    <xf numFmtId="0" fontId="34" fillId="0" borderId="219" xfId="28" applyFont="1" applyBorder="1" applyAlignment="1">
      <alignment horizontal="left"/>
    </xf>
    <xf numFmtId="0" fontId="9" fillId="0" borderId="0" xfId="32" applyFont="1" applyAlignment="1">
      <alignment horizontal="left"/>
    </xf>
    <xf numFmtId="3" fontId="9" fillId="0" borderId="0" xfId="26" applyNumberFormat="1" applyFont="1" applyAlignment="1">
      <alignment horizontal="left"/>
    </xf>
    <xf numFmtId="0" fontId="54" fillId="0" borderId="0" xfId="54" applyFont="1" applyAlignment="1">
      <alignment horizontal="center"/>
    </xf>
    <xf numFmtId="0" fontId="11" fillId="0" borderId="0" xfId="54" applyFont="1" applyAlignment="1">
      <alignment horizontal="center" vertical="center"/>
    </xf>
    <xf numFmtId="0" fontId="16" fillId="0" borderId="3" xfId="55" applyFont="1" applyBorder="1" applyAlignment="1">
      <alignment horizontal="center"/>
    </xf>
    <xf numFmtId="3" fontId="16" fillId="0" borderId="206" xfId="56" applyNumberFormat="1" applyFont="1" applyFill="1" applyBorder="1" applyAlignment="1">
      <alignment horizontal="center" vertical="center"/>
    </xf>
    <xf numFmtId="3" fontId="16" fillId="0" borderId="18" xfId="56" applyNumberFormat="1" applyFont="1" applyFill="1" applyBorder="1" applyAlignment="1">
      <alignment horizontal="center" vertical="center"/>
    </xf>
    <xf numFmtId="3" fontId="16" fillId="0" borderId="254" xfId="56" applyNumberFormat="1" applyFont="1" applyFill="1" applyBorder="1" applyAlignment="1">
      <alignment horizontal="center" vertical="center"/>
    </xf>
    <xf numFmtId="3" fontId="16" fillId="0" borderId="22" xfId="56" applyNumberFormat="1" applyFont="1" applyFill="1" applyBorder="1" applyAlignment="1">
      <alignment horizontal="center" vertical="center"/>
    </xf>
    <xf numFmtId="0" fontId="16" fillId="0" borderId="36" xfId="53" applyFont="1" applyBorder="1" applyAlignment="1">
      <alignment horizontal="center" vertical="center" wrapText="1"/>
    </xf>
    <xf numFmtId="0" fontId="16" fillId="0" borderId="18" xfId="53" applyFont="1" applyBorder="1" applyAlignment="1">
      <alignment horizontal="center" vertical="center" wrapText="1"/>
    </xf>
    <xf numFmtId="14" fontId="16" fillId="0" borderId="36" xfId="53" applyNumberFormat="1" applyFont="1" applyBorder="1" applyAlignment="1">
      <alignment horizontal="center" vertical="center"/>
    </xf>
    <xf numFmtId="14" fontId="16" fillId="0" borderId="18" xfId="53" applyNumberFormat="1" applyFont="1" applyBorder="1" applyAlignment="1">
      <alignment horizontal="center" vertical="center"/>
    </xf>
    <xf numFmtId="3" fontId="16" fillId="0" borderId="36" xfId="56" applyNumberFormat="1" applyFont="1" applyFill="1" applyBorder="1" applyAlignment="1">
      <alignment horizontal="center" vertical="center"/>
    </xf>
    <xf numFmtId="14" fontId="16" fillId="0" borderId="206" xfId="53" applyNumberFormat="1" applyFont="1" applyBorder="1" applyAlignment="1">
      <alignment horizontal="center" vertical="center"/>
    </xf>
    <xf numFmtId="0" fontId="16" fillId="0" borderId="249" xfId="54" applyFont="1" applyBorder="1" applyAlignment="1">
      <alignment horizontal="center" vertical="center" wrapText="1"/>
    </xf>
    <xf numFmtId="0" fontId="16" fillId="0" borderId="250" xfId="54" applyFont="1" applyBorder="1" applyAlignment="1">
      <alignment horizontal="center" vertical="center" wrapText="1"/>
    </xf>
    <xf numFmtId="0" fontId="16" fillId="0" borderId="15" xfId="53" applyFont="1" applyBorder="1" applyAlignment="1">
      <alignment horizontal="center" vertical="center"/>
    </xf>
    <xf numFmtId="0" fontId="16" fillId="0" borderId="253" xfId="53" applyFont="1" applyBorder="1" applyAlignment="1">
      <alignment horizontal="center" vertical="top"/>
    </xf>
    <xf numFmtId="0" fontId="16" fillId="0" borderId="20" xfId="53" applyFont="1" applyBorder="1" applyAlignment="1">
      <alignment horizontal="center" vertical="top"/>
    </xf>
    <xf numFmtId="0" fontId="16" fillId="0" borderId="206" xfId="53" applyFont="1" applyBorder="1" applyAlignment="1">
      <alignment horizontal="center" vertical="center" wrapText="1"/>
    </xf>
    <xf numFmtId="3" fontId="16" fillId="0" borderId="37" xfId="56" applyNumberFormat="1" applyFont="1" applyFill="1" applyBorder="1" applyAlignment="1">
      <alignment horizontal="center" vertical="center"/>
    </xf>
    <xf numFmtId="0" fontId="16" fillId="0" borderId="52" xfId="53" applyFont="1" applyBorder="1" applyAlignment="1">
      <alignment horizontal="center" vertical="top"/>
    </xf>
    <xf numFmtId="14" fontId="16" fillId="6" borderId="36" xfId="53" applyNumberFormat="1" applyFont="1" applyFill="1" applyBorder="1" applyAlignment="1">
      <alignment horizontal="center" vertical="center"/>
    </xf>
    <xf numFmtId="14" fontId="16" fillId="6" borderId="18" xfId="53" applyNumberFormat="1" applyFont="1" applyFill="1" applyBorder="1" applyAlignment="1">
      <alignment horizontal="center" vertical="center"/>
    </xf>
    <xf numFmtId="3" fontId="9" fillId="0" borderId="0" xfId="29" applyNumberFormat="1" applyFont="1" applyAlignment="1">
      <alignment horizontal="left" wrapText="1"/>
    </xf>
    <xf numFmtId="3" fontId="11" fillId="0" borderId="8" xfId="29" applyNumberFormat="1" applyFont="1" applyBorder="1" applyAlignment="1">
      <alignment horizontal="center" vertical="center"/>
    </xf>
    <xf numFmtId="3" fontId="11" fillId="0" borderId="9" xfId="29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3" fontId="9" fillId="0" borderId="7" xfId="29" applyNumberFormat="1" applyFont="1" applyBorder="1" applyAlignment="1">
      <alignment horizontal="center" vertical="center" wrapText="1"/>
    </xf>
    <xf numFmtId="3" fontId="9" fillId="0" borderId="5" xfId="29" applyNumberFormat="1" applyFont="1" applyBorder="1" applyAlignment="1">
      <alignment horizontal="center" vertical="center" wrapText="1"/>
    </xf>
    <xf numFmtId="3" fontId="9" fillId="0" borderId="167" xfId="29" applyNumberFormat="1" applyFont="1" applyBorder="1" applyAlignment="1">
      <alignment horizontal="center" vertical="center" wrapText="1"/>
    </xf>
    <xf numFmtId="3" fontId="9" fillId="0" borderId="188" xfId="29" applyNumberFormat="1" applyFont="1" applyBorder="1" applyAlignment="1">
      <alignment horizontal="center" vertical="center" wrapText="1"/>
    </xf>
    <xf numFmtId="3" fontId="9" fillId="0" borderId="189" xfId="29" applyNumberFormat="1" applyFont="1" applyBorder="1" applyAlignment="1">
      <alignment horizontal="center" vertical="center" wrapText="1"/>
    </xf>
    <xf numFmtId="3" fontId="9" fillId="0" borderId="186" xfId="29" applyNumberFormat="1" applyFont="1" applyBorder="1" applyAlignment="1">
      <alignment horizontal="center" vertical="center" wrapText="1"/>
    </xf>
    <xf numFmtId="3" fontId="9" fillId="0" borderId="132" xfId="29" applyNumberFormat="1" applyFont="1" applyBorder="1" applyAlignment="1">
      <alignment horizontal="center" vertical="center" wrapText="1"/>
    </xf>
    <xf numFmtId="3" fontId="9" fillId="0" borderId="190" xfId="29" applyNumberFormat="1" applyFont="1" applyBorder="1" applyAlignment="1">
      <alignment horizontal="center" vertical="center" wrapText="1"/>
    </xf>
    <xf numFmtId="3" fontId="9" fillId="0" borderId="191" xfId="29" applyNumberFormat="1" applyFont="1" applyBorder="1" applyAlignment="1">
      <alignment horizontal="center" vertical="center" wrapText="1"/>
    </xf>
    <xf numFmtId="3" fontId="9" fillId="0" borderId="140" xfId="29" applyNumberFormat="1" applyFont="1" applyBorder="1" applyAlignment="1">
      <alignment horizontal="center" vertical="center" textRotation="90" wrapText="1"/>
    </xf>
    <xf numFmtId="3" fontId="9" fillId="0" borderId="192" xfId="29" applyNumberFormat="1" applyFont="1" applyBorder="1" applyAlignment="1">
      <alignment horizontal="center" vertical="center" textRotation="90" wrapText="1"/>
    </xf>
    <xf numFmtId="3" fontId="9" fillId="0" borderId="141" xfId="29" applyNumberFormat="1" applyFont="1" applyBorder="1" applyAlignment="1">
      <alignment horizontal="center" vertical="center" textRotation="90" wrapText="1"/>
    </xf>
    <xf numFmtId="3" fontId="9" fillId="0" borderId="142" xfId="29" applyNumberFormat="1" applyFont="1" applyBorder="1" applyAlignment="1">
      <alignment horizontal="center" vertical="center" textRotation="90" wrapText="1"/>
    </xf>
    <xf numFmtId="3" fontId="9" fillId="0" borderId="177" xfId="29" applyNumberFormat="1" applyFont="1" applyBorder="1" applyAlignment="1">
      <alignment horizontal="center" vertical="center" textRotation="90" wrapText="1"/>
    </xf>
    <xf numFmtId="3" fontId="9" fillId="0" borderId="132" xfId="29" applyNumberFormat="1" applyFont="1" applyBorder="1" applyAlignment="1">
      <alignment horizontal="center" vertical="center" textRotation="90" wrapText="1"/>
    </xf>
    <xf numFmtId="3" fontId="9" fillId="0" borderId="147" xfId="29" applyNumberFormat="1" applyFont="1" applyBorder="1" applyAlignment="1">
      <alignment horizontal="center" vertical="center" wrapText="1"/>
    </xf>
    <xf numFmtId="3" fontId="9" fillId="0" borderId="71" xfId="29" applyNumberFormat="1" applyFont="1" applyBorder="1" applyAlignment="1">
      <alignment horizontal="center" vertical="center" wrapText="1"/>
    </xf>
    <xf numFmtId="3" fontId="9" fillId="0" borderId="148" xfId="29" applyNumberFormat="1" applyFont="1" applyBorder="1" applyAlignment="1">
      <alignment horizontal="center" vertical="center" wrapText="1"/>
    </xf>
    <xf numFmtId="14" fontId="9" fillId="0" borderId="146" xfId="29" applyNumberFormat="1" applyFont="1" applyBorder="1" applyAlignment="1">
      <alignment horizontal="center" vertical="center" wrapText="1"/>
    </xf>
    <xf numFmtId="14" fontId="9" fillId="0" borderId="60" xfId="29" applyNumberFormat="1" applyFont="1" applyBorder="1" applyAlignment="1">
      <alignment horizontal="center" vertical="center" wrapText="1"/>
    </xf>
    <xf numFmtId="14" fontId="9" fillId="0" borderId="79" xfId="29" applyNumberFormat="1" applyFont="1" applyBorder="1" applyAlignment="1">
      <alignment horizontal="center" vertical="center" wrapText="1"/>
    </xf>
    <xf numFmtId="3" fontId="9" fillId="0" borderId="57" xfId="29" applyNumberFormat="1" applyFont="1" applyBorder="1" applyAlignment="1">
      <alignment horizontal="center" vertical="center" wrapText="1"/>
    </xf>
    <xf numFmtId="3" fontId="9" fillId="0" borderId="168" xfId="29" applyNumberFormat="1" applyFont="1" applyBorder="1" applyAlignment="1">
      <alignment horizontal="center" vertical="center" wrapText="1"/>
    </xf>
    <xf numFmtId="3" fontId="9" fillId="0" borderId="58" xfId="29" applyNumberFormat="1" applyFont="1" applyBorder="1" applyAlignment="1">
      <alignment horizontal="center" vertical="center" wrapText="1"/>
    </xf>
    <xf numFmtId="3" fontId="9" fillId="0" borderId="184" xfId="29" applyNumberFormat="1" applyFont="1" applyBorder="1" applyAlignment="1">
      <alignment horizontal="center" vertical="center" wrapText="1"/>
    </xf>
    <xf numFmtId="3" fontId="9" fillId="0" borderId="180" xfId="29" applyNumberFormat="1" applyFont="1" applyBorder="1" applyAlignment="1">
      <alignment horizontal="center" vertical="center" wrapText="1"/>
    </xf>
    <xf numFmtId="3" fontId="9" fillId="0" borderId="181" xfId="29" applyNumberFormat="1" applyFont="1" applyBorder="1" applyAlignment="1">
      <alignment horizontal="center" vertical="center" wrapText="1"/>
    </xf>
    <xf numFmtId="3" fontId="9" fillId="0" borderId="169" xfId="29" applyNumberFormat="1" applyFont="1" applyBorder="1" applyAlignment="1">
      <alignment horizontal="center" vertical="center" wrapText="1"/>
    </xf>
    <xf numFmtId="3" fontId="9" fillId="0" borderId="62" xfId="29" applyNumberFormat="1" applyFont="1" applyBorder="1" applyAlignment="1">
      <alignment horizontal="center" vertical="center" wrapText="1"/>
    </xf>
    <xf numFmtId="3" fontId="11" fillId="0" borderId="0" xfId="29" applyNumberFormat="1" applyFont="1" applyAlignment="1">
      <alignment horizontal="center"/>
    </xf>
    <xf numFmtId="3" fontId="23" fillId="5" borderId="248" xfId="29" applyNumberFormat="1" applyFont="1" applyFill="1" applyBorder="1" applyAlignment="1">
      <alignment horizontal="center" vertical="center" wrapText="1"/>
    </xf>
    <xf numFmtId="3" fontId="23" fillId="5" borderId="65" xfId="29" applyNumberFormat="1" applyFont="1" applyFill="1" applyBorder="1" applyAlignment="1">
      <alignment horizontal="center" vertical="center" wrapText="1"/>
    </xf>
    <xf numFmtId="3" fontId="23" fillId="5" borderId="23" xfId="29" applyNumberFormat="1" applyFont="1" applyFill="1" applyBorder="1" applyAlignment="1">
      <alignment horizontal="center" vertical="center" wrapText="1"/>
    </xf>
    <xf numFmtId="3" fontId="9" fillId="0" borderId="199" xfId="29" applyNumberFormat="1" applyFont="1" applyBorder="1" applyAlignment="1">
      <alignment horizontal="center" vertical="center" wrapText="1"/>
    </xf>
    <xf numFmtId="3" fontId="23" fillId="5" borderId="149" xfId="29" applyNumberFormat="1" applyFont="1" applyFill="1" applyBorder="1" applyAlignment="1">
      <alignment horizontal="center" vertical="center" wrapText="1"/>
    </xf>
    <xf numFmtId="3" fontId="23" fillId="5" borderId="234" xfId="29" applyNumberFormat="1" applyFont="1" applyFill="1" applyBorder="1" applyAlignment="1">
      <alignment horizontal="center" vertical="center" wrapText="1"/>
    </xf>
    <xf numFmtId="3" fontId="23" fillId="5" borderId="150" xfId="29" applyNumberFormat="1" applyFont="1" applyFill="1" applyBorder="1" applyAlignment="1">
      <alignment horizontal="center" vertical="center" wrapText="1"/>
    </xf>
    <xf numFmtId="0" fontId="9" fillId="0" borderId="62" xfId="29" applyFont="1" applyBorder="1" applyAlignment="1">
      <alignment horizontal="center" vertical="center" wrapText="1"/>
    </xf>
    <xf numFmtId="0" fontId="9" fillId="0" borderId="5" xfId="29" applyFont="1" applyBorder="1" applyAlignment="1">
      <alignment horizontal="center" vertical="center" wrapText="1"/>
    </xf>
    <xf numFmtId="0" fontId="9" fillId="0" borderId="188" xfId="29" applyFont="1" applyBorder="1" applyAlignment="1">
      <alignment horizontal="center" vertical="center" wrapText="1"/>
    </xf>
  </cellXfs>
  <cellStyles count="58">
    <cellStyle name="Ezres 2" xfId="1" xr:uid="{00000000-0005-0000-0000-000000000000}"/>
    <cellStyle name="Ezres 3" xfId="2" xr:uid="{00000000-0005-0000-0000-000001000000}"/>
    <cellStyle name="Ezres 4" xfId="3" xr:uid="{00000000-0005-0000-0000-000002000000}"/>
    <cellStyle name="Ezres 4 2" xfId="4" xr:uid="{00000000-0005-0000-0000-000003000000}"/>
    <cellStyle name="Ezres 4 3" xfId="5" xr:uid="{00000000-0005-0000-0000-000004000000}"/>
    <cellStyle name="Ezres 4 4" xfId="44" xr:uid="{00000000-0005-0000-0000-000005000000}"/>
    <cellStyle name="Ezres 4 4 2" xfId="56" xr:uid="{7988A153-AB83-4E02-89DF-5AF35BDD83B4}"/>
    <cellStyle name="Ezres 5" xfId="6" xr:uid="{00000000-0005-0000-0000-000006000000}"/>
    <cellStyle name="Normál" xfId="0" builtinId="0"/>
    <cellStyle name="Normál 10" xfId="7" xr:uid="{00000000-0005-0000-0000-000008000000}"/>
    <cellStyle name="Normál 10 2" xfId="37" xr:uid="{00000000-0005-0000-0000-000009000000}"/>
    <cellStyle name="Normál 10 3" xfId="49" xr:uid="{00000000-0005-0000-0000-00000A000000}"/>
    <cellStyle name="Normál 11" xfId="38" xr:uid="{00000000-0005-0000-0000-00000B000000}"/>
    <cellStyle name="Normál 11 2" xfId="39" xr:uid="{00000000-0005-0000-0000-00000C000000}"/>
    <cellStyle name="Normál 12" xfId="40" xr:uid="{00000000-0005-0000-0000-00000D000000}"/>
    <cellStyle name="Normál 13" xfId="45" xr:uid="{00000000-0005-0000-0000-00000E000000}"/>
    <cellStyle name="Normál 14" xfId="48" xr:uid="{00000000-0005-0000-0000-00000F000000}"/>
    <cellStyle name="Normál 14 2" xfId="51" xr:uid="{92CCD4CB-2CEF-44A4-8BEA-15B9445D82B0}"/>
    <cellStyle name="Normál 15" xfId="50" xr:uid="{DC20D110-8B9B-4782-BE42-80D18BBE5FB3}"/>
    <cellStyle name="Normál 2" xfId="8" xr:uid="{00000000-0005-0000-0000-000010000000}"/>
    <cellStyle name="Normál 3" xfId="9" xr:uid="{00000000-0005-0000-0000-000011000000}"/>
    <cellStyle name="Normál 4" xfId="10" xr:uid="{00000000-0005-0000-0000-000012000000}"/>
    <cellStyle name="Normál 5" xfId="11" xr:uid="{00000000-0005-0000-0000-000013000000}"/>
    <cellStyle name="Normál 6" xfId="12" xr:uid="{00000000-0005-0000-0000-000014000000}"/>
    <cellStyle name="Normál 6 2" xfId="13" xr:uid="{00000000-0005-0000-0000-000015000000}"/>
    <cellStyle name="Normál 6 3" xfId="14" xr:uid="{00000000-0005-0000-0000-000016000000}"/>
    <cellStyle name="Normál 6 3 2" xfId="15" xr:uid="{00000000-0005-0000-0000-000017000000}"/>
    <cellStyle name="Normál 6 3 2 2" xfId="16" xr:uid="{00000000-0005-0000-0000-000018000000}"/>
    <cellStyle name="Normál 6 3 2 3" xfId="17" xr:uid="{00000000-0005-0000-0000-000019000000}"/>
    <cellStyle name="Normál 6 3 2 3 2" xfId="41" xr:uid="{00000000-0005-0000-0000-00001A000000}"/>
    <cellStyle name="Normál 6 3 2 3 3" xfId="47" xr:uid="{00000000-0005-0000-0000-00001B000000}"/>
    <cellStyle name="Normál 6 3 2 4" xfId="42" xr:uid="{00000000-0005-0000-0000-00001C000000}"/>
    <cellStyle name="Normál 6 3 2 5" xfId="43" xr:uid="{00000000-0005-0000-0000-00001D000000}"/>
    <cellStyle name="Normál 7" xfId="18" xr:uid="{00000000-0005-0000-0000-00001E000000}"/>
    <cellStyle name="Normál 8" xfId="19" xr:uid="{00000000-0005-0000-0000-00001F000000}"/>
    <cellStyle name="Normál 8 2" xfId="20" xr:uid="{00000000-0005-0000-0000-000020000000}"/>
    <cellStyle name="Normál 8 2 2" xfId="21" xr:uid="{00000000-0005-0000-0000-000021000000}"/>
    <cellStyle name="Normál 8 2 3" xfId="22" xr:uid="{00000000-0005-0000-0000-000022000000}"/>
    <cellStyle name="Normál 8 3" xfId="46" xr:uid="{00000000-0005-0000-0000-000023000000}"/>
    <cellStyle name="Normál 9" xfId="23" xr:uid="{00000000-0005-0000-0000-000024000000}"/>
    <cellStyle name="Normál 9 2" xfId="24" xr:uid="{00000000-0005-0000-0000-000025000000}"/>
    <cellStyle name="Normál 9 3" xfId="25" xr:uid="{00000000-0005-0000-0000-000026000000}"/>
    <cellStyle name="Normál_2007.évi konc. összefoglaló bevétel" xfId="26" xr:uid="{00000000-0005-0000-0000-000027000000}"/>
    <cellStyle name="Normál_2007.évi konc. összefoglaló bevétel 2" xfId="27" xr:uid="{00000000-0005-0000-0000-000028000000}"/>
    <cellStyle name="Normál_Beruházási tábla 2007" xfId="28" xr:uid="{00000000-0005-0000-0000-000029000000}"/>
    <cellStyle name="Normál_EU-s tábla kv-hez_EU projektek tábla" xfId="29" xr:uid="{00000000-0005-0000-0000-00002A000000}"/>
    <cellStyle name="Normál_Hitel tábla 2012 terv" xfId="54" xr:uid="{50372638-1468-4721-AF08-9F8C2A7099B1}"/>
    <cellStyle name="Normál_Hitel tábla 2012 terv (2)" xfId="55" xr:uid="{CCB879CF-1695-4D03-957C-CA685C425D28}"/>
    <cellStyle name="Normál_hitelállomány07_12" xfId="57" xr:uid="{5EC5734F-02A0-42F5-9F36-0A9FFC3B6800}"/>
    <cellStyle name="Normál_hiteltörl költségvetés 2014" xfId="53" xr:uid="{47779611-4253-41F7-8A16-2E276EEA3236}"/>
    <cellStyle name="Normál_Intézményi bevétel-kiadás" xfId="30" xr:uid="{00000000-0005-0000-0000-000030000000}"/>
    <cellStyle name="Normál_Városfejlesztési Iroda - 2008. kv. tervezés" xfId="31" xr:uid="{00000000-0005-0000-0000-000031000000}"/>
    <cellStyle name="Normál_Városfejlesztési Iroda - 2008. kv. tervezés_2014.évi eredeti előirányzat 2" xfId="32" xr:uid="{00000000-0005-0000-0000-000032000000}"/>
    <cellStyle name="Pénznem 2" xfId="52" xr:uid="{0EF306F9-04A9-481D-ACEF-4A887F04BD71}"/>
    <cellStyle name="Százalék" xfId="33" builtinId="5"/>
    <cellStyle name="Százalék 2" xfId="34" xr:uid="{00000000-0005-0000-0000-000034000000}"/>
    <cellStyle name="Százalék 3" xfId="35" xr:uid="{00000000-0005-0000-0000-000035000000}"/>
    <cellStyle name="Százalék 3 2" xfId="36" xr:uid="{00000000-0005-0000-0000-000036000000}"/>
  </cellStyles>
  <dxfs count="0"/>
  <tableStyles count="0" defaultTableStyle="TableStyleMedium2" defaultPivotStyle="PivotStyleLight16"/>
  <colors>
    <mruColors>
      <color rgb="FF5F2E05"/>
      <color rgb="FF2813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0"/>
  <sheetViews>
    <sheetView tabSelected="1" view="pageBreakPreview" topLeftCell="A19" zoomScaleNormal="100" zoomScaleSheetLayoutView="100" workbookViewId="0">
      <selection activeCell="O44" sqref="O44"/>
    </sheetView>
  </sheetViews>
  <sheetFormatPr defaultRowHeight="17.25" x14ac:dyDescent="0.35"/>
  <cols>
    <col min="1" max="1" width="3.7109375" style="64" customWidth="1"/>
    <col min="2" max="5" width="5.7109375" style="66" customWidth="1"/>
    <col min="6" max="6" width="59.7109375" style="62" customWidth="1"/>
    <col min="7" max="9" width="13.7109375" style="2" customWidth="1"/>
    <col min="10" max="10" width="15.7109375" style="137" customWidth="1"/>
    <col min="11" max="11" width="14.7109375" style="2" customWidth="1"/>
    <col min="12" max="12" width="13.7109375" style="1336" customWidth="1"/>
    <col min="13" max="16384" width="9.140625" style="62"/>
  </cols>
  <sheetData>
    <row r="1" spans="1:12" x14ac:dyDescent="0.35">
      <c r="B1" s="1585" t="s">
        <v>889</v>
      </c>
      <c r="C1" s="1585"/>
      <c r="D1" s="1585"/>
      <c r="E1" s="1585"/>
      <c r="F1" s="1585"/>
      <c r="G1" s="62"/>
      <c r="H1" s="62"/>
      <c r="I1" s="62"/>
      <c r="J1" s="136"/>
    </row>
    <row r="2" spans="1:12" s="1" customFormat="1" ht="25.15" customHeight="1" x14ac:dyDescent="0.3">
      <c r="A2" s="64"/>
      <c r="B2" s="1586" t="s">
        <v>146</v>
      </c>
      <c r="C2" s="1586"/>
      <c r="D2" s="1586"/>
      <c r="E2" s="1586"/>
      <c r="F2" s="1586"/>
      <c r="G2" s="1586"/>
      <c r="H2" s="1586"/>
      <c r="I2" s="1586"/>
      <c r="J2" s="1586"/>
      <c r="K2" s="1586"/>
      <c r="L2" s="1586"/>
    </row>
    <row r="3" spans="1:12" s="1" customFormat="1" ht="25.15" customHeight="1" x14ac:dyDescent="0.3">
      <c r="A3" s="64"/>
      <c r="B3" s="1586" t="s">
        <v>872</v>
      </c>
      <c r="C3" s="1586"/>
      <c r="D3" s="1586"/>
      <c r="E3" s="1586"/>
      <c r="F3" s="1586"/>
      <c r="G3" s="1586"/>
      <c r="H3" s="1586"/>
      <c r="I3" s="1586"/>
      <c r="J3" s="1586"/>
      <c r="K3" s="1586"/>
      <c r="L3" s="1586"/>
    </row>
    <row r="4" spans="1:12" s="308" customFormat="1" ht="15" x14ac:dyDescent="0.3">
      <c r="A4" s="64"/>
      <c r="B4" s="307"/>
      <c r="C4" s="307"/>
      <c r="D4" s="307"/>
      <c r="E4" s="307"/>
      <c r="F4" s="307"/>
      <c r="G4" s="190"/>
      <c r="H4" s="190"/>
      <c r="I4" s="128"/>
      <c r="K4" s="128"/>
      <c r="L4" s="129" t="s">
        <v>0</v>
      </c>
    </row>
    <row r="5" spans="1:12" s="311" customFormat="1" ht="15" thickBot="1" x14ac:dyDescent="0.35">
      <c r="A5" s="64"/>
      <c r="B5" s="309" t="s">
        <v>1</v>
      </c>
      <c r="C5" s="309" t="s">
        <v>3</v>
      </c>
      <c r="D5" s="309" t="s">
        <v>2</v>
      </c>
      <c r="E5" s="309" t="s">
        <v>4</v>
      </c>
      <c r="F5" s="309" t="s">
        <v>5</v>
      </c>
      <c r="G5" s="310" t="s">
        <v>15</v>
      </c>
      <c r="H5" s="310" t="s">
        <v>16</v>
      </c>
      <c r="I5" s="310" t="s">
        <v>17</v>
      </c>
      <c r="J5" s="310" t="s">
        <v>34</v>
      </c>
      <c r="K5" s="656" t="s">
        <v>30</v>
      </c>
      <c r="L5" s="656" t="s">
        <v>23</v>
      </c>
    </row>
    <row r="6" spans="1:12" s="23" customFormat="1" ht="80.099999999999994" customHeight="1" thickBot="1" x14ac:dyDescent="0.35">
      <c r="A6" s="314"/>
      <c r="B6" s="159" t="s">
        <v>18</v>
      </c>
      <c r="C6" s="160" t="s">
        <v>19</v>
      </c>
      <c r="D6" s="158" t="s">
        <v>387</v>
      </c>
      <c r="E6" s="158" t="s">
        <v>388</v>
      </c>
      <c r="F6" s="161" t="s">
        <v>6</v>
      </c>
      <c r="G6" s="162" t="s">
        <v>516</v>
      </c>
      <c r="H6" s="138" t="s">
        <v>504</v>
      </c>
      <c r="I6" s="1338" t="s">
        <v>707</v>
      </c>
      <c r="J6" s="1014" t="s">
        <v>710</v>
      </c>
      <c r="K6" s="161" t="s">
        <v>795</v>
      </c>
      <c r="L6" s="1463" t="s">
        <v>865</v>
      </c>
    </row>
    <row r="7" spans="1:12" s="100" customFormat="1" ht="36" customHeight="1" x14ac:dyDescent="0.35">
      <c r="A7" s="314">
        <v>1</v>
      </c>
      <c r="B7" s="144"/>
      <c r="C7" s="97"/>
      <c r="D7" s="98">
        <v>1</v>
      </c>
      <c r="E7" s="98"/>
      <c r="F7" s="99" t="s">
        <v>118</v>
      </c>
      <c r="G7" s="163">
        <f>SUM(G8,G20,G31,G37,G40,G19,G36)</f>
        <v>17277678</v>
      </c>
      <c r="H7" s="163">
        <f>SUM(H8,H20,H31,H37,H40,H19,H36)</f>
        <v>14802459</v>
      </c>
      <c r="I7" s="163">
        <f>SUM(I8,I20,I31,I37,I40,I19,I36)</f>
        <v>17751351</v>
      </c>
      <c r="J7" s="1015">
        <f>SUM(J8,J20,J31,J37,J40,J19,J36)</f>
        <v>20911748</v>
      </c>
      <c r="K7" s="163">
        <f t="shared" ref="K7:L7" si="0">SUM(K8,K20,K31,K37,K40,K19,K36)</f>
        <v>21403493</v>
      </c>
      <c r="L7" s="1470">
        <f t="shared" si="0"/>
        <v>11670350</v>
      </c>
    </row>
    <row r="8" spans="1:12" s="100" customFormat="1" ht="36" customHeight="1" x14ac:dyDescent="0.35">
      <c r="A8" s="314">
        <v>2</v>
      </c>
      <c r="B8" s="145">
        <v>18</v>
      </c>
      <c r="C8" s="101"/>
      <c r="D8" s="102"/>
      <c r="E8" s="102">
        <v>1</v>
      </c>
      <c r="F8" s="101" t="s">
        <v>147</v>
      </c>
      <c r="G8" s="18">
        <f>SUM(G9,G17:G17)</f>
        <v>6718637</v>
      </c>
      <c r="H8" s="18">
        <f>SUM(H9,H17:H17)</f>
        <v>6578954</v>
      </c>
      <c r="I8" s="18">
        <f>SUM(I9,I17:I17)</f>
        <v>6651021</v>
      </c>
      <c r="J8" s="1016">
        <f>SUM(J9,J17:J17)</f>
        <v>6093269</v>
      </c>
      <c r="K8" s="18">
        <f t="shared" ref="K8:L8" si="1">SUM(K9,K17:K17)</f>
        <v>6232002</v>
      </c>
      <c r="L8" s="1471">
        <f t="shared" si="1"/>
        <v>3523055</v>
      </c>
    </row>
    <row r="9" spans="1:12" s="67" customFormat="1" x14ac:dyDescent="0.35">
      <c r="A9" s="314">
        <v>3</v>
      </c>
      <c r="B9" s="61"/>
      <c r="C9" s="91"/>
      <c r="D9" s="66"/>
      <c r="E9" s="66"/>
      <c r="F9" s="103" t="s">
        <v>148</v>
      </c>
      <c r="G9" s="10">
        <f>SUM(G10:G16)</f>
        <v>4955542</v>
      </c>
      <c r="H9" s="10">
        <f>SUM(H10:H16)</f>
        <v>4544959</v>
      </c>
      <c r="I9" s="10">
        <f>SUM(I10:I16)</f>
        <v>4818107</v>
      </c>
      <c r="J9" s="1017">
        <f>SUM(J10:J16)</f>
        <v>5314780</v>
      </c>
      <c r="K9" s="1027">
        <f t="shared" ref="K9:L9" si="2">SUM(K10:K16)</f>
        <v>5425149</v>
      </c>
      <c r="L9" s="1472">
        <f t="shared" si="2"/>
        <v>2918874</v>
      </c>
    </row>
    <row r="10" spans="1:12" ht="17.100000000000001" customHeight="1" x14ac:dyDescent="0.35">
      <c r="A10" s="314">
        <v>4</v>
      </c>
      <c r="B10" s="63"/>
      <c r="C10" s="104"/>
      <c r="D10" s="104"/>
      <c r="E10" s="104"/>
      <c r="F10" s="20" t="s">
        <v>697</v>
      </c>
      <c r="G10" s="2">
        <v>13966</v>
      </c>
      <c r="H10" s="2">
        <v>1209808</v>
      </c>
      <c r="I10" s="2">
        <v>1214159</v>
      </c>
      <c r="J10" s="1018">
        <v>1223867</v>
      </c>
      <c r="K10" s="2">
        <v>1223867</v>
      </c>
      <c r="L10" s="1473">
        <v>636411</v>
      </c>
    </row>
    <row r="11" spans="1:12" ht="32.25" customHeight="1" x14ac:dyDescent="0.3">
      <c r="A11" s="314">
        <v>5</v>
      </c>
      <c r="B11" s="63"/>
      <c r="C11" s="104"/>
      <c r="D11" s="104"/>
      <c r="E11" s="104"/>
      <c r="F11" s="20" t="s">
        <v>698</v>
      </c>
      <c r="G11" s="192">
        <v>1216515</v>
      </c>
      <c r="H11" s="192">
        <v>1198897</v>
      </c>
      <c r="I11" s="192">
        <v>1244335</v>
      </c>
      <c r="J11" s="1019">
        <v>1415109</v>
      </c>
      <c r="K11" s="192">
        <v>1409859</v>
      </c>
      <c r="L11" s="1474">
        <v>735857</v>
      </c>
    </row>
    <row r="12" spans="1:12" ht="33.75" customHeight="1" x14ac:dyDescent="0.3">
      <c r="A12" s="314">
        <v>6</v>
      </c>
      <c r="B12" s="63"/>
      <c r="C12" s="104"/>
      <c r="D12" s="104"/>
      <c r="E12" s="104"/>
      <c r="F12" s="20" t="s">
        <v>699</v>
      </c>
      <c r="G12" s="192">
        <v>1206954</v>
      </c>
      <c r="H12" s="192">
        <v>1080565</v>
      </c>
      <c r="I12" s="192">
        <v>1225459</v>
      </c>
      <c r="J12" s="1019">
        <v>1390469</v>
      </c>
      <c r="K12" s="192">
        <v>1486135</v>
      </c>
      <c r="L12" s="1475">
        <v>838810</v>
      </c>
    </row>
    <row r="13" spans="1:12" ht="32.25" customHeight="1" x14ac:dyDescent="0.35">
      <c r="A13" s="314">
        <v>7</v>
      </c>
      <c r="B13" s="63"/>
      <c r="C13" s="104"/>
      <c r="D13" s="104"/>
      <c r="E13" s="104"/>
      <c r="F13" s="20" t="s">
        <v>702</v>
      </c>
      <c r="G13" s="2">
        <v>398958</v>
      </c>
      <c r="H13" s="2">
        <v>567989</v>
      </c>
      <c r="I13" s="2">
        <v>636893</v>
      </c>
      <c r="J13" s="1018">
        <v>756978</v>
      </c>
      <c r="K13" s="2">
        <v>756978</v>
      </c>
      <c r="L13" s="1473">
        <v>393628</v>
      </c>
    </row>
    <row r="14" spans="1:12" ht="17.100000000000001" customHeight="1" x14ac:dyDescent="0.35">
      <c r="A14" s="314">
        <v>8</v>
      </c>
      <c r="B14" s="63"/>
      <c r="C14" s="104"/>
      <c r="D14" s="104"/>
      <c r="E14" s="104"/>
      <c r="F14" s="20" t="s">
        <v>700</v>
      </c>
      <c r="G14" s="2">
        <v>535791</v>
      </c>
      <c r="H14" s="2">
        <v>487700</v>
      </c>
      <c r="I14" s="2">
        <v>490325</v>
      </c>
      <c r="J14" s="1018">
        <v>487795</v>
      </c>
      <c r="K14" s="2">
        <v>492051</v>
      </c>
      <c r="L14" s="1473">
        <v>257909</v>
      </c>
    </row>
    <row r="15" spans="1:12" ht="36" customHeight="1" x14ac:dyDescent="0.3">
      <c r="A15" s="314">
        <v>9</v>
      </c>
      <c r="B15" s="63"/>
      <c r="C15" s="104"/>
      <c r="D15" s="104"/>
      <c r="E15" s="104"/>
      <c r="F15" s="20" t="s">
        <v>149</v>
      </c>
      <c r="G15" s="192">
        <v>1566678</v>
      </c>
      <c r="J15" s="1018"/>
      <c r="K15" s="192">
        <v>15684</v>
      </c>
      <c r="L15" s="1475">
        <v>15684</v>
      </c>
    </row>
    <row r="16" spans="1:12" x14ac:dyDescent="0.35">
      <c r="A16" s="314">
        <v>10</v>
      </c>
      <c r="B16" s="61"/>
      <c r="C16" s="104"/>
      <c r="D16" s="104"/>
      <c r="E16" s="104"/>
      <c r="F16" s="20" t="s">
        <v>701</v>
      </c>
      <c r="G16" s="2">
        <v>16680</v>
      </c>
      <c r="I16" s="2">
        <v>6936</v>
      </c>
      <c r="J16" s="1018">
        <v>40562</v>
      </c>
      <c r="K16" s="2">
        <v>40575</v>
      </c>
      <c r="L16" s="1473">
        <v>40575</v>
      </c>
    </row>
    <row r="17" spans="1:12" s="67" customFormat="1" x14ac:dyDescent="0.35">
      <c r="A17" s="314">
        <v>11</v>
      </c>
      <c r="B17" s="61"/>
      <c r="C17" s="105"/>
      <c r="D17" s="104"/>
      <c r="E17" s="104"/>
      <c r="F17" s="19" t="s">
        <v>150</v>
      </c>
      <c r="G17" s="10">
        <v>1763095</v>
      </c>
      <c r="H17" s="10">
        <v>2033995</v>
      </c>
      <c r="I17" s="10">
        <v>1832914</v>
      </c>
      <c r="J17" s="1017">
        <v>778489</v>
      </c>
      <c r="K17" s="1027">
        <v>806853</v>
      </c>
      <c r="L17" s="1472">
        <v>604181</v>
      </c>
    </row>
    <row r="18" spans="1:12" ht="16.5" customHeight="1" x14ac:dyDescent="0.35">
      <c r="A18" s="314">
        <v>12</v>
      </c>
      <c r="B18" s="61"/>
      <c r="C18" s="104"/>
      <c r="D18" s="104"/>
      <c r="E18" s="104"/>
      <c r="F18" s="20" t="s">
        <v>151</v>
      </c>
      <c r="G18" s="2">
        <v>222056</v>
      </c>
      <c r="H18" s="2">
        <v>201000</v>
      </c>
      <c r="I18" s="2">
        <v>239976</v>
      </c>
      <c r="J18" s="1018">
        <v>260000</v>
      </c>
      <c r="K18" s="2">
        <v>260000</v>
      </c>
      <c r="L18" s="1473">
        <v>144086</v>
      </c>
    </row>
    <row r="19" spans="1:12" ht="36" customHeight="1" x14ac:dyDescent="0.35">
      <c r="A19" s="314">
        <v>13</v>
      </c>
      <c r="B19" s="146" t="s">
        <v>346</v>
      </c>
      <c r="C19" s="104"/>
      <c r="D19" s="104"/>
      <c r="E19" s="139">
        <v>1</v>
      </c>
      <c r="F19" s="101" t="s">
        <v>152</v>
      </c>
      <c r="G19" s="10">
        <v>214615</v>
      </c>
      <c r="H19" s="10">
        <v>167470</v>
      </c>
      <c r="I19" s="10">
        <v>393562</v>
      </c>
      <c r="J19" s="1017">
        <f>'3.Inbe '!K143</f>
        <v>367474</v>
      </c>
      <c r="K19" s="1027">
        <v>418880</v>
      </c>
      <c r="L19" s="1476">
        <f>'3.Inbe '!K145</f>
        <v>358322</v>
      </c>
    </row>
    <row r="20" spans="1:12" s="67" customFormat="1" ht="36" customHeight="1" x14ac:dyDescent="0.35">
      <c r="A20" s="314">
        <v>14</v>
      </c>
      <c r="B20" s="61">
        <v>18</v>
      </c>
      <c r="C20" s="91"/>
      <c r="D20" s="66"/>
      <c r="E20" s="66">
        <v>2</v>
      </c>
      <c r="F20" s="67" t="s">
        <v>153</v>
      </c>
      <c r="G20" s="10">
        <f>SUM(G21,G29:G29)</f>
        <v>8663683</v>
      </c>
      <c r="H20" s="10">
        <f>SUM(H21,H29:H29)</f>
        <v>6242200</v>
      </c>
      <c r="I20" s="10">
        <f>SUM(I21,I29:I29)</f>
        <v>8207677</v>
      </c>
      <c r="J20" s="1017">
        <f>SUM(J21,J29:J29)</f>
        <v>7599100</v>
      </c>
      <c r="K20" s="1027">
        <f t="shared" ref="K20" si="3">SUM(K21,K29:K29)</f>
        <v>7599100</v>
      </c>
      <c r="L20" s="1472">
        <f>SUM(L21,L29:L29,M30,L30)</f>
        <v>5215292</v>
      </c>
    </row>
    <row r="21" spans="1:12" s="67" customFormat="1" x14ac:dyDescent="0.35">
      <c r="A21" s="314">
        <v>15</v>
      </c>
      <c r="B21" s="61"/>
      <c r="C21" s="91"/>
      <c r="D21" s="66"/>
      <c r="E21" s="66"/>
      <c r="F21" s="19" t="s">
        <v>154</v>
      </c>
      <c r="G21" s="10">
        <f>SUM(G22:G28)</f>
        <v>8656603</v>
      </c>
      <c r="H21" s="10">
        <f>SUM(H22:H28)</f>
        <v>6237000</v>
      </c>
      <c r="I21" s="10">
        <f>SUM(I22:I28)</f>
        <v>8190236</v>
      </c>
      <c r="J21" s="1017">
        <f>SUM(J22:J28)</f>
        <v>7594000</v>
      </c>
      <c r="K21" s="1027">
        <f t="shared" ref="K21:L21" si="4">SUM(K22:K28)</f>
        <v>7594000</v>
      </c>
      <c r="L21" s="1472">
        <f t="shared" si="4"/>
        <v>5206663</v>
      </c>
    </row>
    <row r="22" spans="1:12" ht="16.5" customHeight="1" x14ac:dyDescent="0.35">
      <c r="A22" s="314">
        <v>16</v>
      </c>
      <c r="B22" s="61"/>
      <c r="F22" s="20" t="s">
        <v>112</v>
      </c>
      <c r="G22" s="2">
        <v>1301931</v>
      </c>
      <c r="H22" s="2">
        <v>1300000</v>
      </c>
      <c r="I22" s="2">
        <v>1394243</v>
      </c>
      <c r="J22" s="1018">
        <f>1300000+5000</f>
        <v>1305000</v>
      </c>
      <c r="K22" s="2">
        <v>1305000</v>
      </c>
      <c r="L22" s="1473">
        <v>685988</v>
      </c>
    </row>
    <row r="23" spans="1:12" x14ac:dyDescent="0.35">
      <c r="A23" s="314">
        <v>17</v>
      </c>
      <c r="B23" s="61"/>
      <c r="F23" s="20" t="s">
        <v>115</v>
      </c>
      <c r="G23" s="2">
        <v>11646</v>
      </c>
      <c r="H23" s="2">
        <v>42000</v>
      </c>
      <c r="I23" s="2">
        <v>24688</v>
      </c>
      <c r="J23" s="1018">
        <v>45000</v>
      </c>
      <c r="K23" s="2">
        <v>45000</v>
      </c>
      <c r="L23" s="1473">
        <v>16143</v>
      </c>
    </row>
    <row r="24" spans="1:12" x14ac:dyDescent="0.35">
      <c r="A24" s="314">
        <v>18</v>
      </c>
      <c r="B24" s="61"/>
      <c r="F24" s="20" t="s">
        <v>114</v>
      </c>
      <c r="G24" s="2">
        <v>141440</v>
      </c>
      <c r="H24" s="2">
        <v>143000</v>
      </c>
      <c r="I24" s="2">
        <v>145896</v>
      </c>
      <c r="J24" s="1018">
        <v>143000</v>
      </c>
      <c r="K24" s="2">
        <v>143000</v>
      </c>
      <c r="L24" s="1473">
        <v>75905</v>
      </c>
    </row>
    <row r="25" spans="1:12" x14ac:dyDescent="0.35">
      <c r="A25" s="314">
        <v>19</v>
      </c>
      <c r="B25" s="61"/>
      <c r="F25" s="20" t="s">
        <v>113</v>
      </c>
      <c r="G25" s="2">
        <v>96484</v>
      </c>
      <c r="H25" s="2">
        <v>92000</v>
      </c>
      <c r="I25" s="2">
        <v>111261</v>
      </c>
      <c r="J25" s="1018">
        <f>95000-5000</f>
        <v>90000</v>
      </c>
      <c r="K25" s="2">
        <v>90000</v>
      </c>
      <c r="L25" s="1473">
        <v>55438</v>
      </c>
    </row>
    <row r="26" spans="1:12" x14ac:dyDescent="0.35">
      <c r="A26" s="314">
        <v>20</v>
      </c>
      <c r="B26" s="61"/>
      <c r="F26" s="20" t="s">
        <v>111</v>
      </c>
      <c r="G26" s="2">
        <v>7090255</v>
      </c>
      <c r="H26" s="2">
        <v>4650000</v>
      </c>
      <c r="I26" s="2">
        <v>6496614</v>
      </c>
      <c r="J26" s="1018">
        <v>6000000</v>
      </c>
      <c r="K26" s="2">
        <v>6000000</v>
      </c>
      <c r="L26" s="1473">
        <v>4367329</v>
      </c>
    </row>
    <row r="27" spans="1:12" x14ac:dyDescent="0.35">
      <c r="A27" s="314">
        <v>21</v>
      </c>
      <c r="B27" s="61"/>
      <c r="F27" s="20" t="s">
        <v>116</v>
      </c>
      <c r="J27" s="1018"/>
      <c r="L27" s="1473"/>
    </row>
    <row r="28" spans="1:12" x14ac:dyDescent="0.35">
      <c r="A28" s="314">
        <v>22</v>
      </c>
      <c r="B28" s="61"/>
      <c r="F28" s="20" t="s">
        <v>155</v>
      </c>
      <c r="G28" s="2">
        <v>14847</v>
      </c>
      <c r="H28" s="2">
        <v>10000</v>
      </c>
      <c r="I28" s="2">
        <v>17534</v>
      </c>
      <c r="J28" s="1018">
        <v>11000</v>
      </c>
      <c r="K28" s="2">
        <v>11000</v>
      </c>
      <c r="L28" s="1473">
        <v>5860</v>
      </c>
    </row>
    <row r="29" spans="1:12" s="67" customFormat="1" ht="34.5" x14ac:dyDescent="0.35">
      <c r="A29" s="314">
        <v>23</v>
      </c>
      <c r="B29" s="61"/>
      <c r="C29" s="91"/>
      <c r="D29" s="66"/>
      <c r="E29" s="66"/>
      <c r="F29" s="19" t="s">
        <v>156</v>
      </c>
      <c r="G29" s="10">
        <v>7080</v>
      </c>
      <c r="H29" s="10">
        <v>5200</v>
      </c>
      <c r="I29" s="10">
        <v>17441</v>
      </c>
      <c r="J29" s="1017">
        <v>5100</v>
      </c>
      <c r="K29" s="10">
        <v>5100</v>
      </c>
      <c r="L29" s="1476">
        <v>8509</v>
      </c>
    </row>
    <row r="30" spans="1:12" s="67" customFormat="1" x14ac:dyDescent="0.35">
      <c r="A30" s="314">
        <v>24</v>
      </c>
      <c r="B30" s="61"/>
      <c r="C30" s="91"/>
      <c r="D30" s="66"/>
      <c r="E30" s="66"/>
      <c r="F30" s="19" t="s">
        <v>873</v>
      </c>
      <c r="G30" s="10"/>
      <c r="H30" s="10"/>
      <c r="I30" s="10">
        <v>100</v>
      </c>
      <c r="J30" s="1017"/>
      <c r="K30" s="10"/>
      <c r="L30" s="1476">
        <v>120</v>
      </c>
    </row>
    <row r="31" spans="1:12" s="67" customFormat="1" ht="36" customHeight="1" x14ac:dyDescent="0.35">
      <c r="A31" s="314">
        <v>25</v>
      </c>
      <c r="B31" s="61">
        <v>18</v>
      </c>
      <c r="C31" s="91"/>
      <c r="D31" s="66"/>
      <c r="E31" s="66">
        <v>3</v>
      </c>
      <c r="F31" s="67" t="s">
        <v>121</v>
      </c>
      <c r="G31" s="10">
        <f>SUM(G32:G35)</f>
        <v>846221</v>
      </c>
      <c r="H31" s="10">
        <f>SUM(H32:H35)</f>
        <v>951251</v>
      </c>
      <c r="I31" s="10">
        <f>SUM(I32:I35)</f>
        <v>675161</v>
      </c>
      <c r="J31" s="1017">
        <f>SUM(J32:J35)</f>
        <v>5193791</v>
      </c>
      <c r="K31" s="1027">
        <f t="shared" ref="K31:L31" si="5">SUM(K32:K35)</f>
        <v>5219263</v>
      </c>
      <c r="L31" s="1472">
        <f t="shared" si="5"/>
        <v>1166175</v>
      </c>
    </row>
    <row r="32" spans="1:12" ht="16.5" customHeight="1" x14ac:dyDescent="0.35">
      <c r="A32" s="314">
        <v>26</v>
      </c>
      <c r="B32" s="61"/>
      <c r="F32" s="20" t="s">
        <v>255</v>
      </c>
      <c r="G32" s="2">
        <v>290126</v>
      </c>
      <c r="H32" s="2">
        <v>243317</v>
      </c>
      <c r="I32" s="2">
        <v>231167</v>
      </c>
      <c r="J32" s="1018">
        <v>339603</v>
      </c>
      <c r="K32" s="137">
        <v>359190</v>
      </c>
      <c r="L32" s="1473">
        <v>199744</v>
      </c>
    </row>
    <row r="33" spans="1:12" ht="16.5" customHeight="1" x14ac:dyDescent="0.35">
      <c r="A33" s="314">
        <v>27</v>
      </c>
      <c r="B33" s="61"/>
      <c r="F33" s="20" t="s">
        <v>256</v>
      </c>
      <c r="G33" s="2">
        <v>208134</v>
      </c>
      <c r="H33" s="2">
        <v>234064</v>
      </c>
      <c r="I33" s="2">
        <v>198228</v>
      </c>
      <c r="J33" s="1018">
        <v>269921</v>
      </c>
      <c r="K33" s="137">
        <v>254202</v>
      </c>
      <c r="L33" s="1473">
        <v>122350</v>
      </c>
    </row>
    <row r="34" spans="1:12" ht="16.5" customHeight="1" x14ac:dyDescent="0.35">
      <c r="A34" s="314">
        <v>28</v>
      </c>
      <c r="B34" s="61"/>
      <c r="F34" s="20" t="s">
        <v>257</v>
      </c>
      <c r="G34" s="2">
        <v>280298</v>
      </c>
      <c r="H34" s="2">
        <v>469933</v>
      </c>
      <c r="I34" s="2">
        <v>239895</v>
      </c>
      <c r="J34" s="1018">
        <v>3930758</v>
      </c>
      <c r="K34" s="137">
        <v>3945838</v>
      </c>
      <c r="L34" s="1473">
        <v>638202</v>
      </c>
    </row>
    <row r="35" spans="1:12" ht="16.5" customHeight="1" x14ac:dyDescent="0.35">
      <c r="A35" s="314">
        <v>29</v>
      </c>
      <c r="B35" s="61"/>
      <c r="F35" s="20" t="s">
        <v>258</v>
      </c>
      <c r="G35" s="2">
        <v>67663</v>
      </c>
      <c r="H35" s="2">
        <v>3937</v>
      </c>
      <c r="I35" s="2">
        <v>5871</v>
      </c>
      <c r="J35" s="1018">
        <v>653509</v>
      </c>
      <c r="K35" s="137">
        <v>660033</v>
      </c>
      <c r="L35" s="1473">
        <v>205879</v>
      </c>
    </row>
    <row r="36" spans="1:12" s="67" customFormat="1" ht="36" customHeight="1" x14ac:dyDescent="0.35">
      <c r="A36" s="314">
        <v>30</v>
      </c>
      <c r="B36" s="147" t="s">
        <v>346</v>
      </c>
      <c r="C36" s="91"/>
      <c r="D36" s="66"/>
      <c r="E36" s="66">
        <v>3</v>
      </c>
      <c r="F36" s="67" t="s">
        <v>157</v>
      </c>
      <c r="G36" s="10">
        <v>754985</v>
      </c>
      <c r="H36" s="10">
        <v>858015</v>
      </c>
      <c r="I36" s="10">
        <v>819953</v>
      </c>
      <c r="J36" s="1017">
        <f>'3.Inbe '!J143</f>
        <v>786013</v>
      </c>
      <c r="K36" s="10">
        <v>845544</v>
      </c>
      <c r="L36" s="1476">
        <f>'3.Inbe '!J145</f>
        <v>490075</v>
      </c>
    </row>
    <row r="37" spans="1:12" s="67" customFormat="1" ht="36" customHeight="1" x14ac:dyDescent="0.35">
      <c r="A37" s="314">
        <v>31</v>
      </c>
      <c r="B37" s="61">
        <v>18</v>
      </c>
      <c r="C37" s="91"/>
      <c r="D37" s="66"/>
      <c r="E37" s="66">
        <v>4</v>
      </c>
      <c r="F37" s="67" t="s">
        <v>158</v>
      </c>
      <c r="G37" s="10">
        <v>62697</v>
      </c>
      <c r="H37" s="10"/>
      <c r="I37" s="10">
        <v>958454</v>
      </c>
      <c r="J37" s="1017">
        <v>852792</v>
      </c>
      <c r="K37" s="10">
        <v>915334</v>
      </c>
      <c r="L37" s="1476">
        <v>797469</v>
      </c>
    </row>
    <row r="38" spans="1:12" s="67" customFormat="1" ht="16.5" customHeight="1" x14ac:dyDescent="0.35">
      <c r="A38" s="314">
        <v>32</v>
      </c>
      <c r="B38" s="61"/>
      <c r="C38" s="91"/>
      <c r="D38" s="66"/>
      <c r="E38" s="66"/>
      <c r="F38" s="20" t="s">
        <v>517</v>
      </c>
      <c r="G38" s="2">
        <v>6131</v>
      </c>
      <c r="H38" s="10"/>
      <c r="I38" s="2">
        <v>500</v>
      </c>
      <c r="J38" s="1017"/>
      <c r="K38" s="10"/>
      <c r="L38" s="1473"/>
    </row>
    <row r="39" spans="1:12" s="67" customFormat="1" ht="16.5" customHeight="1" x14ac:dyDescent="0.35">
      <c r="A39" s="314">
        <v>33</v>
      </c>
      <c r="B39" s="61"/>
      <c r="C39" s="91"/>
      <c r="D39" s="66"/>
      <c r="E39" s="66"/>
      <c r="F39" s="20" t="s">
        <v>781</v>
      </c>
      <c r="G39" s="2"/>
      <c r="H39" s="10"/>
      <c r="I39" s="2"/>
      <c r="J39" s="1017"/>
      <c r="K39" s="10">
        <v>4235</v>
      </c>
      <c r="L39" s="1476">
        <f>9235-5000</f>
        <v>4235</v>
      </c>
    </row>
    <row r="40" spans="1:12" s="67" customFormat="1" ht="36" customHeight="1" x14ac:dyDescent="0.35">
      <c r="A40" s="314">
        <v>34</v>
      </c>
      <c r="B40" s="148" t="s">
        <v>346</v>
      </c>
      <c r="C40" s="106"/>
      <c r="D40" s="106"/>
      <c r="E40" s="107">
        <v>4</v>
      </c>
      <c r="F40" s="108" t="s">
        <v>159</v>
      </c>
      <c r="G40" s="164">
        <v>16840</v>
      </c>
      <c r="H40" s="164">
        <v>4569</v>
      </c>
      <c r="I40" s="164">
        <v>45523</v>
      </c>
      <c r="J40" s="1020">
        <f>'3.Inbe '!L143</f>
        <v>19309</v>
      </c>
      <c r="K40" s="164">
        <v>173370</v>
      </c>
      <c r="L40" s="1477">
        <f>'3.Inbe '!L145</f>
        <v>119962</v>
      </c>
    </row>
    <row r="41" spans="1:12" s="100" customFormat="1" ht="36" customHeight="1" x14ac:dyDescent="0.35">
      <c r="A41" s="314">
        <v>35</v>
      </c>
      <c r="B41" s="149"/>
      <c r="C41" s="109"/>
      <c r="D41" s="110">
        <v>2</v>
      </c>
      <c r="E41" s="110"/>
      <c r="F41" s="111" t="s">
        <v>119</v>
      </c>
      <c r="G41" s="165">
        <f>SUM(G42,G45:G46,G48:G50)</f>
        <v>9155087</v>
      </c>
      <c r="H41" s="165">
        <f>SUM(H42,H45:H46,H48:H50)</f>
        <v>13046355</v>
      </c>
      <c r="I41" s="1339">
        <f>SUM(I42,I45:I46,I48:I50)</f>
        <v>13909465</v>
      </c>
      <c r="J41" s="165">
        <f>SUM(J42,J45:J46,J48:J50)</f>
        <v>19596768</v>
      </c>
      <c r="K41" s="165">
        <f t="shared" ref="K41:L41" si="6">SUM(K42,K45:K46,K48:K50)</f>
        <v>20078919</v>
      </c>
      <c r="L41" s="1478">
        <f t="shared" si="6"/>
        <v>15929034</v>
      </c>
    </row>
    <row r="42" spans="1:12" s="67" customFormat="1" ht="36" customHeight="1" x14ac:dyDescent="0.35">
      <c r="A42" s="314">
        <v>36</v>
      </c>
      <c r="B42" s="61"/>
      <c r="C42" s="91"/>
      <c r="D42" s="66"/>
      <c r="E42" s="66">
        <v>5</v>
      </c>
      <c r="F42" s="67" t="s">
        <v>160</v>
      </c>
      <c r="G42" s="10">
        <f>SUM(G43,G44)</f>
        <v>9111564</v>
      </c>
      <c r="H42" s="10">
        <f>SUM(H43,H44)</f>
        <v>12122305</v>
      </c>
      <c r="I42" s="10">
        <f>SUM(I43,I44)</f>
        <v>10352676</v>
      </c>
      <c r="J42" s="1017">
        <f>SUM(J43,J44)</f>
        <v>4535414</v>
      </c>
      <c r="K42" s="1027">
        <f t="shared" ref="K42:L42" si="7">SUM(K43,K44)</f>
        <v>4495414</v>
      </c>
      <c r="L42" s="1472">
        <f t="shared" si="7"/>
        <v>3622227</v>
      </c>
    </row>
    <row r="43" spans="1:12" x14ac:dyDescent="0.35">
      <c r="A43" s="314">
        <v>37</v>
      </c>
      <c r="B43" s="61">
        <v>18</v>
      </c>
      <c r="F43" s="493" t="s">
        <v>161</v>
      </c>
      <c r="J43" s="1018"/>
      <c r="L43" s="1473"/>
    </row>
    <row r="44" spans="1:12" x14ac:dyDescent="0.35">
      <c r="A44" s="314">
        <v>38</v>
      </c>
      <c r="B44" s="61">
        <v>18</v>
      </c>
      <c r="C44" s="104"/>
      <c r="D44" s="104"/>
      <c r="E44" s="104"/>
      <c r="F44" s="493" t="s">
        <v>162</v>
      </c>
      <c r="G44" s="2">
        <v>9111564</v>
      </c>
      <c r="H44" s="2">
        <v>12122305</v>
      </c>
      <c r="I44" s="2">
        <v>10352676</v>
      </c>
      <c r="J44" s="1018">
        <f>6035414-1500000</f>
        <v>4535414</v>
      </c>
      <c r="K44" s="2">
        <v>4495414</v>
      </c>
      <c r="L44" s="1473">
        <v>3622227</v>
      </c>
    </row>
    <row r="45" spans="1:12" s="67" customFormat="1" ht="36" customHeight="1" x14ac:dyDescent="0.35">
      <c r="A45" s="314">
        <v>39</v>
      </c>
      <c r="B45" s="148" t="s">
        <v>346</v>
      </c>
      <c r="C45" s="105"/>
      <c r="D45" s="105"/>
      <c r="E45" s="104">
        <v>5</v>
      </c>
      <c r="F45" s="19" t="s">
        <v>163</v>
      </c>
      <c r="G45" s="10">
        <v>335</v>
      </c>
      <c r="H45" s="10">
        <v>4050</v>
      </c>
      <c r="I45" s="10">
        <v>13802</v>
      </c>
      <c r="J45" s="1017">
        <f>'3.Inbe '!N143</f>
        <v>9581</v>
      </c>
      <c r="K45" s="10">
        <v>14265</v>
      </c>
      <c r="L45" s="1476">
        <f>'3.Inbe '!N145</f>
        <v>10853</v>
      </c>
    </row>
    <row r="46" spans="1:12" s="67" customFormat="1" ht="36" customHeight="1" x14ac:dyDescent="0.35">
      <c r="A46" s="314">
        <v>40</v>
      </c>
      <c r="B46" s="61">
        <v>18</v>
      </c>
      <c r="C46" s="91"/>
      <c r="D46" s="66"/>
      <c r="E46" s="66">
        <v>6</v>
      </c>
      <c r="F46" s="67" t="s">
        <v>164</v>
      </c>
      <c r="G46" s="10">
        <f>SUM(G47:G47)</f>
        <v>37339</v>
      </c>
      <c r="H46" s="10">
        <f>SUM(H47:H47)</f>
        <v>920000</v>
      </c>
      <c r="I46" s="10">
        <f>SUM(I47:I47)</f>
        <v>848081</v>
      </c>
      <c r="J46" s="1017">
        <f>SUM(J47:J47)</f>
        <v>427000</v>
      </c>
      <c r="K46" s="1027">
        <f t="shared" ref="K46:L46" si="8">SUM(K47:K47)</f>
        <v>472460</v>
      </c>
      <c r="L46" s="1472">
        <f t="shared" si="8"/>
        <v>21663</v>
      </c>
    </row>
    <row r="47" spans="1:12" x14ac:dyDescent="0.35">
      <c r="A47" s="314">
        <v>41</v>
      </c>
      <c r="B47" s="61"/>
      <c r="F47" s="20" t="s">
        <v>165</v>
      </c>
      <c r="G47" s="2">
        <v>37339</v>
      </c>
      <c r="H47" s="2">
        <v>920000</v>
      </c>
      <c r="I47" s="2">
        <v>848081</v>
      </c>
      <c r="J47" s="1018">
        <v>427000</v>
      </c>
      <c r="K47" s="2">
        <v>472460</v>
      </c>
      <c r="L47" s="1473">
        <v>21663</v>
      </c>
    </row>
    <row r="48" spans="1:12" ht="36" customHeight="1" x14ac:dyDescent="0.35">
      <c r="A48" s="314">
        <v>42</v>
      </c>
      <c r="B48" s="61"/>
      <c r="E48" s="66">
        <v>6</v>
      </c>
      <c r="F48" s="19" t="s">
        <v>166</v>
      </c>
      <c r="G48" s="10">
        <v>5849</v>
      </c>
      <c r="H48" s="10"/>
      <c r="I48" s="10">
        <v>189</v>
      </c>
      <c r="J48" s="1017">
        <f>'3.Inbe '!M143</f>
        <v>0</v>
      </c>
      <c r="K48" s="10">
        <v>4000</v>
      </c>
      <c r="L48" s="1473">
        <f>'3.Inbe '!M145</f>
        <v>4000</v>
      </c>
    </row>
    <row r="49" spans="1:12" s="67" customFormat="1" ht="36" customHeight="1" x14ac:dyDescent="0.35">
      <c r="A49" s="314">
        <v>43</v>
      </c>
      <c r="B49" s="61">
        <v>18</v>
      </c>
      <c r="C49" s="91"/>
      <c r="D49" s="66"/>
      <c r="E49" s="66">
        <v>7</v>
      </c>
      <c r="F49" s="67" t="s">
        <v>167</v>
      </c>
      <c r="G49" s="10"/>
      <c r="H49" s="10"/>
      <c r="I49" s="10">
        <v>2674888</v>
      </c>
      <c r="J49" s="1017">
        <v>14624773</v>
      </c>
      <c r="K49" s="10">
        <v>15025872</v>
      </c>
      <c r="L49" s="1476">
        <v>12230444</v>
      </c>
    </row>
    <row r="50" spans="1:12" s="67" customFormat="1" ht="36" customHeight="1" x14ac:dyDescent="0.35">
      <c r="A50" s="314">
        <v>44</v>
      </c>
      <c r="B50" s="148" t="s">
        <v>346</v>
      </c>
      <c r="C50" s="105"/>
      <c r="D50" s="105"/>
      <c r="E50" s="104">
        <v>7</v>
      </c>
      <c r="F50" s="112" t="s">
        <v>168</v>
      </c>
      <c r="G50" s="10"/>
      <c r="H50" s="10"/>
      <c r="I50" s="10">
        <v>19829</v>
      </c>
      <c r="J50" s="1017"/>
      <c r="K50" s="10">
        <v>66908</v>
      </c>
      <c r="L50" s="1476">
        <f>'3.Inbe '!O145</f>
        <v>39847</v>
      </c>
    </row>
    <row r="51" spans="1:12" s="16" customFormat="1" ht="36" customHeight="1" x14ac:dyDescent="0.3">
      <c r="A51" s="314">
        <v>45</v>
      </c>
      <c r="B51" s="15">
        <v>18</v>
      </c>
      <c r="C51" s="113"/>
      <c r="D51" s="114"/>
      <c r="E51" s="114"/>
      <c r="F51" s="221" t="s">
        <v>169</v>
      </c>
      <c r="G51" s="21">
        <f>SUM(G52:G52)</f>
        <v>256</v>
      </c>
      <c r="H51" s="21">
        <f>SUM(H52:H52)</f>
        <v>0</v>
      </c>
      <c r="I51" s="21">
        <f>SUM(I52:I52)</f>
        <v>0</v>
      </c>
      <c r="J51" s="1021">
        <f>SUM(J52:J52)</f>
        <v>0</v>
      </c>
      <c r="K51" s="1028">
        <f t="shared" ref="K51:L51" si="9">SUM(K52:K52)</f>
        <v>0</v>
      </c>
      <c r="L51" s="1479">
        <f t="shared" si="9"/>
        <v>0</v>
      </c>
    </row>
    <row r="52" spans="1:12" ht="33.75" x14ac:dyDescent="0.35">
      <c r="A52" s="314">
        <v>46</v>
      </c>
      <c r="B52" s="61"/>
      <c r="C52" s="115"/>
      <c r="D52" s="115"/>
      <c r="E52" s="115"/>
      <c r="F52" s="222" t="s">
        <v>227</v>
      </c>
      <c r="G52" s="22">
        <v>256</v>
      </c>
      <c r="H52" s="22"/>
      <c r="I52" s="22"/>
      <c r="J52" s="1022"/>
      <c r="L52" s="1473"/>
    </row>
    <row r="53" spans="1:12" s="16" customFormat="1" ht="40.15" customHeight="1" thickBot="1" x14ac:dyDescent="0.35">
      <c r="A53" s="314">
        <v>47</v>
      </c>
      <c r="B53" s="150"/>
      <c r="C53" s="116"/>
      <c r="D53" s="117"/>
      <c r="E53" s="117"/>
      <c r="F53" s="118" t="s">
        <v>170</v>
      </c>
      <c r="G53" s="166">
        <f>SUM(G7,G41,G51)</f>
        <v>26433021</v>
      </c>
      <c r="H53" s="166">
        <f>SUM(H7,H41,H51)</f>
        <v>27848814</v>
      </c>
      <c r="I53" s="166">
        <f>SUM(I7,I41,I51)</f>
        <v>31660816</v>
      </c>
      <c r="J53" s="1023">
        <f>SUM(J7,J41,J51)</f>
        <v>40508516</v>
      </c>
      <c r="K53" s="1029">
        <f t="shared" ref="K53:L53" si="10">SUM(K7,K41,K51)</f>
        <v>41482412</v>
      </c>
      <c r="L53" s="1480">
        <f t="shared" si="10"/>
        <v>27599384</v>
      </c>
    </row>
    <row r="54" spans="1:12" s="16" customFormat="1" ht="40.15" customHeight="1" thickTop="1" thickBot="1" x14ac:dyDescent="0.35">
      <c r="A54" s="314">
        <v>48</v>
      </c>
      <c r="B54" s="151"/>
      <c r="C54" s="119"/>
      <c r="D54" s="120"/>
      <c r="E54" s="120"/>
      <c r="F54" s="121" t="s">
        <v>171</v>
      </c>
      <c r="G54" s="399">
        <f>+G53-'2.Onki'!G34</f>
        <v>4465865</v>
      </c>
      <c r="H54" s="399">
        <f>+H53-'2.Onki'!H34</f>
        <v>-18254179</v>
      </c>
      <c r="I54" s="399">
        <f>+I53-'2.Onki'!I34</f>
        <v>1423371</v>
      </c>
      <c r="J54" s="1024">
        <f>+J53-'2.Onki'!J34</f>
        <v>-18082680</v>
      </c>
      <c r="K54" s="1030">
        <f>+K53-'2.Onki'!K34</f>
        <v>-20912489</v>
      </c>
      <c r="L54" s="1481">
        <f>+L53-'2.Onki'!L34</f>
        <v>9724741</v>
      </c>
    </row>
    <row r="55" spans="1:12" s="16" customFormat="1" ht="36" customHeight="1" x14ac:dyDescent="0.3">
      <c r="A55" s="314">
        <v>49</v>
      </c>
      <c r="B55" s="15"/>
      <c r="C55" s="1512"/>
      <c r="D55" s="96"/>
      <c r="E55" s="96"/>
      <c r="F55" s="16" t="s">
        <v>172</v>
      </c>
      <c r="G55" s="167">
        <f>SUM(G57,G66)+G56</f>
        <v>14967054</v>
      </c>
      <c r="H55" s="167">
        <f>SUM(H57,H66)+H56</f>
        <v>18573201</v>
      </c>
      <c r="I55" s="167">
        <f>SUM(I57,I66)+I56</f>
        <v>19683721</v>
      </c>
      <c r="J55" s="1025">
        <f>SUM(J57,J66)+J56</f>
        <v>18484610</v>
      </c>
      <c r="K55" s="1031">
        <f t="shared" ref="K55:L55" si="11">SUM(K57,K66)+K56</f>
        <v>21373563</v>
      </c>
      <c r="L55" s="1482">
        <f t="shared" si="11"/>
        <v>20811581</v>
      </c>
    </row>
    <row r="56" spans="1:12" s="16" customFormat="1" ht="36" customHeight="1" x14ac:dyDescent="0.3">
      <c r="A56" s="314">
        <v>50</v>
      </c>
      <c r="B56" s="15"/>
      <c r="C56" s="1512"/>
      <c r="D56" s="96">
        <v>1</v>
      </c>
      <c r="E56" s="96">
        <v>9</v>
      </c>
      <c r="F56" s="16" t="s">
        <v>231</v>
      </c>
      <c r="G56" s="167">
        <v>328363</v>
      </c>
      <c r="H56" s="167"/>
      <c r="I56" s="167">
        <v>223001</v>
      </c>
      <c r="J56" s="1025"/>
      <c r="K56" s="167">
        <v>59144</v>
      </c>
      <c r="L56" s="1429">
        <v>59053</v>
      </c>
    </row>
    <row r="57" spans="1:12" s="16" customFormat="1" ht="33" customHeight="1" x14ac:dyDescent="0.3">
      <c r="A57" s="314">
        <v>51</v>
      </c>
      <c r="B57" s="152"/>
      <c r="C57" s="113"/>
      <c r="D57" s="114"/>
      <c r="E57" s="114"/>
      <c r="F57" s="122" t="s">
        <v>259</v>
      </c>
      <c r="G57" s="21">
        <f>SUM(G58,G62)</f>
        <v>13993317</v>
      </c>
      <c r="H57" s="21">
        <f>SUM(H58,H62)</f>
        <v>17396684</v>
      </c>
      <c r="I57" s="21">
        <f>SUM(I58,I62)</f>
        <v>19065647</v>
      </c>
      <c r="J57" s="1021">
        <f>SUM(J58,J62)</f>
        <v>17922719</v>
      </c>
      <c r="K57" s="1028">
        <f>SUM(K58,K62)</f>
        <v>20752528</v>
      </c>
      <c r="L57" s="1479">
        <f t="shared" ref="L57" si="12">SUM(L58,L62)</f>
        <v>20752528</v>
      </c>
    </row>
    <row r="58" spans="1:12" s="67" customFormat="1" ht="24" customHeight="1" x14ac:dyDescent="0.35">
      <c r="A58" s="314">
        <v>52</v>
      </c>
      <c r="B58" s="61"/>
      <c r="C58" s="91"/>
      <c r="D58" s="66">
        <v>1</v>
      </c>
      <c r="E58" s="66">
        <v>8</v>
      </c>
      <c r="F58" s="67" t="s">
        <v>229</v>
      </c>
      <c r="G58" s="10">
        <f>SUM(G59:G61)</f>
        <v>2162285</v>
      </c>
      <c r="H58" s="10">
        <f>SUM(H59:H61)</f>
        <v>1391913</v>
      </c>
      <c r="I58" s="10">
        <f>SUM(I59:I61)</f>
        <v>2897017</v>
      </c>
      <c r="J58" s="1017">
        <f>SUM(J59:J61)</f>
        <v>3169018</v>
      </c>
      <c r="K58" s="1027">
        <f t="shared" ref="K58:L58" si="13">SUM(K59:K61)</f>
        <v>5745192</v>
      </c>
      <c r="L58" s="1472">
        <f t="shared" si="13"/>
        <v>5745192</v>
      </c>
    </row>
    <row r="59" spans="1:12" x14ac:dyDescent="0.35">
      <c r="A59" s="314">
        <v>53</v>
      </c>
      <c r="B59" s="146" t="s">
        <v>296</v>
      </c>
      <c r="F59" s="20" t="s">
        <v>173</v>
      </c>
      <c r="G59" s="2">
        <v>661871</v>
      </c>
      <c r="H59" s="2">
        <v>226214</v>
      </c>
      <c r="I59" s="2">
        <v>628126</v>
      </c>
      <c r="J59" s="1018">
        <f>293816+22583</f>
        <v>316399</v>
      </c>
      <c r="K59" s="2">
        <v>899446</v>
      </c>
      <c r="L59" s="1473">
        <v>899446</v>
      </c>
    </row>
    <row r="60" spans="1:12" x14ac:dyDescent="0.35">
      <c r="A60" s="314">
        <v>54</v>
      </c>
      <c r="B60" s="61">
        <v>17</v>
      </c>
      <c r="F60" s="20" t="s">
        <v>174</v>
      </c>
      <c r="G60" s="2">
        <v>360345</v>
      </c>
      <c r="H60" s="2">
        <v>80955</v>
      </c>
      <c r="I60" s="2">
        <v>442201</v>
      </c>
      <c r="J60" s="1018">
        <v>249269</v>
      </c>
      <c r="K60" s="2">
        <v>696995</v>
      </c>
      <c r="L60" s="1473">
        <v>696995</v>
      </c>
    </row>
    <row r="61" spans="1:12" x14ac:dyDescent="0.35">
      <c r="A61" s="314">
        <v>55</v>
      </c>
      <c r="B61" s="61">
        <v>18</v>
      </c>
      <c r="F61" s="20" t="s">
        <v>109</v>
      </c>
      <c r="G61" s="2">
        <v>1140069</v>
      </c>
      <c r="H61" s="2">
        <v>1084744</v>
      </c>
      <c r="I61" s="2">
        <v>1826690</v>
      </c>
      <c r="J61" s="1018">
        <v>2603350</v>
      </c>
      <c r="K61" s="2">
        <v>4148751</v>
      </c>
      <c r="L61" s="1473">
        <v>4148751</v>
      </c>
    </row>
    <row r="62" spans="1:12" s="67" customFormat="1" ht="24" customHeight="1" x14ac:dyDescent="0.35">
      <c r="A62" s="314">
        <v>56</v>
      </c>
      <c r="B62" s="61"/>
      <c r="C62" s="91"/>
      <c r="D62" s="66">
        <v>2</v>
      </c>
      <c r="E62" s="66">
        <v>11</v>
      </c>
      <c r="F62" s="67" t="s">
        <v>228</v>
      </c>
      <c r="G62" s="10">
        <f>SUM(G63:G65)</f>
        <v>11831032</v>
      </c>
      <c r="H62" s="10">
        <f>SUM(H63:H65)</f>
        <v>16004771</v>
      </c>
      <c r="I62" s="10">
        <f>SUM(I63:I65)</f>
        <v>16168630</v>
      </c>
      <c r="J62" s="1017">
        <f>SUM(J63:J65)</f>
        <v>14753701</v>
      </c>
      <c r="K62" s="1027">
        <f t="shared" ref="K62:L62" si="14">SUM(K63:K65)</f>
        <v>15007336</v>
      </c>
      <c r="L62" s="1472">
        <f t="shared" si="14"/>
        <v>15007336</v>
      </c>
    </row>
    <row r="63" spans="1:12" s="67" customFormat="1" x14ac:dyDescent="0.35">
      <c r="A63" s="314">
        <v>57</v>
      </c>
      <c r="B63" s="147" t="s">
        <v>296</v>
      </c>
      <c r="C63" s="66"/>
      <c r="D63" s="66"/>
      <c r="E63" s="66"/>
      <c r="F63" s="123" t="s">
        <v>173</v>
      </c>
      <c r="G63" s="2">
        <v>27970</v>
      </c>
      <c r="H63" s="2">
        <v>106203</v>
      </c>
      <c r="I63" s="2">
        <v>129649</v>
      </c>
      <c r="J63" s="1018">
        <f>78742-22583</f>
        <v>56159</v>
      </c>
      <c r="K63" s="2">
        <v>178511</v>
      </c>
      <c r="L63" s="1473">
        <v>178511</v>
      </c>
    </row>
    <row r="64" spans="1:12" s="67" customFormat="1" x14ac:dyDescent="0.35">
      <c r="A64" s="314">
        <v>58</v>
      </c>
      <c r="B64" s="147" t="s">
        <v>273</v>
      </c>
      <c r="C64" s="66"/>
      <c r="D64" s="66"/>
      <c r="E64" s="66"/>
      <c r="F64" s="20" t="s">
        <v>174</v>
      </c>
      <c r="G64" s="2">
        <v>24177</v>
      </c>
      <c r="H64" s="2">
        <v>95</v>
      </c>
      <c r="I64" s="2">
        <v>15781</v>
      </c>
      <c r="J64" s="1018"/>
      <c r="K64" s="2">
        <v>35711</v>
      </c>
      <c r="L64" s="1473">
        <v>35711</v>
      </c>
    </row>
    <row r="65" spans="1:12" s="67" customFormat="1" x14ac:dyDescent="0.35">
      <c r="A65" s="314">
        <v>59</v>
      </c>
      <c r="B65" s="61">
        <v>18</v>
      </c>
      <c r="C65" s="66"/>
      <c r="D65" s="66"/>
      <c r="E65" s="66"/>
      <c r="F65" s="123" t="s">
        <v>289</v>
      </c>
      <c r="G65" s="2">
        <v>11778885</v>
      </c>
      <c r="H65" s="2">
        <v>15898473</v>
      </c>
      <c r="I65" s="2">
        <v>16023200</v>
      </c>
      <c r="J65" s="1018">
        <v>14697542</v>
      </c>
      <c r="K65" s="2">
        <v>14793114</v>
      </c>
      <c r="L65" s="1473">
        <v>14793114</v>
      </c>
    </row>
    <row r="66" spans="1:12" s="16" customFormat="1" ht="30" customHeight="1" x14ac:dyDescent="0.3">
      <c r="A66" s="314">
        <v>60</v>
      </c>
      <c r="B66" s="152"/>
      <c r="C66" s="113"/>
      <c r="D66" s="114"/>
      <c r="E66" s="114"/>
      <c r="F66" s="122" t="s">
        <v>260</v>
      </c>
      <c r="G66" s="21">
        <f>SUM(G67:G69)</f>
        <v>645374</v>
      </c>
      <c r="H66" s="21">
        <f>SUM(H67:H69)</f>
        <v>1176517</v>
      </c>
      <c r="I66" s="21">
        <f>SUM(I67:I69)</f>
        <v>395073</v>
      </c>
      <c r="J66" s="1021">
        <f>SUM(J67:J69)</f>
        <v>561891</v>
      </c>
      <c r="K66" s="1028">
        <f t="shared" ref="K66:L66" si="15">SUM(K67:K69)</f>
        <v>561891</v>
      </c>
      <c r="L66" s="1479">
        <f t="shared" si="15"/>
        <v>0</v>
      </c>
    </row>
    <row r="67" spans="1:12" s="67" customFormat="1" ht="24" customHeight="1" x14ac:dyDescent="0.35">
      <c r="A67" s="314">
        <v>61</v>
      </c>
      <c r="B67" s="61">
        <v>18</v>
      </c>
      <c r="C67" s="91"/>
      <c r="D67" s="66">
        <v>2</v>
      </c>
      <c r="E67" s="66">
        <v>10</v>
      </c>
      <c r="F67" s="67" t="s">
        <v>175</v>
      </c>
      <c r="G67" s="10"/>
      <c r="H67" s="10"/>
      <c r="I67" s="10"/>
      <c r="J67" s="1017"/>
      <c r="K67" s="10"/>
      <c r="L67" s="1476"/>
    </row>
    <row r="68" spans="1:12" x14ac:dyDescent="0.35">
      <c r="A68" s="314">
        <v>62</v>
      </c>
      <c r="B68" s="61"/>
      <c r="F68" s="20" t="s">
        <v>175</v>
      </c>
      <c r="G68" s="2">
        <v>286988</v>
      </c>
      <c r="H68" s="2">
        <v>561891</v>
      </c>
      <c r="J68" s="1018"/>
      <c r="L68" s="1473"/>
    </row>
    <row r="69" spans="1:12" x14ac:dyDescent="0.35">
      <c r="A69" s="314">
        <v>63</v>
      </c>
      <c r="B69" s="61"/>
      <c r="F69" s="124" t="s">
        <v>176</v>
      </c>
      <c r="G69" s="22">
        <v>358386</v>
      </c>
      <c r="H69" s="22">
        <v>614626</v>
      </c>
      <c r="I69" s="22">
        <v>395073</v>
      </c>
      <c r="J69" s="1018">
        <v>561891</v>
      </c>
      <c r="K69" s="2">
        <v>561891</v>
      </c>
      <c r="L69" s="1473"/>
    </row>
    <row r="70" spans="1:12" s="16" customFormat="1" ht="36" customHeight="1" thickBot="1" x14ac:dyDescent="0.35">
      <c r="A70" s="314">
        <v>64</v>
      </c>
      <c r="B70" s="153"/>
      <c r="C70" s="125"/>
      <c r="D70" s="126"/>
      <c r="E70" s="126"/>
      <c r="F70" s="127" t="s">
        <v>177</v>
      </c>
      <c r="G70" s="168">
        <f>SUM(G53,G55)</f>
        <v>41400075</v>
      </c>
      <c r="H70" s="168">
        <f>SUM(H53,H55)</f>
        <v>46422015</v>
      </c>
      <c r="I70" s="168">
        <f>SUM(I53,I55)</f>
        <v>51344537</v>
      </c>
      <c r="J70" s="1026">
        <f>SUM(J53,J55)</f>
        <v>58993126</v>
      </c>
      <c r="K70" s="1032">
        <f>SUM(K53,K55)</f>
        <v>62855975</v>
      </c>
      <c r="L70" s="1483">
        <f t="shared" ref="L70" si="16">SUM(L53,L55)</f>
        <v>48410965</v>
      </c>
    </row>
  </sheetData>
  <mergeCells count="3">
    <mergeCell ref="B1:F1"/>
    <mergeCell ref="B2:L2"/>
    <mergeCell ref="B3:L3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59" fitToHeight="2" orientation="portrait" r:id="rId1"/>
  <headerFooter alignWithMargins="0">
    <oddFooter>&amp;C- &amp;P -</oddFooter>
  </headerFooter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69"/>
  <sheetViews>
    <sheetView view="pageBreakPreview" topLeftCell="E52" zoomScaleNormal="100" zoomScaleSheetLayoutView="100" workbookViewId="0">
      <selection activeCell="M13" sqref="M13"/>
    </sheetView>
  </sheetViews>
  <sheetFormatPr defaultRowHeight="17.25" x14ac:dyDescent="0.35"/>
  <cols>
    <col min="1" max="1" width="3.7109375" style="280" customWidth="1"/>
    <col min="2" max="3" width="5.7109375" style="318" customWidth="1"/>
    <col min="4" max="4" width="62.7109375" style="174" customWidth="1"/>
    <col min="5" max="5" width="12.7109375" style="317" customWidth="1"/>
    <col min="6" max="7" width="10.7109375" style="317" customWidth="1"/>
    <col min="8" max="8" width="6.7109375" style="282" customWidth="1"/>
    <col min="9" max="14" width="14.85546875" style="317" customWidth="1"/>
    <col min="15" max="15" width="15.7109375" style="302" customWidth="1"/>
    <col min="16" max="16" width="13.85546875" style="317" customWidth="1"/>
    <col min="17" max="16384" width="9.140625" style="174"/>
  </cols>
  <sheetData>
    <row r="1" spans="1:256" ht="18" customHeight="1" x14ac:dyDescent="0.3">
      <c r="A1" s="1406"/>
      <c r="B1" s="1809" t="s">
        <v>886</v>
      </c>
      <c r="C1" s="1809"/>
      <c r="D1" s="1809"/>
      <c r="E1" s="1809"/>
      <c r="F1" s="1809"/>
      <c r="G1" s="239"/>
      <c r="H1" s="281"/>
      <c r="I1" s="1740"/>
      <c r="J1" s="1740"/>
      <c r="K1" s="1740"/>
      <c r="L1" s="1740"/>
      <c r="M1" s="1740"/>
      <c r="N1" s="1740"/>
      <c r="O1" s="1740"/>
      <c r="P1" s="17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  <c r="ED1" s="240"/>
      <c r="EE1" s="240"/>
      <c r="EF1" s="240"/>
      <c r="EG1" s="240"/>
      <c r="EH1" s="240"/>
      <c r="EI1" s="240"/>
      <c r="EJ1" s="240"/>
      <c r="EK1" s="240"/>
      <c r="EL1" s="240"/>
      <c r="EM1" s="240"/>
      <c r="EN1" s="240"/>
      <c r="EO1" s="240"/>
      <c r="EP1" s="240"/>
      <c r="EQ1" s="240"/>
      <c r="ER1" s="240"/>
      <c r="ES1" s="240"/>
      <c r="ET1" s="240"/>
      <c r="EU1" s="240"/>
      <c r="EV1" s="240"/>
      <c r="EW1" s="240"/>
      <c r="EX1" s="240"/>
      <c r="EY1" s="240"/>
      <c r="EZ1" s="240"/>
      <c r="FA1" s="240"/>
      <c r="FB1" s="240"/>
      <c r="FC1" s="240"/>
      <c r="FD1" s="240"/>
      <c r="FE1" s="240"/>
      <c r="FF1" s="240"/>
      <c r="FG1" s="240"/>
      <c r="FH1" s="240"/>
      <c r="FI1" s="240"/>
      <c r="FJ1" s="240"/>
      <c r="FK1" s="240"/>
      <c r="FL1" s="240"/>
      <c r="FM1" s="240"/>
      <c r="FN1" s="240"/>
      <c r="FO1" s="240"/>
      <c r="FP1" s="240"/>
      <c r="FQ1" s="240"/>
      <c r="FR1" s="240"/>
      <c r="FS1" s="240"/>
      <c r="FT1" s="240"/>
      <c r="FU1" s="240"/>
      <c r="FV1" s="240"/>
      <c r="FW1" s="240"/>
      <c r="FX1" s="240"/>
      <c r="FY1" s="240"/>
      <c r="FZ1" s="240"/>
      <c r="GA1" s="240"/>
      <c r="GB1" s="240"/>
      <c r="GC1" s="240"/>
      <c r="GD1" s="240"/>
      <c r="GE1" s="240"/>
      <c r="GF1" s="240"/>
      <c r="GG1" s="240"/>
      <c r="GH1" s="240"/>
      <c r="GI1" s="240"/>
      <c r="GJ1" s="240"/>
      <c r="GK1" s="240"/>
      <c r="GL1" s="240"/>
      <c r="GM1" s="240"/>
      <c r="GN1" s="240"/>
      <c r="GO1" s="240"/>
      <c r="GP1" s="240"/>
      <c r="GQ1" s="240"/>
      <c r="GR1" s="240"/>
      <c r="GS1" s="240"/>
      <c r="GT1" s="240"/>
      <c r="GU1" s="240"/>
      <c r="GV1" s="240"/>
      <c r="GW1" s="240"/>
      <c r="GX1" s="240"/>
      <c r="GY1" s="240"/>
      <c r="GZ1" s="240"/>
      <c r="HA1" s="240"/>
      <c r="HB1" s="240"/>
      <c r="HC1" s="240"/>
      <c r="HD1" s="240"/>
      <c r="HE1" s="240"/>
      <c r="HF1" s="240"/>
      <c r="HG1" s="240"/>
      <c r="HH1" s="240"/>
      <c r="HI1" s="240"/>
      <c r="HJ1" s="240"/>
      <c r="HK1" s="240"/>
      <c r="HL1" s="240"/>
      <c r="HM1" s="240"/>
      <c r="HN1" s="240"/>
      <c r="HO1" s="240"/>
      <c r="HP1" s="240"/>
      <c r="HQ1" s="240"/>
      <c r="HR1" s="240"/>
      <c r="HS1" s="240"/>
      <c r="HT1" s="240"/>
      <c r="HU1" s="240"/>
      <c r="HV1" s="240"/>
      <c r="HW1" s="240"/>
      <c r="HX1" s="240"/>
      <c r="HY1" s="240"/>
      <c r="HZ1" s="240"/>
      <c r="IA1" s="240"/>
      <c r="IB1" s="240"/>
      <c r="IC1" s="240"/>
      <c r="ID1" s="240"/>
      <c r="IE1" s="240"/>
      <c r="IF1" s="240"/>
      <c r="IG1" s="240"/>
      <c r="IH1" s="240"/>
      <c r="II1" s="240"/>
      <c r="IJ1" s="240"/>
      <c r="IK1" s="240"/>
      <c r="IL1" s="240"/>
      <c r="IM1" s="240"/>
      <c r="IN1" s="240"/>
      <c r="IO1" s="240"/>
      <c r="IP1" s="240"/>
    </row>
    <row r="2" spans="1:256" ht="24.75" customHeight="1" x14ac:dyDescent="0.35">
      <c r="A2" s="1741" t="s">
        <v>14</v>
      </c>
      <c r="B2" s="1741"/>
      <c r="C2" s="1741"/>
      <c r="D2" s="1741"/>
      <c r="E2" s="1741"/>
      <c r="F2" s="1741"/>
      <c r="G2" s="1741"/>
      <c r="H2" s="1741"/>
      <c r="I2" s="1741"/>
      <c r="J2" s="1741"/>
      <c r="K2" s="1741"/>
      <c r="L2" s="1741"/>
      <c r="M2" s="1741"/>
      <c r="N2" s="1741"/>
      <c r="O2" s="1741"/>
      <c r="P2" s="1741"/>
    </row>
    <row r="3" spans="1:256" ht="24.75" customHeight="1" x14ac:dyDescent="0.35">
      <c r="A3" s="1785" t="s">
        <v>864</v>
      </c>
      <c r="B3" s="1785"/>
      <c r="C3" s="1785"/>
      <c r="D3" s="1785"/>
      <c r="E3" s="1785"/>
      <c r="F3" s="1785"/>
      <c r="G3" s="1785"/>
      <c r="H3" s="1785"/>
      <c r="I3" s="1785"/>
      <c r="J3" s="1785"/>
      <c r="K3" s="1785"/>
      <c r="L3" s="1785"/>
      <c r="M3" s="1785"/>
      <c r="N3" s="1785"/>
      <c r="O3" s="1785"/>
      <c r="P3" s="1785"/>
    </row>
    <row r="4" spans="1:256" s="249" customFormat="1" ht="18" customHeight="1" x14ac:dyDescent="0.3">
      <c r="A4" s="280"/>
      <c r="B4" s="280"/>
      <c r="C4" s="280"/>
      <c r="E4" s="248"/>
      <c r="F4" s="248"/>
      <c r="G4" s="248"/>
      <c r="H4" s="348"/>
      <c r="I4" s="248"/>
      <c r="J4" s="248"/>
      <c r="K4" s="248"/>
      <c r="L4" s="248"/>
      <c r="M4" s="248"/>
      <c r="N4" s="248"/>
      <c r="O4" s="349"/>
      <c r="P4" s="254" t="s">
        <v>0</v>
      </c>
    </row>
    <row r="5" spans="1:256" s="311" customFormat="1" ht="18" customHeight="1" thickBot="1" x14ac:dyDescent="0.35">
      <c r="A5" s="350"/>
      <c r="B5" s="351" t="s">
        <v>1</v>
      </c>
      <c r="C5" s="352" t="s">
        <v>3</v>
      </c>
      <c r="D5" s="352" t="s">
        <v>2</v>
      </c>
      <c r="E5" s="352" t="s">
        <v>4</v>
      </c>
      <c r="F5" s="352" t="s">
        <v>5</v>
      </c>
      <c r="G5" s="352" t="s">
        <v>15</v>
      </c>
      <c r="H5" s="352" t="s">
        <v>16</v>
      </c>
      <c r="I5" s="352" t="s">
        <v>17</v>
      </c>
      <c r="J5" s="352" t="s">
        <v>34</v>
      </c>
      <c r="K5" s="352" t="s">
        <v>30</v>
      </c>
      <c r="L5" s="352" t="s">
        <v>23</v>
      </c>
      <c r="M5" s="352" t="s">
        <v>35</v>
      </c>
      <c r="N5" s="352" t="s">
        <v>36</v>
      </c>
      <c r="O5" s="352" t="s">
        <v>135</v>
      </c>
      <c r="P5" s="352" t="s">
        <v>136</v>
      </c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0"/>
      <c r="CU5" s="350"/>
      <c r="CV5" s="350"/>
      <c r="CW5" s="350"/>
      <c r="CX5" s="350"/>
      <c r="CY5" s="350"/>
      <c r="CZ5" s="350"/>
      <c r="DA5" s="350"/>
      <c r="DB5" s="350"/>
      <c r="DC5" s="350"/>
      <c r="DD5" s="350"/>
      <c r="DE5" s="350"/>
      <c r="DF5" s="350"/>
      <c r="DG5" s="350"/>
      <c r="DH5" s="350"/>
      <c r="DI5" s="350"/>
      <c r="DJ5" s="350"/>
      <c r="DK5" s="350"/>
      <c r="DL5" s="350"/>
      <c r="DM5" s="350"/>
      <c r="DN5" s="350"/>
      <c r="DO5" s="350"/>
      <c r="DP5" s="350"/>
      <c r="DQ5" s="350"/>
      <c r="DR5" s="350"/>
      <c r="DS5" s="350"/>
      <c r="DT5" s="350"/>
      <c r="DU5" s="350"/>
      <c r="DV5" s="350"/>
      <c r="DW5" s="350"/>
      <c r="DX5" s="350"/>
      <c r="DY5" s="350"/>
      <c r="DZ5" s="350"/>
      <c r="EA5" s="350"/>
      <c r="EB5" s="350"/>
      <c r="EC5" s="350"/>
      <c r="ED5" s="350"/>
      <c r="EE5" s="350"/>
      <c r="EF5" s="350"/>
      <c r="EG5" s="350"/>
      <c r="EH5" s="350"/>
      <c r="EI5" s="350"/>
      <c r="EJ5" s="350"/>
      <c r="EK5" s="350"/>
      <c r="EL5" s="350"/>
      <c r="EM5" s="350"/>
      <c r="EN5" s="350"/>
      <c r="EO5" s="350"/>
      <c r="EP5" s="350"/>
      <c r="EQ5" s="350"/>
      <c r="ER5" s="350"/>
      <c r="ES5" s="350"/>
      <c r="ET5" s="350"/>
      <c r="EU5" s="350"/>
      <c r="EV5" s="350"/>
      <c r="EW5" s="350"/>
      <c r="EX5" s="350"/>
      <c r="EY5" s="350"/>
      <c r="EZ5" s="350"/>
      <c r="FA5" s="350"/>
      <c r="FB5" s="350"/>
      <c r="FC5" s="350"/>
      <c r="FD5" s="350"/>
      <c r="FE5" s="350"/>
      <c r="FF5" s="350"/>
      <c r="FG5" s="350"/>
      <c r="FH5" s="350"/>
      <c r="FI5" s="350"/>
      <c r="FJ5" s="350"/>
      <c r="FK5" s="350"/>
      <c r="FL5" s="350"/>
      <c r="FM5" s="350"/>
      <c r="FN5" s="350"/>
      <c r="FO5" s="350"/>
      <c r="FP5" s="350"/>
      <c r="FQ5" s="350"/>
      <c r="FR5" s="350"/>
      <c r="FS5" s="350"/>
      <c r="FT5" s="350"/>
      <c r="FU5" s="350"/>
      <c r="FV5" s="350"/>
      <c r="FW5" s="350"/>
      <c r="FX5" s="350"/>
      <c r="FY5" s="350"/>
      <c r="FZ5" s="350"/>
      <c r="GA5" s="350"/>
      <c r="GB5" s="350"/>
      <c r="GC5" s="350"/>
      <c r="GD5" s="350"/>
      <c r="GE5" s="350"/>
      <c r="GF5" s="350"/>
      <c r="GG5" s="350"/>
      <c r="GH5" s="350"/>
      <c r="GI5" s="350"/>
      <c r="GJ5" s="350"/>
      <c r="GK5" s="350"/>
      <c r="GL5" s="350"/>
      <c r="GM5" s="350"/>
      <c r="GN5" s="350"/>
      <c r="GO5" s="350"/>
      <c r="GP5" s="350"/>
      <c r="GQ5" s="350"/>
      <c r="GR5" s="350"/>
      <c r="GS5" s="350"/>
      <c r="GT5" s="350"/>
      <c r="GU5" s="350"/>
      <c r="GV5" s="350"/>
      <c r="GW5" s="350"/>
      <c r="GX5" s="350"/>
      <c r="GY5" s="350"/>
      <c r="GZ5" s="350"/>
      <c r="HA5" s="350"/>
      <c r="HB5" s="350"/>
      <c r="HC5" s="350"/>
      <c r="HD5" s="350"/>
      <c r="HE5" s="350"/>
      <c r="HF5" s="350"/>
      <c r="HG5" s="350"/>
      <c r="HH5" s="350"/>
      <c r="HI5" s="350"/>
      <c r="HJ5" s="350"/>
      <c r="HK5" s="350"/>
      <c r="HL5" s="350"/>
      <c r="HM5" s="350"/>
      <c r="HN5" s="350"/>
      <c r="HO5" s="350"/>
      <c r="HP5" s="350"/>
      <c r="HQ5" s="350"/>
      <c r="HR5" s="350"/>
      <c r="HS5" s="350"/>
      <c r="HT5" s="350"/>
      <c r="HU5" s="350"/>
      <c r="HV5" s="350"/>
      <c r="HW5" s="350"/>
      <c r="HX5" s="350"/>
      <c r="HY5" s="350"/>
      <c r="HZ5" s="350"/>
      <c r="IA5" s="350"/>
      <c r="IB5" s="350"/>
      <c r="IC5" s="350"/>
      <c r="ID5" s="350"/>
      <c r="IE5" s="350"/>
      <c r="IF5" s="350"/>
      <c r="IG5" s="350"/>
      <c r="IH5" s="350"/>
      <c r="II5" s="350"/>
      <c r="IJ5" s="350"/>
      <c r="IK5" s="350"/>
      <c r="IL5" s="350"/>
      <c r="IM5" s="350"/>
      <c r="IN5" s="350"/>
      <c r="IO5" s="350"/>
      <c r="IP5" s="350"/>
    </row>
    <row r="6" spans="1:256" ht="22.5" customHeight="1" x14ac:dyDescent="0.3">
      <c r="B6" s="1779" t="s">
        <v>18</v>
      </c>
      <c r="C6" s="1803" t="s">
        <v>19</v>
      </c>
      <c r="D6" s="1786" t="s">
        <v>6</v>
      </c>
      <c r="E6" s="1782" t="s">
        <v>378</v>
      </c>
      <c r="F6" s="1782" t="s">
        <v>561</v>
      </c>
      <c r="G6" s="1789" t="s">
        <v>706</v>
      </c>
      <c r="H6" s="1764" t="s">
        <v>20</v>
      </c>
      <c r="I6" s="1792" t="s">
        <v>518</v>
      </c>
      <c r="J6" s="1782"/>
      <c r="K6" s="1782"/>
      <c r="L6" s="1782"/>
      <c r="M6" s="1782"/>
      <c r="N6" s="1782"/>
      <c r="O6" s="1793"/>
      <c r="P6" s="1794" t="s">
        <v>522</v>
      </c>
      <c r="Q6" s="1775"/>
      <c r="R6" s="1775"/>
    </row>
    <row r="7" spans="1:256" ht="33" customHeight="1" x14ac:dyDescent="0.3">
      <c r="B7" s="1780"/>
      <c r="C7" s="1804"/>
      <c r="D7" s="1787"/>
      <c r="E7" s="1783"/>
      <c r="F7" s="1783"/>
      <c r="G7" s="1790"/>
      <c r="H7" s="1765"/>
      <c r="I7" s="1797" t="s">
        <v>380</v>
      </c>
      <c r="J7" s="1798"/>
      <c r="K7" s="1799"/>
      <c r="L7" s="1799"/>
      <c r="M7" s="1800" t="s">
        <v>138</v>
      </c>
      <c r="N7" s="1800"/>
      <c r="O7" s="1801" t="s">
        <v>110</v>
      </c>
      <c r="P7" s="1795"/>
    </row>
    <row r="8" spans="1:256" ht="53.25" customHeight="1" thickBot="1" x14ac:dyDescent="0.35">
      <c r="B8" s="1781"/>
      <c r="C8" s="1805"/>
      <c r="D8" s="1788"/>
      <c r="E8" s="1784"/>
      <c r="F8" s="1784"/>
      <c r="G8" s="1791"/>
      <c r="H8" s="1766"/>
      <c r="I8" s="368" t="s">
        <v>38</v>
      </c>
      <c r="J8" s="283" t="s">
        <v>375</v>
      </c>
      <c r="K8" s="284" t="s">
        <v>40</v>
      </c>
      <c r="L8" s="284" t="s">
        <v>377</v>
      </c>
      <c r="M8" s="283" t="s">
        <v>202</v>
      </c>
      <c r="N8" s="283" t="s">
        <v>139</v>
      </c>
      <c r="O8" s="1802"/>
      <c r="P8" s="1796"/>
    </row>
    <row r="9" spans="1:256" s="287" customFormat="1" ht="22.5" customHeight="1" x14ac:dyDescent="0.35">
      <c r="A9" s="301">
        <v>1</v>
      </c>
      <c r="B9" s="285">
        <v>18</v>
      </c>
      <c r="C9" s="297" t="s">
        <v>14</v>
      </c>
      <c r="D9" s="356"/>
      <c r="E9" s="181"/>
      <c r="F9" s="179"/>
      <c r="G9" s="180"/>
      <c r="H9" s="372"/>
      <c r="I9" s="369"/>
      <c r="J9" s="304"/>
      <c r="K9" s="304"/>
      <c r="L9" s="304"/>
      <c r="M9" s="304"/>
      <c r="N9" s="304"/>
      <c r="O9" s="286"/>
      <c r="P9" s="289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  <c r="FW9" s="174"/>
      <c r="FX9" s="174"/>
      <c r="FY9" s="174"/>
      <c r="FZ9" s="174"/>
      <c r="GA9" s="174"/>
      <c r="GB9" s="174"/>
      <c r="GC9" s="174"/>
      <c r="GD9" s="174"/>
      <c r="GE9" s="174"/>
      <c r="GF9" s="174"/>
      <c r="GG9" s="174"/>
      <c r="GH9" s="174"/>
      <c r="GI9" s="174"/>
      <c r="GJ9" s="174"/>
      <c r="GK9" s="174"/>
      <c r="GL9" s="174"/>
      <c r="GM9" s="174"/>
      <c r="GN9" s="174"/>
      <c r="GO9" s="174"/>
      <c r="GP9" s="174"/>
      <c r="GQ9" s="174"/>
      <c r="GR9" s="174"/>
      <c r="GS9" s="174"/>
      <c r="GT9" s="174"/>
      <c r="GU9" s="174"/>
      <c r="GV9" s="174"/>
      <c r="GW9" s="174"/>
      <c r="GX9" s="174"/>
      <c r="GY9" s="174"/>
      <c r="GZ9" s="174"/>
      <c r="HA9" s="174"/>
      <c r="HB9" s="174"/>
      <c r="HC9" s="174"/>
      <c r="HD9" s="174"/>
      <c r="HE9" s="174"/>
      <c r="HF9" s="174"/>
      <c r="HG9" s="174"/>
      <c r="HH9" s="174"/>
      <c r="HI9" s="174"/>
      <c r="HJ9" s="174"/>
      <c r="HK9" s="174"/>
      <c r="HL9" s="174"/>
      <c r="HM9" s="174"/>
      <c r="HN9" s="174"/>
      <c r="HO9" s="174"/>
      <c r="HP9" s="174"/>
      <c r="HQ9" s="174"/>
      <c r="HR9" s="174"/>
      <c r="HS9" s="174"/>
      <c r="HT9" s="174"/>
      <c r="HU9" s="174"/>
      <c r="HV9" s="174"/>
      <c r="HW9" s="174"/>
      <c r="HX9" s="174"/>
      <c r="HY9" s="174"/>
      <c r="HZ9" s="174"/>
      <c r="IA9" s="174"/>
      <c r="IB9" s="174"/>
      <c r="IC9" s="174"/>
      <c r="ID9" s="174"/>
      <c r="IE9" s="174"/>
      <c r="IF9" s="174"/>
      <c r="IG9" s="174"/>
      <c r="IH9" s="174"/>
      <c r="II9" s="174"/>
      <c r="IJ9" s="174"/>
      <c r="IK9" s="174"/>
      <c r="IL9" s="174"/>
      <c r="IM9" s="174"/>
      <c r="IN9" s="174"/>
      <c r="IO9" s="174"/>
      <c r="IP9" s="174"/>
      <c r="IQ9" s="174"/>
      <c r="IR9" s="174"/>
      <c r="IS9" s="174"/>
      <c r="IT9" s="174"/>
      <c r="IU9" s="174"/>
      <c r="IV9" s="174"/>
    </row>
    <row r="10" spans="1:256" s="287" customFormat="1" ht="22.5" customHeight="1" x14ac:dyDescent="0.35">
      <c r="A10" s="301">
        <v>2</v>
      </c>
      <c r="B10" s="295"/>
      <c r="C10" s="191">
        <v>1</v>
      </c>
      <c r="D10" s="290" t="s">
        <v>405</v>
      </c>
      <c r="E10" s="183">
        <f>F10+G10+O12+P11</f>
        <v>8822998</v>
      </c>
      <c r="F10" s="291">
        <v>251524</v>
      </c>
      <c r="G10" s="184">
        <v>4461852</v>
      </c>
      <c r="H10" s="373" t="s">
        <v>24</v>
      </c>
      <c r="I10" s="388"/>
      <c r="J10" s="384"/>
      <c r="K10" s="384"/>
      <c r="L10" s="384"/>
      <c r="M10" s="384"/>
      <c r="N10" s="384"/>
      <c r="O10" s="296"/>
      <c r="P10" s="292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4"/>
      <c r="FL10" s="174"/>
      <c r="FM10" s="174"/>
      <c r="FN10" s="174"/>
      <c r="FO10" s="174"/>
      <c r="FP10" s="174"/>
      <c r="FQ10" s="174"/>
      <c r="FR10" s="174"/>
      <c r="FS10" s="174"/>
      <c r="FT10" s="174"/>
      <c r="FU10" s="174"/>
      <c r="FV10" s="174"/>
      <c r="FW10" s="174"/>
      <c r="FX10" s="174"/>
      <c r="FY10" s="174"/>
      <c r="FZ10" s="174"/>
      <c r="GA10" s="174"/>
      <c r="GB10" s="174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  <c r="GQ10" s="174"/>
      <c r="GR10" s="174"/>
      <c r="GS10" s="174"/>
      <c r="GT10" s="174"/>
      <c r="GU10" s="174"/>
      <c r="GV10" s="174"/>
      <c r="GW10" s="174"/>
      <c r="GX10" s="174"/>
      <c r="GY10" s="174"/>
      <c r="GZ10" s="174"/>
      <c r="HA10" s="174"/>
      <c r="HB10" s="174"/>
      <c r="HC10" s="174"/>
      <c r="HD10" s="174"/>
      <c r="HE10" s="174"/>
      <c r="HF10" s="174"/>
      <c r="HG10" s="174"/>
      <c r="HH10" s="174"/>
      <c r="HI10" s="174"/>
      <c r="HJ10" s="174"/>
      <c r="HK10" s="174"/>
      <c r="HL10" s="174"/>
      <c r="HM10" s="174"/>
      <c r="HN10" s="174"/>
      <c r="HO10" s="174"/>
      <c r="HP10" s="174"/>
      <c r="HQ10" s="174"/>
      <c r="HR10" s="174"/>
      <c r="HS10" s="174"/>
      <c r="HT10" s="174"/>
      <c r="HU10" s="174"/>
      <c r="HV10" s="174"/>
      <c r="HW10" s="174"/>
      <c r="HX10" s="174"/>
      <c r="HY10" s="174"/>
      <c r="HZ10" s="174"/>
      <c r="IA10" s="174"/>
      <c r="IB10" s="174"/>
      <c r="IC10" s="174"/>
      <c r="ID10" s="174"/>
      <c r="IE10" s="174"/>
      <c r="IF10" s="174"/>
      <c r="IG10" s="174"/>
      <c r="IH10" s="174"/>
      <c r="II10" s="174"/>
      <c r="IJ10" s="174"/>
      <c r="IK10" s="174"/>
      <c r="IL10" s="174"/>
      <c r="IM10" s="174"/>
      <c r="IN10" s="174"/>
      <c r="IO10" s="174"/>
      <c r="IP10" s="174"/>
      <c r="IQ10" s="174"/>
      <c r="IR10" s="174"/>
      <c r="IS10" s="174"/>
      <c r="IT10" s="174"/>
      <c r="IU10" s="174"/>
      <c r="IV10" s="174"/>
    </row>
    <row r="11" spans="1:256" s="366" customFormat="1" ht="18" customHeight="1" x14ac:dyDescent="0.35">
      <c r="A11" s="301">
        <v>3</v>
      </c>
      <c r="B11" s="358"/>
      <c r="C11" s="359"/>
      <c r="D11" s="1212" t="s">
        <v>268</v>
      </c>
      <c r="E11" s="183"/>
      <c r="F11" s="291"/>
      <c r="G11" s="184"/>
      <c r="H11" s="374"/>
      <c r="I11" s="388"/>
      <c r="J11" s="384"/>
      <c r="K11" s="364">
        <v>118727</v>
      </c>
      <c r="L11" s="364"/>
      <c r="M11" s="364">
        <v>3990895</v>
      </c>
      <c r="N11" s="364"/>
      <c r="O11" s="357">
        <f>SUM(I11:N11)</f>
        <v>4109622</v>
      </c>
      <c r="P11" s="292"/>
      <c r="Q11" s="393"/>
    </row>
    <row r="12" spans="1:256" s="366" customFormat="1" ht="18" customHeight="1" x14ac:dyDescent="0.35">
      <c r="A12" s="301">
        <v>4</v>
      </c>
      <c r="B12" s="358"/>
      <c r="C12" s="359"/>
      <c r="D12" s="225" t="s">
        <v>796</v>
      </c>
      <c r="E12" s="183"/>
      <c r="F12" s="291"/>
      <c r="G12" s="184"/>
      <c r="H12" s="374"/>
      <c r="I12" s="370"/>
      <c r="J12" s="288"/>
      <c r="K12" s="632">
        <v>120970</v>
      </c>
      <c r="L12" s="632"/>
      <c r="M12" s="632">
        <v>3988652</v>
      </c>
      <c r="N12" s="632"/>
      <c r="O12" s="296">
        <f t="shared" ref="O12:O13" si="0">SUM(I12:N12)</f>
        <v>4109622</v>
      </c>
      <c r="P12" s="292"/>
      <c r="Q12" s="393"/>
    </row>
    <row r="13" spans="1:256" s="366" customFormat="1" ht="18" customHeight="1" x14ac:dyDescent="0.35">
      <c r="A13" s="301">
        <v>5</v>
      </c>
      <c r="B13" s="358"/>
      <c r="C13" s="359"/>
      <c r="D13" s="187" t="s">
        <v>861</v>
      </c>
      <c r="E13" s="183"/>
      <c r="F13" s="291"/>
      <c r="G13" s="184"/>
      <c r="H13" s="374"/>
      <c r="I13" s="1198"/>
      <c r="J13" s="1194"/>
      <c r="K13" s="1194">
        <v>35666</v>
      </c>
      <c r="L13" s="1194"/>
      <c r="M13" s="1194">
        <v>3508239</v>
      </c>
      <c r="N13" s="1194"/>
      <c r="O13" s="1192">
        <f t="shared" si="0"/>
        <v>3543905</v>
      </c>
      <c r="P13" s="292"/>
      <c r="Q13" s="393"/>
    </row>
    <row r="14" spans="1:256" s="287" customFormat="1" ht="22.5" customHeight="1" x14ac:dyDescent="0.35">
      <c r="A14" s="301">
        <v>6</v>
      </c>
      <c r="B14" s="295"/>
      <c r="C14" s="191">
        <v>2</v>
      </c>
      <c r="D14" s="290" t="s">
        <v>406</v>
      </c>
      <c r="E14" s="183">
        <f>F14+G14+O16+P15</f>
        <v>14460580</v>
      </c>
      <c r="F14" s="291">
        <v>1235874</v>
      </c>
      <c r="G14" s="184">
        <v>450929</v>
      </c>
      <c r="H14" s="373" t="s">
        <v>24</v>
      </c>
      <c r="I14" s="388"/>
      <c r="J14" s="384"/>
      <c r="K14" s="364"/>
      <c r="L14" s="364"/>
      <c r="M14" s="364"/>
      <c r="N14" s="364"/>
      <c r="O14" s="296"/>
      <c r="P14" s="292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174"/>
      <c r="EC14" s="174"/>
      <c r="ED14" s="174"/>
      <c r="EE14" s="174"/>
      <c r="EF14" s="174"/>
      <c r="EG14" s="174"/>
      <c r="EH14" s="174"/>
      <c r="EI14" s="174"/>
      <c r="EJ14" s="174"/>
      <c r="EK14" s="174"/>
      <c r="EL14" s="174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  <c r="FB14" s="174"/>
      <c r="FC14" s="174"/>
      <c r="FD14" s="174"/>
      <c r="FE14" s="174"/>
      <c r="FF14" s="174"/>
      <c r="FG14" s="174"/>
      <c r="FH14" s="174"/>
      <c r="FI14" s="174"/>
      <c r="FJ14" s="174"/>
      <c r="FK14" s="174"/>
      <c r="FL14" s="174"/>
      <c r="FM14" s="174"/>
      <c r="FN14" s="174"/>
      <c r="FO14" s="174"/>
      <c r="FP14" s="174"/>
      <c r="FQ14" s="174"/>
      <c r="FR14" s="174"/>
      <c r="FS14" s="174"/>
      <c r="FT14" s="174"/>
      <c r="FU14" s="174"/>
      <c r="FV14" s="174"/>
      <c r="FW14" s="174"/>
      <c r="FX14" s="174"/>
      <c r="FY14" s="174"/>
      <c r="FZ14" s="174"/>
      <c r="GA14" s="174"/>
      <c r="GB14" s="174"/>
      <c r="GC14" s="174"/>
      <c r="GD14" s="174"/>
      <c r="GE14" s="174"/>
      <c r="GF14" s="174"/>
      <c r="GG14" s="174"/>
      <c r="GH14" s="174"/>
      <c r="GI14" s="174"/>
      <c r="GJ14" s="174"/>
      <c r="GK14" s="174"/>
      <c r="GL14" s="174"/>
      <c r="GM14" s="174"/>
      <c r="GN14" s="174"/>
      <c r="GO14" s="174"/>
      <c r="GP14" s="174"/>
      <c r="GQ14" s="174"/>
      <c r="GR14" s="174"/>
      <c r="GS14" s="174"/>
      <c r="GT14" s="174"/>
      <c r="GU14" s="174"/>
      <c r="GV14" s="174"/>
      <c r="GW14" s="174"/>
      <c r="GX14" s="174"/>
      <c r="GY14" s="174"/>
      <c r="GZ14" s="174"/>
      <c r="HA14" s="174"/>
      <c r="HB14" s="174"/>
      <c r="HC14" s="174"/>
      <c r="HD14" s="174"/>
      <c r="HE14" s="174"/>
      <c r="HF14" s="174"/>
      <c r="HG14" s="174"/>
      <c r="HH14" s="174"/>
      <c r="HI14" s="174"/>
      <c r="HJ14" s="174"/>
      <c r="HK14" s="174"/>
      <c r="HL14" s="174"/>
      <c r="HM14" s="174"/>
      <c r="HN14" s="174"/>
      <c r="HO14" s="174"/>
      <c r="HP14" s="174"/>
      <c r="HQ14" s="174"/>
      <c r="HR14" s="174"/>
      <c r="HS14" s="174"/>
      <c r="HT14" s="174"/>
      <c r="HU14" s="174"/>
      <c r="HV14" s="174"/>
      <c r="HW14" s="174"/>
      <c r="HX14" s="174"/>
      <c r="HY14" s="174"/>
      <c r="HZ14" s="174"/>
      <c r="IA14" s="174"/>
      <c r="IB14" s="174"/>
      <c r="IC14" s="174"/>
      <c r="ID14" s="174"/>
      <c r="IE14" s="174"/>
      <c r="IF14" s="174"/>
      <c r="IG14" s="174"/>
      <c r="IH14" s="174"/>
      <c r="II14" s="174"/>
      <c r="IJ14" s="174"/>
      <c r="IK14" s="174"/>
      <c r="IL14" s="174"/>
      <c r="IM14" s="174"/>
      <c r="IN14" s="174"/>
      <c r="IO14" s="174"/>
      <c r="IP14" s="174"/>
      <c r="IQ14" s="174"/>
      <c r="IR14" s="174"/>
      <c r="IS14" s="174"/>
      <c r="IT14" s="174"/>
      <c r="IU14" s="174"/>
      <c r="IV14" s="174"/>
    </row>
    <row r="15" spans="1:256" s="366" customFormat="1" ht="18" customHeight="1" x14ac:dyDescent="0.35">
      <c r="A15" s="301">
        <v>7</v>
      </c>
      <c r="B15" s="358"/>
      <c r="C15" s="359"/>
      <c r="D15" s="1212" t="s">
        <v>268</v>
      </c>
      <c r="E15" s="183"/>
      <c r="F15" s="291"/>
      <c r="G15" s="184"/>
      <c r="H15" s="374"/>
      <c r="I15" s="388"/>
      <c r="J15" s="384"/>
      <c r="K15" s="364">
        <v>813</v>
      </c>
      <c r="L15" s="364"/>
      <c r="M15" s="364">
        <v>3492384</v>
      </c>
      <c r="N15" s="364"/>
      <c r="O15" s="357">
        <f>SUM(I15:N15)</f>
        <v>3493197</v>
      </c>
      <c r="P15" s="292">
        <f>9780580-500000</f>
        <v>9280580</v>
      </c>
      <c r="Q15" s="393"/>
    </row>
    <row r="16" spans="1:256" s="366" customFormat="1" ht="18" customHeight="1" x14ac:dyDescent="0.35">
      <c r="A16" s="301">
        <v>8</v>
      </c>
      <c r="B16" s="358"/>
      <c r="C16" s="359"/>
      <c r="D16" s="225" t="s">
        <v>796</v>
      </c>
      <c r="E16" s="183"/>
      <c r="F16" s="291"/>
      <c r="G16" s="184"/>
      <c r="H16" s="374"/>
      <c r="I16" s="370"/>
      <c r="J16" s="288"/>
      <c r="K16" s="632">
        <v>813</v>
      </c>
      <c r="L16" s="632"/>
      <c r="M16" s="632">
        <v>3492384</v>
      </c>
      <c r="N16" s="632"/>
      <c r="O16" s="296">
        <f t="shared" ref="O16:O17" si="1">SUM(I16:N16)</f>
        <v>3493197</v>
      </c>
      <c r="P16" s="292"/>
      <c r="Q16" s="393"/>
    </row>
    <row r="17" spans="1:256" s="366" customFormat="1" ht="18" customHeight="1" x14ac:dyDescent="0.35">
      <c r="A17" s="301">
        <v>9</v>
      </c>
      <c r="B17" s="358"/>
      <c r="C17" s="359"/>
      <c r="D17" s="187" t="s">
        <v>860</v>
      </c>
      <c r="E17" s="183"/>
      <c r="F17" s="291"/>
      <c r="G17" s="184"/>
      <c r="H17" s="374"/>
      <c r="I17" s="1198"/>
      <c r="J17" s="1194"/>
      <c r="K17" s="1194">
        <v>100</v>
      </c>
      <c r="L17" s="1194"/>
      <c r="M17" s="1194">
        <v>894847</v>
      </c>
      <c r="N17" s="1194"/>
      <c r="O17" s="1192">
        <f t="shared" si="1"/>
        <v>894947</v>
      </c>
      <c r="P17" s="292"/>
      <c r="Q17" s="393"/>
    </row>
    <row r="18" spans="1:256" s="287" customFormat="1" ht="49.5" customHeight="1" x14ac:dyDescent="0.35">
      <c r="A18" s="301">
        <v>10</v>
      </c>
      <c r="B18" s="295"/>
      <c r="C18" s="175">
        <v>3</v>
      </c>
      <c r="D18" s="391" t="s">
        <v>407</v>
      </c>
      <c r="E18" s="183">
        <f>F18+G18+O20+P19</f>
        <v>1658925</v>
      </c>
      <c r="F18" s="291">
        <v>31071</v>
      </c>
      <c r="G18" s="184">
        <v>1627393</v>
      </c>
      <c r="H18" s="373" t="s">
        <v>24</v>
      </c>
      <c r="I18" s="388"/>
      <c r="J18" s="384"/>
      <c r="K18" s="364"/>
      <c r="L18" s="364"/>
      <c r="M18" s="364"/>
      <c r="N18" s="364"/>
      <c r="O18" s="296"/>
      <c r="P18" s="292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  <c r="FK18" s="174"/>
      <c r="FL18" s="174"/>
      <c r="FM18" s="174"/>
      <c r="FN18" s="174"/>
      <c r="FO18" s="174"/>
      <c r="FP18" s="174"/>
      <c r="FQ18" s="174"/>
      <c r="FR18" s="174"/>
      <c r="FS18" s="174"/>
      <c r="FT18" s="174"/>
      <c r="FU18" s="174"/>
      <c r="FV18" s="174"/>
      <c r="FW18" s="174"/>
      <c r="FX18" s="174"/>
      <c r="FY18" s="174"/>
      <c r="FZ18" s="174"/>
      <c r="GA18" s="174"/>
      <c r="GB18" s="174"/>
      <c r="GC18" s="174"/>
      <c r="GD18" s="174"/>
      <c r="GE18" s="174"/>
      <c r="GF18" s="174"/>
      <c r="GG18" s="174"/>
      <c r="GH18" s="174"/>
      <c r="GI18" s="174"/>
      <c r="GJ18" s="174"/>
      <c r="GK18" s="174"/>
      <c r="GL18" s="174"/>
      <c r="GM18" s="174"/>
      <c r="GN18" s="174"/>
      <c r="GO18" s="174"/>
      <c r="GP18" s="174"/>
      <c r="GQ18" s="174"/>
      <c r="GR18" s="174"/>
      <c r="GS18" s="174"/>
      <c r="GT18" s="174"/>
      <c r="GU18" s="174"/>
      <c r="GV18" s="174"/>
      <c r="GW18" s="174"/>
      <c r="GX18" s="174"/>
      <c r="GY18" s="174"/>
      <c r="GZ18" s="174"/>
      <c r="HA18" s="174"/>
      <c r="HB18" s="174"/>
      <c r="HC18" s="174"/>
      <c r="HD18" s="174"/>
      <c r="HE18" s="174"/>
      <c r="HF18" s="174"/>
      <c r="HG18" s="174"/>
      <c r="HH18" s="174"/>
      <c r="HI18" s="174"/>
      <c r="HJ18" s="174"/>
      <c r="HK18" s="174"/>
      <c r="HL18" s="174"/>
      <c r="HM18" s="174"/>
      <c r="HN18" s="174"/>
      <c r="HO18" s="174"/>
      <c r="HP18" s="174"/>
      <c r="HQ18" s="174"/>
      <c r="HR18" s="174"/>
      <c r="HS18" s="174"/>
      <c r="HT18" s="174"/>
      <c r="HU18" s="174"/>
      <c r="HV18" s="174"/>
      <c r="HW18" s="174"/>
      <c r="HX18" s="174"/>
      <c r="HY18" s="174"/>
      <c r="HZ18" s="174"/>
      <c r="IA18" s="174"/>
      <c r="IB18" s="174"/>
      <c r="IC18" s="174"/>
      <c r="ID18" s="174"/>
      <c r="IE18" s="174"/>
      <c r="IF18" s="174"/>
      <c r="IG18" s="174"/>
      <c r="IH18" s="174"/>
      <c r="II18" s="174"/>
      <c r="IJ18" s="174"/>
      <c r="IK18" s="174"/>
      <c r="IL18" s="174"/>
      <c r="IM18" s="174"/>
      <c r="IN18" s="174"/>
      <c r="IO18" s="174"/>
      <c r="IP18" s="174"/>
      <c r="IQ18" s="174"/>
      <c r="IR18" s="174"/>
      <c r="IS18" s="174"/>
      <c r="IT18" s="174"/>
      <c r="IU18" s="174"/>
      <c r="IV18" s="174"/>
    </row>
    <row r="19" spans="1:256" s="366" customFormat="1" ht="18" customHeight="1" x14ac:dyDescent="0.35">
      <c r="A19" s="301">
        <v>11</v>
      </c>
      <c r="B19" s="358"/>
      <c r="C19" s="359"/>
      <c r="D19" s="1211" t="s">
        <v>268</v>
      </c>
      <c r="E19" s="183"/>
      <c r="F19" s="291"/>
      <c r="G19" s="184"/>
      <c r="H19" s="374"/>
      <c r="I19" s="388"/>
      <c r="J19" s="384"/>
      <c r="K19" s="364">
        <v>461</v>
      </c>
      <c r="L19" s="364"/>
      <c r="M19" s="364"/>
      <c r="N19" s="364"/>
      <c r="O19" s="357">
        <f>SUM(I19:N19)</f>
        <v>461</v>
      </c>
      <c r="P19" s="292"/>
      <c r="Q19" s="393"/>
    </row>
    <row r="20" spans="1:256" s="366" customFormat="1" ht="18" customHeight="1" x14ac:dyDescent="0.35">
      <c r="A20" s="301">
        <v>12</v>
      </c>
      <c r="B20" s="358"/>
      <c r="C20" s="359"/>
      <c r="D20" s="225" t="s">
        <v>796</v>
      </c>
      <c r="E20" s="183"/>
      <c r="F20" s="291"/>
      <c r="G20" s="184"/>
      <c r="H20" s="374"/>
      <c r="I20" s="370"/>
      <c r="J20" s="288"/>
      <c r="K20" s="632">
        <v>0</v>
      </c>
      <c r="L20" s="632">
        <v>461</v>
      </c>
      <c r="M20" s="632"/>
      <c r="N20" s="632"/>
      <c r="O20" s="296">
        <f t="shared" ref="O20:O21" si="2">SUM(I20:N20)</f>
        <v>461</v>
      </c>
      <c r="P20" s="292"/>
      <c r="Q20" s="393"/>
    </row>
    <row r="21" spans="1:256" s="366" customFormat="1" ht="18" customHeight="1" x14ac:dyDescent="0.35">
      <c r="A21" s="301">
        <v>13</v>
      </c>
      <c r="B21" s="358"/>
      <c r="C21" s="359"/>
      <c r="D21" s="187" t="s">
        <v>861</v>
      </c>
      <c r="E21" s="183"/>
      <c r="F21" s="291"/>
      <c r="G21" s="184"/>
      <c r="H21" s="374"/>
      <c r="I21" s="1198"/>
      <c r="J21" s="1194"/>
      <c r="K21" s="1194"/>
      <c r="L21" s="1194">
        <v>461</v>
      </c>
      <c r="M21" s="1194"/>
      <c r="N21" s="1194"/>
      <c r="O21" s="1192">
        <f t="shared" si="2"/>
        <v>461</v>
      </c>
      <c r="P21" s="292"/>
      <c r="Q21" s="393"/>
    </row>
    <row r="22" spans="1:256" s="287" customFormat="1" ht="22.5" customHeight="1" x14ac:dyDescent="0.35">
      <c r="A22" s="301">
        <v>14</v>
      </c>
      <c r="B22" s="295"/>
      <c r="C22" s="191">
        <v>4</v>
      </c>
      <c r="D22" s="290" t="s">
        <v>408</v>
      </c>
      <c r="E22" s="183">
        <f>F22+G22+O24+P23</f>
        <v>76282</v>
      </c>
      <c r="F22" s="183">
        <v>35789</v>
      </c>
      <c r="G22" s="184"/>
      <c r="H22" s="373" t="s">
        <v>24</v>
      </c>
      <c r="I22" s="389"/>
      <c r="J22" s="383"/>
      <c r="K22" s="361"/>
      <c r="L22" s="361"/>
      <c r="M22" s="361"/>
      <c r="N22" s="361"/>
      <c r="O22" s="300"/>
      <c r="P22" s="292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4"/>
      <c r="ES22" s="174"/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4"/>
      <c r="FF22" s="174"/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4"/>
      <c r="FU22" s="174"/>
      <c r="FV22" s="174"/>
      <c r="FW22" s="174"/>
      <c r="FX22" s="174"/>
      <c r="FY22" s="174"/>
      <c r="FZ22" s="174"/>
      <c r="GA22" s="174"/>
      <c r="GB22" s="174"/>
      <c r="GC22" s="174"/>
      <c r="GD22" s="174"/>
      <c r="GE22" s="174"/>
      <c r="GF22" s="174"/>
      <c r="GG22" s="174"/>
      <c r="GH22" s="174"/>
      <c r="GI22" s="174"/>
      <c r="GJ22" s="174"/>
      <c r="GK22" s="174"/>
      <c r="GL22" s="174"/>
      <c r="GM22" s="174"/>
      <c r="GN22" s="174"/>
      <c r="GO22" s="174"/>
      <c r="GP22" s="174"/>
      <c r="GQ22" s="174"/>
      <c r="GR22" s="174"/>
      <c r="GS22" s="174"/>
      <c r="GT22" s="174"/>
      <c r="GU22" s="174"/>
      <c r="GV22" s="174"/>
      <c r="GW22" s="174"/>
      <c r="GX22" s="174"/>
      <c r="GY22" s="174"/>
      <c r="GZ22" s="174"/>
      <c r="HA22" s="174"/>
      <c r="HB22" s="174"/>
      <c r="HC22" s="174"/>
      <c r="HD22" s="174"/>
      <c r="HE22" s="174"/>
      <c r="HF22" s="174"/>
      <c r="HG22" s="174"/>
      <c r="HH22" s="174"/>
      <c r="HI22" s="174"/>
      <c r="HJ22" s="174"/>
      <c r="HK22" s="174"/>
      <c r="HL22" s="174"/>
      <c r="HM22" s="174"/>
      <c r="HN22" s="174"/>
      <c r="HO22" s="174"/>
      <c r="HP22" s="174"/>
      <c r="HQ22" s="174"/>
      <c r="HR22" s="174"/>
      <c r="HS22" s="174"/>
      <c r="HT22" s="174"/>
      <c r="HU22" s="174"/>
      <c r="HV22" s="174"/>
      <c r="HW22" s="174"/>
      <c r="HX22" s="174"/>
      <c r="HY22" s="174"/>
      <c r="HZ22" s="174"/>
      <c r="IA22" s="174"/>
      <c r="IB22" s="174"/>
      <c r="IC22" s="174"/>
      <c r="ID22" s="174"/>
      <c r="IE22" s="174"/>
      <c r="IF22" s="174"/>
      <c r="IG22" s="174"/>
      <c r="IH22" s="174"/>
      <c r="II22" s="174"/>
      <c r="IJ22" s="174"/>
      <c r="IK22" s="174"/>
      <c r="IL22" s="174"/>
      <c r="IM22" s="174"/>
      <c r="IN22" s="174"/>
      <c r="IO22" s="174"/>
      <c r="IP22" s="174"/>
      <c r="IQ22" s="174"/>
      <c r="IR22" s="174"/>
      <c r="IS22" s="174"/>
      <c r="IT22" s="174"/>
      <c r="IU22" s="174"/>
      <c r="IV22" s="174"/>
    </row>
    <row r="23" spans="1:256" ht="18" customHeight="1" x14ac:dyDescent="0.35">
      <c r="A23" s="301">
        <v>15</v>
      </c>
      <c r="B23" s="237"/>
      <c r="C23" s="191"/>
      <c r="D23" s="1211" t="s">
        <v>268</v>
      </c>
      <c r="E23" s="183"/>
      <c r="F23" s="183"/>
      <c r="G23" s="184"/>
      <c r="H23" s="373"/>
      <c r="I23" s="389"/>
      <c r="J23" s="383"/>
      <c r="K23" s="361"/>
      <c r="L23" s="361"/>
      <c r="M23" s="361"/>
      <c r="N23" s="361">
        <v>40493</v>
      </c>
      <c r="O23" s="357">
        <f>SUM(I23:N23)</f>
        <v>40493</v>
      </c>
      <c r="P23" s="292"/>
    </row>
    <row r="24" spans="1:256" ht="18" customHeight="1" x14ac:dyDescent="0.35">
      <c r="A24" s="301">
        <v>16</v>
      </c>
      <c r="B24" s="237"/>
      <c r="C24" s="191"/>
      <c r="D24" s="225" t="s">
        <v>796</v>
      </c>
      <c r="E24" s="183"/>
      <c r="F24" s="183"/>
      <c r="G24" s="184"/>
      <c r="H24" s="373"/>
      <c r="I24" s="389"/>
      <c r="J24" s="383"/>
      <c r="K24" s="361"/>
      <c r="L24" s="361"/>
      <c r="M24" s="361"/>
      <c r="N24" s="555">
        <v>40493</v>
      </c>
      <c r="O24" s="296">
        <f t="shared" ref="O24:O25" si="3">SUM(I24:N24)</f>
        <v>40493</v>
      </c>
      <c r="P24" s="292"/>
    </row>
    <row r="25" spans="1:256" ht="18" customHeight="1" x14ac:dyDescent="0.35">
      <c r="A25" s="301">
        <v>17</v>
      </c>
      <c r="B25" s="237"/>
      <c r="C25" s="191"/>
      <c r="D25" s="187" t="s">
        <v>860</v>
      </c>
      <c r="E25" s="183"/>
      <c r="F25" s="183"/>
      <c r="G25" s="184"/>
      <c r="H25" s="373"/>
      <c r="I25" s="1223"/>
      <c r="J25" s="1200"/>
      <c r="K25" s="1200"/>
      <c r="L25" s="1200"/>
      <c r="M25" s="1200"/>
      <c r="N25" s="1190"/>
      <c r="O25" s="1192">
        <f t="shared" si="3"/>
        <v>0</v>
      </c>
      <c r="P25" s="292"/>
    </row>
    <row r="26" spans="1:256" ht="22.5" customHeight="1" x14ac:dyDescent="0.35">
      <c r="A26" s="301">
        <v>18</v>
      </c>
      <c r="B26" s="237"/>
      <c r="C26" s="191">
        <v>5</v>
      </c>
      <c r="D26" s="299" t="s">
        <v>409</v>
      </c>
      <c r="E26" s="183">
        <f>F26+G26+O28+P27</f>
        <v>957396</v>
      </c>
      <c r="F26" s="291">
        <v>203204</v>
      </c>
      <c r="G26" s="184">
        <v>753843</v>
      </c>
      <c r="H26" s="373" t="s">
        <v>24</v>
      </c>
      <c r="I26" s="388"/>
      <c r="J26" s="384"/>
      <c r="K26" s="364"/>
      <c r="L26" s="364"/>
      <c r="M26" s="364"/>
      <c r="N26" s="364"/>
      <c r="O26" s="296"/>
      <c r="P26" s="292"/>
    </row>
    <row r="27" spans="1:256" s="287" customFormat="1" ht="18" customHeight="1" x14ac:dyDescent="0.35">
      <c r="A27" s="301">
        <v>19</v>
      </c>
      <c r="B27" s="295"/>
      <c r="C27" s="175"/>
      <c r="D27" s="1211" t="s">
        <v>268</v>
      </c>
      <c r="E27" s="183"/>
      <c r="F27" s="291"/>
      <c r="G27" s="184"/>
      <c r="H27" s="373"/>
      <c r="I27" s="388"/>
      <c r="J27" s="384"/>
      <c r="K27" s="364"/>
      <c r="L27" s="364">
        <v>349</v>
      </c>
      <c r="M27" s="364"/>
      <c r="N27" s="364"/>
      <c r="O27" s="357">
        <f>SUM(I27:N27)</f>
        <v>349</v>
      </c>
      <c r="P27" s="292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4"/>
      <c r="FL27" s="174"/>
      <c r="FM27" s="174"/>
      <c r="FN27" s="174"/>
      <c r="FO27" s="174"/>
      <c r="FP27" s="174"/>
      <c r="FQ27" s="174"/>
      <c r="FR27" s="174"/>
      <c r="FS27" s="174"/>
      <c r="FT27" s="174"/>
      <c r="FU27" s="174"/>
      <c r="FV27" s="174"/>
      <c r="FW27" s="174"/>
      <c r="FX27" s="174"/>
      <c r="FY27" s="174"/>
      <c r="FZ27" s="174"/>
      <c r="GA27" s="174"/>
      <c r="GB27" s="174"/>
      <c r="GC27" s="174"/>
      <c r="GD27" s="174"/>
      <c r="GE27" s="174"/>
      <c r="GF27" s="174"/>
      <c r="GG27" s="174"/>
      <c r="GH27" s="174"/>
      <c r="GI27" s="174"/>
      <c r="GJ27" s="174"/>
      <c r="GK27" s="174"/>
      <c r="GL27" s="174"/>
      <c r="GM27" s="174"/>
      <c r="GN27" s="174"/>
      <c r="GO27" s="174"/>
      <c r="GP27" s="174"/>
      <c r="GQ27" s="174"/>
      <c r="GR27" s="174"/>
      <c r="GS27" s="174"/>
      <c r="GT27" s="174"/>
      <c r="GU27" s="174"/>
      <c r="GV27" s="174"/>
      <c r="GW27" s="174"/>
      <c r="GX27" s="174"/>
      <c r="GY27" s="174"/>
      <c r="GZ27" s="174"/>
      <c r="HA27" s="174"/>
      <c r="HB27" s="174"/>
      <c r="HC27" s="174"/>
      <c r="HD27" s="174"/>
      <c r="HE27" s="174"/>
      <c r="HF27" s="174"/>
      <c r="HG27" s="174"/>
      <c r="HH27" s="174"/>
      <c r="HI27" s="174"/>
      <c r="HJ27" s="174"/>
      <c r="HK27" s="174"/>
      <c r="HL27" s="174"/>
      <c r="HM27" s="174"/>
      <c r="HN27" s="174"/>
      <c r="HO27" s="174"/>
      <c r="HP27" s="174"/>
      <c r="HQ27" s="174"/>
      <c r="HR27" s="174"/>
      <c r="HS27" s="174"/>
      <c r="HT27" s="174"/>
      <c r="HU27" s="174"/>
      <c r="HV27" s="174"/>
      <c r="HW27" s="174"/>
      <c r="HX27" s="174"/>
      <c r="HY27" s="174"/>
      <c r="HZ27" s="174"/>
      <c r="IA27" s="174"/>
      <c r="IB27" s="174"/>
      <c r="IC27" s="174"/>
      <c r="ID27" s="174"/>
      <c r="IE27" s="174"/>
      <c r="IF27" s="174"/>
      <c r="IG27" s="174"/>
      <c r="IH27" s="174"/>
      <c r="II27" s="174"/>
      <c r="IJ27" s="174"/>
      <c r="IK27" s="174"/>
      <c r="IL27" s="174"/>
      <c r="IM27" s="174"/>
      <c r="IN27" s="174"/>
      <c r="IO27" s="174"/>
      <c r="IP27" s="174"/>
      <c r="IQ27" s="174"/>
      <c r="IR27" s="174"/>
      <c r="IS27" s="174"/>
      <c r="IT27" s="174"/>
      <c r="IU27" s="174"/>
      <c r="IV27" s="174"/>
    </row>
    <row r="28" spans="1:256" s="287" customFormat="1" ht="18" customHeight="1" x14ac:dyDescent="0.35">
      <c r="A28" s="301">
        <v>20</v>
      </c>
      <c r="B28" s="295"/>
      <c r="C28" s="175"/>
      <c r="D28" s="225" t="s">
        <v>796</v>
      </c>
      <c r="E28" s="183"/>
      <c r="F28" s="291"/>
      <c r="G28" s="184"/>
      <c r="H28" s="373"/>
      <c r="I28" s="370"/>
      <c r="J28" s="288"/>
      <c r="K28" s="632"/>
      <c r="L28" s="632">
        <v>0</v>
      </c>
      <c r="M28" s="632"/>
      <c r="N28" s="632">
        <v>349</v>
      </c>
      <c r="O28" s="296">
        <f t="shared" ref="O28:O29" si="4">SUM(I28:N28)</f>
        <v>349</v>
      </c>
      <c r="P28" s="292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4"/>
      <c r="EK28" s="174"/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74"/>
      <c r="EX28" s="174"/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174"/>
      <c r="FK28" s="174"/>
      <c r="FL28" s="174"/>
      <c r="FM28" s="174"/>
      <c r="FN28" s="174"/>
      <c r="FO28" s="174"/>
      <c r="FP28" s="174"/>
      <c r="FQ28" s="174"/>
      <c r="FR28" s="174"/>
      <c r="FS28" s="174"/>
      <c r="FT28" s="174"/>
      <c r="FU28" s="174"/>
      <c r="FV28" s="174"/>
      <c r="FW28" s="174"/>
      <c r="FX28" s="174"/>
      <c r="FY28" s="174"/>
      <c r="FZ28" s="174"/>
      <c r="GA28" s="174"/>
      <c r="GB28" s="174"/>
      <c r="GC28" s="174"/>
      <c r="GD28" s="174"/>
      <c r="GE28" s="174"/>
      <c r="GF28" s="174"/>
      <c r="GG28" s="174"/>
      <c r="GH28" s="174"/>
      <c r="GI28" s="174"/>
      <c r="GJ28" s="174"/>
      <c r="GK28" s="174"/>
      <c r="GL28" s="174"/>
      <c r="GM28" s="174"/>
      <c r="GN28" s="174"/>
      <c r="GO28" s="174"/>
      <c r="GP28" s="174"/>
      <c r="GQ28" s="174"/>
      <c r="GR28" s="174"/>
      <c r="GS28" s="174"/>
      <c r="GT28" s="174"/>
      <c r="GU28" s="174"/>
      <c r="GV28" s="174"/>
      <c r="GW28" s="174"/>
      <c r="GX28" s="174"/>
      <c r="GY28" s="174"/>
      <c r="GZ28" s="174"/>
      <c r="HA28" s="174"/>
      <c r="HB28" s="174"/>
      <c r="HC28" s="174"/>
      <c r="HD28" s="174"/>
      <c r="HE28" s="174"/>
      <c r="HF28" s="174"/>
      <c r="HG28" s="174"/>
      <c r="HH28" s="174"/>
      <c r="HI28" s="174"/>
      <c r="HJ28" s="174"/>
      <c r="HK28" s="174"/>
      <c r="HL28" s="174"/>
      <c r="HM28" s="174"/>
      <c r="HN28" s="174"/>
      <c r="HO28" s="174"/>
      <c r="HP28" s="174"/>
      <c r="HQ28" s="174"/>
      <c r="HR28" s="174"/>
      <c r="HS28" s="174"/>
      <c r="HT28" s="174"/>
      <c r="HU28" s="174"/>
      <c r="HV28" s="174"/>
      <c r="HW28" s="174"/>
      <c r="HX28" s="174"/>
      <c r="HY28" s="174"/>
      <c r="HZ28" s="174"/>
      <c r="IA28" s="174"/>
      <c r="IB28" s="174"/>
      <c r="IC28" s="174"/>
      <c r="ID28" s="174"/>
      <c r="IE28" s="174"/>
      <c r="IF28" s="174"/>
      <c r="IG28" s="174"/>
      <c r="IH28" s="174"/>
      <c r="II28" s="174"/>
      <c r="IJ28" s="174"/>
      <c r="IK28" s="174"/>
      <c r="IL28" s="174"/>
      <c r="IM28" s="174"/>
      <c r="IN28" s="174"/>
      <c r="IO28" s="174"/>
      <c r="IP28" s="174"/>
      <c r="IQ28" s="174"/>
      <c r="IR28" s="174"/>
      <c r="IS28" s="174"/>
      <c r="IT28" s="174"/>
      <c r="IU28" s="174"/>
      <c r="IV28" s="174"/>
    </row>
    <row r="29" spans="1:256" s="287" customFormat="1" ht="18" customHeight="1" x14ac:dyDescent="0.35">
      <c r="A29" s="301">
        <v>21</v>
      </c>
      <c r="B29" s="295"/>
      <c r="C29" s="175"/>
      <c r="D29" s="187" t="s">
        <v>861</v>
      </c>
      <c r="E29" s="183"/>
      <c r="F29" s="291"/>
      <c r="G29" s="184"/>
      <c r="H29" s="373"/>
      <c r="I29" s="1198"/>
      <c r="J29" s="1194"/>
      <c r="K29" s="1194"/>
      <c r="L29" s="1194"/>
      <c r="M29" s="1194"/>
      <c r="N29" s="1194">
        <v>348</v>
      </c>
      <c r="O29" s="1192">
        <f t="shared" si="4"/>
        <v>348</v>
      </c>
      <c r="P29" s="292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4"/>
      <c r="FK29" s="174"/>
      <c r="FL29" s="174"/>
      <c r="FM29" s="174"/>
      <c r="FN29" s="174"/>
      <c r="FO29" s="174"/>
      <c r="FP29" s="174"/>
      <c r="FQ29" s="174"/>
      <c r="FR29" s="174"/>
      <c r="FS29" s="174"/>
      <c r="FT29" s="174"/>
      <c r="FU29" s="174"/>
      <c r="FV29" s="174"/>
      <c r="FW29" s="174"/>
      <c r="FX29" s="174"/>
      <c r="FY29" s="174"/>
      <c r="FZ29" s="174"/>
      <c r="GA29" s="174"/>
      <c r="GB29" s="174"/>
      <c r="GC29" s="174"/>
      <c r="GD29" s="174"/>
      <c r="GE29" s="174"/>
      <c r="GF29" s="174"/>
      <c r="GG29" s="174"/>
      <c r="GH29" s="174"/>
      <c r="GI29" s="174"/>
      <c r="GJ29" s="174"/>
      <c r="GK29" s="174"/>
      <c r="GL29" s="174"/>
      <c r="GM29" s="174"/>
      <c r="GN29" s="174"/>
      <c r="GO29" s="174"/>
      <c r="GP29" s="174"/>
      <c r="GQ29" s="174"/>
      <c r="GR29" s="174"/>
      <c r="GS29" s="174"/>
      <c r="GT29" s="174"/>
      <c r="GU29" s="174"/>
      <c r="GV29" s="174"/>
      <c r="GW29" s="174"/>
      <c r="GX29" s="174"/>
      <c r="GY29" s="174"/>
      <c r="GZ29" s="174"/>
      <c r="HA29" s="174"/>
      <c r="HB29" s="174"/>
      <c r="HC29" s="174"/>
      <c r="HD29" s="174"/>
      <c r="HE29" s="174"/>
      <c r="HF29" s="174"/>
      <c r="HG29" s="174"/>
      <c r="HH29" s="174"/>
      <c r="HI29" s="174"/>
      <c r="HJ29" s="174"/>
      <c r="HK29" s="174"/>
      <c r="HL29" s="174"/>
      <c r="HM29" s="174"/>
      <c r="HN29" s="174"/>
      <c r="HO29" s="174"/>
      <c r="HP29" s="174"/>
      <c r="HQ29" s="174"/>
      <c r="HR29" s="174"/>
      <c r="HS29" s="174"/>
      <c r="HT29" s="174"/>
      <c r="HU29" s="174"/>
      <c r="HV29" s="174"/>
      <c r="HW29" s="174"/>
      <c r="HX29" s="174"/>
      <c r="HY29" s="174"/>
      <c r="HZ29" s="174"/>
      <c r="IA29" s="174"/>
      <c r="IB29" s="174"/>
      <c r="IC29" s="174"/>
      <c r="ID29" s="174"/>
      <c r="IE29" s="174"/>
      <c r="IF29" s="174"/>
      <c r="IG29" s="174"/>
      <c r="IH29" s="174"/>
      <c r="II29" s="174"/>
      <c r="IJ29" s="174"/>
      <c r="IK29" s="174"/>
      <c r="IL29" s="174"/>
      <c r="IM29" s="174"/>
      <c r="IN29" s="174"/>
      <c r="IO29" s="174"/>
      <c r="IP29" s="174"/>
      <c r="IQ29" s="174"/>
      <c r="IR29" s="174"/>
      <c r="IS29" s="174"/>
      <c r="IT29" s="174"/>
      <c r="IU29" s="174"/>
      <c r="IV29" s="174"/>
    </row>
    <row r="30" spans="1:256" ht="22.5" customHeight="1" x14ac:dyDescent="0.35">
      <c r="A30" s="301">
        <v>22</v>
      </c>
      <c r="B30" s="237"/>
      <c r="C30" s="191">
        <v>6</v>
      </c>
      <c r="D30" s="299" t="s">
        <v>410</v>
      </c>
      <c r="E30" s="183">
        <f>F30+G30+O32</f>
        <v>3095</v>
      </c>
      <c r="F30" s="291"/>
      <c r="G30" s="184"/>
      <c r="H30" s="373" t="s">
        <v>24</v>
      </c>
      <c r="I30" s="388"/>
      <c r="J30" s="384"/>
      <c r="K30" s="364"/>
      <c r="L30" s="364"/>
      <c r="M30" s="364"/>
      <c r="N30" s="364"/>
      <c r="O30" s="296"/>
      <c r="P30" s="292"/>
    </row>
    <row r="31" spans="1:256" s="287" customFormat="1" ht="18" customHeight="1" x14ac:dyDescent="0.35">
      <c r="A31" s="301">
        <v>23</v>
      </c>
      <c r="B31" s="295"/>
      <c r="C31" s="175"/>
      <c r="D31" s="1211" t="s">
        <v>268</v>
      </c>
      <c r="E31" s="183"/>
      <c r="F31" s="291"/>
      <c r="G31" s="184"/>
      <c r="H31" s="373"/>
      <c r="I31" s="388"/>
      <c r="J31" s="384"/>
      <c r="K31" s="364">
        <f>5000-1905</f>
        <v>3095</v>
      </c>
      <c r="L31" s="364"/>
      <c r="M31" s="364"/>
      <c r="N31" s="364"/>
      <c r="O31" s="357">
        <f>SUM(I31:N31)</f>
        <v>3095</v>
      </c>
      <c r="P31" s="292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4"/>
      <c r="EX31" s="174"/>
      <c r="EY31" s="174"/>
      <c r="EZ31" s="174"/>
      <c r="FA31" s="174"/>
      <c r="FB31" s="174"/>
      <c r="FC31" s="174"/>
      <c r="FD31" s="174"/>
      <c r="FE31" s="174"/>
      <c r="FF31" s="174"/>
      <c r="FG31" s="174"/>
      <c r="FH31" s="174"/>
      <c r="FI31" s="174"/>
      <c r="FJ31" s="174"/>
      <c r="FK31" s="174"/>
      <c r="FL31" s="174"/>
      <c r="FM31" s="174"/>
      <c r="FN31" s="174"/>
      <c r="FO31" s="174"/>
      <c r="FP31" s="174"/>
      <c r="FQ31" s="174"/>
      <c r="FR31" s="174"/>
      <c r="FS31" s="174"/>
      <c r="FT31" s="174"/>
      <c r="FU31" s="174"/>
      <c r="FV31" s="174"/>
      <c r="FW31" s="174"/>
      <c r="FX31" s="174"/>
      <c r="FY31" s="174"/>
      <c r="FZ31" s="174"/>
      <c r="GA31" s="174"/>
      <c r="GB31" s="174"/>
      <c r="GC31" s="174"/>
      <c r="GD31" s="174"/>
      <c r="GE31" s="174"/>
      <c r="GF31" s="174"/>
      <c r="GG31" s="174"/>
      <c r="GH31" s="174"/>
      <c r="GI31" s="174"/>
      <c r="GJ31" s="174"/>
      <c r="GK31" s="174"/>
      <c r="GL31" s="174"/>
      <c r="GM31" s="174"/>
      <c r="GN31" s="174"/>
      <c r="GO31" s="174"/>
      <c r="GP31" s="174"/>
      <c r="GQ31" s="174"/>
      <c r="GR31" s="174"/>
      <c r="GS31" s="174"/>
      <c r="GT31" s="174"/>
      <c r="GU31" s="174"/>
      <c r="GV31" s="174"/>
      <c r="GW31" s="174"/>
      <c r="GX31" s="174"/>
      <c r="GY31" s="174"/>
      <c r="GZ31" s="174"/>
      <c r="HA31" s="174"/>
      <c r="HB31" s="174"/>
      <c r="HC31" s="174"/>
      <c r="HD31" s="174"/>
      <c r="HE31" s="174"/>
      <c r="HF31" s="174"/>
      <c r="HG31" s="174"/>
      <c r="HH31" s="174"/>
      <c r="HI31" s="174"/>
      <c r="HJ31" s="174"/>
      <c r="HK31" s="174"/>
      <c r="HL31" s="174"/>
      <c r="HM31" s="174"/>
      <c r="HN31" s="174"/>
      <c r="HO31" s="174"/>
      <c r="HP31" s="174"/>
      <c r="HQ31" s="174"/>
      <c r="HR31" s="174"/>
      <c r="HS31" s="174"/>
      <c r="HT31" s="174"/>
      <c r="HU31" s="174"/>
      <c r="HV31" s="174"/>
      <c r="HW31" s="174"/>
      <c r="HX31" s="174"/>
      <c r="HY31" s="174"/>
      <c r="HZ31" s="174"/>
      <c r="IA31" s="174"/>
      <c r="IB31" s="174"/>
      <c r="IC31" s="174"/>
      <c r="ID31" s="174"/>
      <c r="IE31" s="174"/>
      <c r="IF31" s="174"/>
      <c r="IG31" s="174"/>
      <c r="IH31" s="174"/>
      <c r="II31" s="174"/>
      <c r="IJ31" s="174"/>
      <c r="IK31" s="174"/>
      <c r="IL31" s="174"/>
      <c r="IM31" s="174"/>
      <c r="IN31" s="174"/>
      <c r="IO31" s="174"/>
      <c r="IP31" s="174"/>
      <c r="IQ31" s="174"/>
      <c r="IR31" s="174"/>
      <c r="IS31" s="174"/>
      <c r="IT31" s="174"/>
      <c r="IU31" s="174"/>
      <c r="IV31" s="174"/>
    </row>
    <row r="32" spans="1:256" s="287" customFormat="1" ht="18" customHeight="1" x14ac:dyDescent="0.35">
      <c r="A32" s="301">
        <v>24</v>
      </c>
      <c r="B32" s="295"/>
      <c r="C32" s="175"/>
      <c r="D32" s="225" t="s">
        <v>796</v>
      </c>
      <c r="E32" s="183"/>
      <c r="F32" s="291"/>
      <c r="G32" s="184"/>
      <c r="H32" s="373"/>
      <c r="I32" s="370"/>
      <c r="J32" s="288"/>
      <c r="K32" s="632">
        <v>3095</v>
      </c>
      <c r="L32" s="632"/>
      <c r="M32" s="632"/>
      <c r="N32" s="632"/>
      <c r="O32" s="296">
        <f t="shared" ref="O32:O33" si="5">SUM(I32:N32)</f>
        <v>3095</v>
      </c>
      <c r="P32" s="292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  <c r="DV32" s="174"/>
      <c r="DW32" s="174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  <c r="FB32" s="174"/>
      <c r="FC32" s="174"/>
      <c r="FD32" s="174"/>
      <c r="FE32" s="174"/>
      <c r="FF32" s="174"/>
      <c r="FG32" s="174"/>
      <c r="FH32" s="174"/>
      <c r="FI32" s="174"/>
      <c r="FJ32" s="174"/>
      <c r="FK32" s="174"/>
      <c r="FL32" s="174"/>
      <c r="FM32" s="174"/>
      <c r="FN32" s="174"/>
      <c r="FO32" s="174"/>
      <c r="FP32" s="174"/>
      <c r="FQ32" s="174"/>
      <c r="FR32" s="174"/>
      <c r="FS32" s="174"/>
      <c r="FT32" s="174"/>
      <c r="FU32" s="174"/>
      <c r="FV32" s="174"/>
      <c r="FW32" s="174"/>
      <c r="FX32" s="174"/>
      <c r="FY32" s="174"/>
      <c r="FZ32" s="174"/>
      <c r="GA32" s="174"/>
      <c r="GB32" s="174"/>
      <c r="GC32" s="174"/>
      <c r="GD32" s="174"/>
      <c r="GE32" s="174"/>
      <c r="GF32" s="174"/>
      <c r="GG32" s="174"/>
      <c r="GH32" s="174"/>
      <c r="GI32" s="174"/>
      <c r="GJ32" s="174"/>
      <c r="GK32" s="174"/>
      <c r="GL32" s="174"/>
      <c r="GM32" s="174"/>
      <c r="GN32" s="174"/>
      <c r="GO32" s="174"/>
      <c r="GP32" s="174"/>
      <c r="GQ32" s="174"/>
      <c r="GR32" s="174"/>
      <c r="GS32" s="174"/>
      <c r="GT32" s="174"/>
      <c r="GU32" s="174"/>
      <c r="GV32" s="174"/>
      <c r="GW32" s="174"/>
      <c r="GX32" s="174"/>
      <c r="GY32" s="174"/>
      <c r="GZ32" s="174"/>
      <c r="HA32" s="174"/>
      <c r="HB32" s="174"/>
      <c r="HC32" s="174"/>
      <c r="HD32" s="174"/>
      <c r="HE32" s="174"/>
      <c r="HF32" s="174"/>
      <c r="HG32" s="174"/>
      <c r="HH32" s="174"/>
      <c r="HI32" s="174"/>
      <c r="HJ32" s="174"/>
      <c r="HK32" s="174"/>
      <c r="HL32" s="174"/>
      <c r="HM32" s="174"/>
      <c r="HN32" s="174"/>
      <c r="HO32" s="174"/>
      <c r="HP32" s="174"/>
      <c r="HQ32" s="174"/>
      <c r="HR32" s="174"/>
      <c r="HS32" s="174"/>
      <c r="HT32" s="174"/>
      <c r="HU32" s="174"/>
      <c r="HV32" s="174"/>
      <c r="HW32" s="174"/>
      <c r="HX32" s="174"/>
      <c r="HY32" s="174"/>
      <c r="HZ32" s="174"/>
      <c r="IA32" s="174"/>
      <c r="IB32" s="174"/>
      <c r="IC32" s="174"/>
      <c r="ID32" s="174"/>
      <c r="IE32" s="174"/>
      <c r="IF32" s="174"/>
      <c r="IG32" s="174"/>
      <c r="IH32" s="174"/>
      <c r="II32" s="174"/>
      <c r="IJ32" s="174"/>
      <c r="IK32" s="174"/>
      <c r="IL32" s="174"/>
      <c r="IM32" s="174"/>
      <c r="IN32" s="174"/>
      <c r="IO32" s="174"/>
      <c r="IP32" s="174"/>
      <c r="IQ32" s="174"/>
      <c r="IR32" s="174"/>
      <c r="IS32" s="174"/>
      <c r="IT32" s="174"/>
      <c r="IU32" s="174"/>
      <c r="IV32" s="174"/>
    </row>
    <row r="33" spans="1:256" s="287" customFormat="1" ht="18" customHeight="1" x14ac:dyDescent="0.35">
      <c r="A33" s="301">
        <v>25</v>
      </c>
      <c r="B33" s="295"/>
      <c r="C33" s="175"/>
      <c r="D33" s="187" t="s">
        <v>860</v>
      </c>
      <c r="E33" s="183"/>
      <c r="F33" s="291"/>
      <c r="G33" s="184"/>
      <c r="H33" s="373"/>
      <c r="I33" s="1198"/>
      <c r="J33" s="1194"/>
      <c r="K33" s="1194"/>
      <c r="L33" s="1194"/>
      <c r="M33" s="1194"/>
      <c r="N33" s="1194"/>
      <c r="O33" s="1192">
        <f t="shared" si="5"/>
        <v>0</v>
      </c>
      <c r="P33" s="292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174"/>
      <c r="DS33" s="174"/>
      <c r="DT33" s="174"/>
      <c r="DU33" s="174"/>
      <c r="DV33" s="174"/>
      <c r="DW33" s="174"/>
      <c r="DX33" s="174"/>
      <c r="DY33" s="174"/>
      <c r="DZ33" s="174"/>
      <c r="EA33" s="174"/>
      <c r="EB33" s="174"/>
      <c r="EC33" s="174"/>
      <c r="ED33" s="174"/>
      <c r="EE33" s="174"/>
      <c r="EF33" s="174"/>
      <c r="EG33" s="174"/>
      <c r="EH33" s="174"/>
      <c r="EI33" s="174"/>
      <c r="EJ33" s="174"/>
      <c r="EK33" s="174"/>
      <c r="EL33" s="174"/>
      <c r="EM33" s="174"/>
      <c r="EN33" s="174"/>
      <c r="EO33" s="174"/>
      <c r="EP33" s="174"/>
      <c r="EQ33" s="174"/>
      <c r="ER33" s="174"/>
      <c r="ES33" s="174"/>
      <c r="ET33" s="174"/>
      <c r="EU33" s="174"/>
      <c r="EV33" s="174"/>
      <c r="EW33" s="174"/>
      <c r="EX33" s="174"/>
      <c r="EY33" s="174"/>
      <c r="EZ33" s="174"/>
      <c r="FA33" s="174"/>
      <c r="FB33" s="174"/>
      <c r="FC33" s="174"/>
      <c r="FD33" s="174"/>
      <c r="FE33" s="174"/>
      <c r="FF33" s="174"/>
      <c r="FG33" s="174"/>
      <c r="FH33" s="174"/>
      <c r="FI33" s="174"/>
      <c r="FJ33" s="174"/>
      <c r="FK33" s="174"/>
      <c r="FL33" s="174"/>
      <c r="FM33" s="174"/>
      <c r="FN33" s="174"/>
      <c r="FO33" s="174"/>
      <c r="FP33" s="174"/>
      <c r="FQ33" s="174"/>
      <c r="FR33" s="174"/>
      <c r="FS33" s="174"/>
      <c r="FT33" s="174"/>
      <c r="FU33" s="174"/>
      <c r="FV33" s="174"/>
      <c r="FW33" s="174"/>
      <c r="FX33" s="174"/>
      <c r="FY33" s="174"/>
      <c r="FZ33" s="174"/>
      <c r="GA33" s="174"/>
      <c r="GB33" s="174"/>
      <c r="GC33" s="174"/>
      <c r="GD33" s="174"/>
      <c r="GE33" s="174"/>
      <c r="GF33" s="174"/>
      <c r="GG33" s="174"/>
      <c r="GH33" s="174"/>
      <c r="GI33" s="174"/>
      <c r="GJ33" s="174"/>
      <c r="GK33" s="174"/>
      <c r="GL33" s="174"/>
      <c r="GM33" s="174"/>
      <c r="GN33" s="174"/>
      <c r="GO33" s="174"/>
      <c r="GP33" s="174"/>
      <c r="GQ33" s="174"/>
      <c r="GR33" s="174"/>
      <c r="GS33" s="174"/>
      <c r="GT33" s="174"/>
      <c r="GU33" s="174"/>
      <c r="GV33" s="174"/>
      <c r="GW33" s="174"/>
      <c r="GX33" s="174"/>
      <c r="GY33" s="174"/>
      <c r="GZ33" s="174"/>
      <c r="HA33" s="174"/>
      <c r="HB33" s="174"/>
      <c r="HC33" s="174"/>
      <c r="HD33" s="174"/>
      <c r="HE33" s="174"/>
      <c r="HF33" s="174"/>
      <c r="HG33" s="174"/>
      <c r="HH33" s="174"/>
      <c r="HI33" s="174"/>
      <c r="HJ33" s="174"/>
      <c r="HK33" s="174"/>
      <c r="HL33" s="174"/>
      <c r="HM33" s="174"/>
      <c r="HN33" s="174"/>
      <c r="HO33" s="174"/>
      <c r="HP33" s="174"/>
      <c r="HQ33" s="174"/>
      <c r="HR33" s="174"/>
      <c r="HS33" s="174"/>
      <c r="HT33" s="174"/>
      <c r="HU33" s="174"/>
      <c r="HV33" s="174"/>
      <c r="HW33" s="174"/>
      <c r="HX33" s="174"/>
      <c r="HY33" s="174"/>
      <c r="HZ33" s="174"/>
      <c r="IA33" s="174"/>
      <c r="IB33" s="174"/>
      <c r="IC33" s="174"/>
      <c r="ID33" s="174"/>
      <c r="IE33" s="174"/>
      <c r="IF33" s="174"/>
      <c r="IG33" s="174"/>
      <c r="IH33" s="174"/>
      <c r="II33" s="174"/>
      <c r="IJ33" s="174"/>
      <c r="IK33" s="174"/>
      <c r="IL33" s="174"/>
      <c r="IM33" s="174"/>
      <c r="IN33" s="174"/>
      <c r="IO33" s="174"/>
      <c r="IP33" s="174"/>
      <c r="IQ33" s="174"/>
      <c r="IR33" s="174"/>
      <c r="IS33" s="174"/>
      <c r="IT33" s="174"/>
      <c r="IU33" s="174"/>
      <c r="IV33" s="174"/>
    </row>
    <row r="34" spans="1:256" s="287" customFormat="1" ht="22.5" customHeight="1" x14ac:dyDescent="0.35">
      <c r="A34" s="301">
        <v>26</v>
      </c>
      <c r="B34" s="295"/>
      <c r="C34" s="191">
        <v>7</v>
      </c>
      <c r="D34" s="299" t="s">
        <v>446</v>
      </c>
      <c r="E34" s="183">
        <f>F34+G34+O36+P35</f>
        <v>1905</v>
      </c>
      <c r="F34" s="291"/>
      <c r="G34" s="184"/>
      <c r="H34" s="373" t="s">
        <v>24</v>
      </c>
      <c r="I34" s="388"/>
      <c r="J34" s="384"/>
      <c r="K34" s="364"/>
      <c r="L34" s="364"/>
      <c r="M34" s="364"/>
      <c r="N34" s="364"/>
      <c r="O34" s="357"/>
      <c r="P34" s="292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  <c r="DV34" s="174"/>
      <c r="DW34" s="174"/>
      <c r="DX34" s="174"/>
      <c r="DY34" s="174"/>
      <c r="DZ34" s="174"/>
      <c r="EA34" s="174"/>
      <c r="EB34" s="174"/>
      <c r="EC34" s="174"/>
      <c r="ED34" s="174"/>
      <c r="EE34" s="174"/>
      <c r="EF34" s="174"/>
      <c r="EG34" s="174"/>
      <c r="EH34" s="174"/>
      <c r="EI34" s="174"/>
      <c r="EJ34" s="174"/>
      <c r="EK34" s="174"/>
      <c r="EL34" s="174"/>
      <c r="EM34" s="174"/>
      <c r="EN34" s="174"/>
      <c r="EO34" s="174"/>
      <c r="EP34" s="174"/>
      <c r="EQ34" s="174"/>
      <c r="ER34" s="174"/>
      <c r="ES34" s="174"/>
      <c r="ET34" s="174"/>
      <c r="EU34" s="174"/>
      <c r="EV34" s="174"/>
      <c r="EW34" s="174"/>
      <c r="EX34" s="174"/>
      <c r="EY34" s="174"/>
      <c r="EZ34" s="174"/>
      <c r="FA34" s="174"/>
      <c r="FB34" s="174"/>
      <c r="FC34" s="174"/>
      <c r="FD34" s="174"/>
      <c r="FE34" s="174"/>
      <c r="FF34" s="174"/>
      <c r="FG34" s="174"/>
      <c r="FH34" s="174"/>
      <c r="FI34" s="174"/>
      <c r="FJ34" s="174"/>
      <c r="FK34" s="174"/>
      <c r="FL34" s="174"/>
      <c r="FM34" s="174"/>
      <c r="FN34" s="174"/>
      <c r="FO34" s="174"/>
      <c r="FP34" s="174"/>
      <c r="FQ34" s="174"/>
      <c r="FR34" s="174"/>
      <c r="FS34" s="174"/>
      <c r="FT34" s="174"/>
      <c r="FU34" s="174"/>
      <c r="FV34" s="174"/>
      <c r="FW34" s="174"/>
      <c r="FX34" s="174"/>
      <c r="FY34" s="174"/>
      <c r="FZ34" s="174"/>
      <c r="GA34" s="174"/>
      <c r="GB34" s="174"/>
      <c r="GC34" s="174"/>
      <c r="GD34" s="174"/>
      <c r="GE34" s="174"/>
      <c r="GF34" s="174"/>
      <c r="GG34" s="174"/>
      <c r="GH34" s="174"/>
      <c r="GI34" s="174"/>
      <c r="GJ34" s="174"/>
      <c r="GK34" s="174"/>
      <c r="GL34" s="174"/>
      <c r="GM34" s="174"/>
      <c r="GN34" s="174"/>
      <c r="GO34" s="174"/>
      <c r="GP34" s="174"/>
      <c r="GQ34" s="174"/>
      <c r="GR34" s="174"/>
      <c r="GS34" s="174"/>
      <c r="GT34" s="174"/>
      <c r="GU34" s="174"/>
      <c r="GV34" s="174"/>
      <c r="GW34" s="174"/>
      <c r="GX34" s="174"/>
      <c r="GY34" s="174"/>
      <c r="GZ34" s="174"/>
      <c r="HA34" s="174"/>
      <c r="HB34" s="174"/>
      <c r="HC34" s="174"/>
      <c r="HD34" s="174"/>
      <c r="HE34" s="174"/>
      <c r="HF34" s="174"/>
      <c r="HG34" s="174"/>
      <c r="HH34" s="174"/>
      <c r="HI34" s="174"/>
      <c r="HJ34" s="174"/>
      <c r="HK34" s="174"/>
      <c r="HL34" s="174"/>
      <c r="HM34" s="174"/>
      <c r="HN34" s="174"/>
      <c r="HO34" s="174"/>
      <c r="HP34" s="174"/>
      <c r="HQ34" s="174"/>
      <c r="HR34" s="174"/>
      <c r="HS34" s="174"/>
      <c r="HT34" s="174"/>
      <c r="HU34" s="174"/>
      <c r="HV34" s="174"/>
      <c r="HW34" s="174"/>
      <c r="HX34" s="174"/>
      <c r="HY34" s="174"/>
      <c r="HZ34" s="174"/>
      <c r="IA34" s="174"/>
      <c r="IB34" s="174"/>
      <c r="IC34" s="174"/>
      <c r="ID34" s="174"/>
      <c r="IE34" s="174"/>
      <c r="IF34" s="174"/>
      <c r="IG34" s="174"/>
      <c r="IH34" s="174"/>
      <c r="II34" s="174"/>
      <c r="IJ34" s="174"/>
      <c r="IK34" s="174"/>
      <c r="IL34" s="174"/>
      <c r="IM34" s="174"/>
      <c r="IN34" s="174"/>
      <c r="IO34" s="174"/>
      <c r="IP34" s="174"/>
      <c r="IQ34" s="174"/>
      <c r="IR34" s="174"/>
      <c r="IS34" s="174"/>
      <c r="IT34" s="174"/>
      <c r="IU34" s="174"/>
      <c r="IV34" s="174"/>
    </row>
    <row r="35" spans="1:256" s="287" customFormat="1" ht="18" customHeight="1" x14ac:dyDescent="0.35">
      <c r="A35" s="301">
        <v>27</v>
      </c>
      <c r="B35" s="295"/>
      <c r="C35" s="175"/>
      <c r="D35" s="1211" t="s">
        <v>268</v>
      </c>
      <c r="E35" s="183"/>
      <c r="F35" s="291"/>
      <c r="G35" s="184"/>
      <c r="H35" s="373"/>
      <c r="I35" s="388"/>
      <c r="J35" s="384"/>
      <c r="K35" s="364"/>
      <c r="L35" s="364"/>
      <c r="M35" s="364">
        <v>1905</v>
      </c>
      <c r="N35" s="364"/>
      <c r="O35" s="357">
        <f>SUM(I35:N35)</f>
        <v>1905</v>
      </c>
      <c r="P35" s="292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J35" s="174"/>
      <c r="DK35" s="174"/>
      <c r="DL35" s="174"/>
      <c r="DM35" s="174"/>
      <c r="DN35" s="174"/>
      <c r="DO35" s="174"/>
      <c r="DP35" s="174"/>
      <c r="DQ35" s="174"/>
      <c r="DR35" s="174"/>
      <c r="DS35" s="174"/>
      <c r="DT35" s="174"/>
      <c r="DU35" s="174"/>
      <c r="DV35" s="174"/>
      <c r="DW35" s="174"/>
      <c r="DX35" s="174"/>
      <c r="DY35" s="174"/>
      <c r="DZ35" s="174"/>
      <c r="EA35" s="174"/>
      <c r="EB35" s="174"/>
      <c r="EC35" s="174"/>
      <c r="ED35" s="174"/>
      <c r="EE35" s="174"/>
      <c r="EF35" s="174"/>
      <c r="EG35" s="174"/>
      <c r="EH35" s="174"/>
      <c r="EI35" s="174"/>
      <c r="EJ35" s="174"/>
      <c r="EK35" s="174"/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4"/>
      <c r="EW35" s="174"/>
      <c r="EX35" s="174"/>
      <c r="EY35" s="174"/>
      <c r="EZ35" s="174"/>
      <c r="FA35" s="174"/>
      <c r="FB35" s="174"/>
      <c r="FC35" s="174"/>
      <c r="FD35" s="174"/>
      <c r="FE35" s="174"/>
      <c r="FF35" s="174"/>
      <c r="FG35" s="174"/>
      <c r="FH35" s="174"/>
      <c r="FI35" s="174"/>
      <c r="FJ35" s="174"/>
      <c r="FK35" s="174"/>
      <c r="FL35" s="174"/>
      <c r="FM35" s="174"/>
      <c r="FN35" s="174"/>
      <c r="FO35" s="174"/>
      <c r="FP35" s="174"/>
      <c r="FQ35" s="174"/>
      <c r="FR35" s="174"/>
      <c r="FS35" s="174"/>
      <c r="FT35" s="174"/>
      <c r="FU35" s="174"/>
      <c r="FV35" s="174"/>
      <c r="FW35" s="174"/>
      <c r="FX35" s="174"/>
      <c r="FY35" s="174"/>
      <c r="FZ35" s="174"/>
      <c r="GA35" s="174"/>
      <c r="GB35" s="174"/>
      <c r="GC35" s="174"/>
      <c r="GD35" s="174"/>
      <c r="GE35" s="174"/>
      <c r="GF35" s="174"/>
      <c r="GG35" s="174"/>
      <c r="GH35" s="174"/>
      <c r="GI35" s="174"/>
      <c r="GJ35" s="174"/>
      <c r="GK35" s="174"/>
      <c r="GL35" s="174"/>
      <c r="GM35" s="174"/>
      <c r="GN35" s="174"/>
      <c r="GO35" s="174"/>
      <c r="GP35" s="174"/>
      <c r="GQ35" s="174"/>
      <c r="GR35" s="174"/>
      <c r="GS35" s="174"/>
      <c r="GT35" s="174"/>
      <c r="GU35" s="174"/>
      <c r="GV35" s="174"/>
      <c r="GW35" s="174"/>
      <c r="GX35" s="174"/>
      <c r="GY35" s="174"/>
      <c r="GZ35" s="174"/>
      <c r="HA35" s="174"/>
      <c r="HB35" s="174"/>
      <c r="HC35" s="174"/>
      <c r="HD35" s="174"/>
      <c r="HE35" s="174"/>
      <c r="HF35" s="174"/>
      <c r="HG35" s="174"/>
      <c r="HH35" s="174"/>
      <c r="HI35" s="174"/>
      <c r="HJ35" s="174"/>
      <c r="HK35" s="174"/>
      <c r="HL35" s="174"/>
      <c r="HM35" s="174"/>
      <c r="HN35" s="174"/>
      <c r="HO35" s="174"/>
      <c r="HP35" s="174"/>
      <c r="HQ35" s="174"/>
      <c r="HR35" s="174"/>
      <c r="HS35" s="174"/>
      <c r="HT35" s="174"/>
      <c r="HU35" s="174"/>
      <c r="HV35" s="174"/>
      <c r="HW35" s="174"/>
      <c r="HX35" s="174"/>
      <c r="HY35" s="174"/>
      <c r="HZ35" s="174"/>
      <c r="IA35" s="174"/>
      <c r="IB35" s="174"/>
      <c r="IC35" s="174"/>
      <c r="ID35" s="174"/>
      <c r="IE35" s="174"/>
      <c r="IF35" s="174"/>
      <c r="IG35" s="174"/>
      <c r="IH35" s="174"/>
      <c r="II35" s="174"/>
      <c r="IJ35" s="174"/>
      <c r="IK35" s="174"/>
      <c r="IL35" s="174"/>
      <c r="IM35" s="174"/>
      <c r="IN35" s="174"/>
      <c r="IO35" s="174"/>
      <c r="IP35" s="174"/>
      <c r="IQ35" s="174"/>
      <c r="IR35" s="174"/>
      <c r="IS35" s="174"/>
      <c r="IT35" s="174"/>
      <c r="IU35" s="174"/>
      <c r="IV35" s="174"/>
    </row>
    <row r="36" spans="1:256" s="287" customFormat="1" ht="18" customHeight="1" x14ac:dyDescent="0.35">
      <c r="A36" s="301">
        <v>28</v>
      </c>
      <c r="B36" s="295"/>
      <c r="C36" s="175"/>
      <c r="D36" s="225" t="s">
        <v>796</v>
      </c>
      <c r="E36" s="183"/>
      <c r="F36" s="291"/>
      <c r="G36" s="184"/>
      <c r="H36" s="373"/>
      <c r="I36" s="370"/>
      <c r="J36" s="288"/>
      <c r="K36" s="632"/>
      <c r="L36" s="632"/>
      <c r="M36" s="632">
        <v>1905</v>
      </c>
      <c r="N36" s="632"/>
      <c r="O36" s="296">
        <f t="shared" ref="O36:O37" si="6">SUM(I36:N36)</f>
        <v>1905</v>
      </c>
      <c r="P36" s="292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4"/>
      <c r="EZ36" s="174"/>
      <c r="FA36" s="174"/>
      <c r="FB36" s="174"/>
      <c r="FC36" s="174"/>
      <c r="FD36" s="174"/>
      <c r="FE36" s="174"/>
      <c r="FF36" s="174"/>
      <c r="FG36" s="174"/>
      <c r="FH36" s="174"/>
      <c r="FI36" s="174"/>
      <c r="FJ36" s="174"/>
      <c r="FK36" s="174"/>
      <c r="FL36" s="174"/>
      <c r="FM36" s="174"/>
      <c r="FN36" s="174"/>
      <c r="FO36" s="174"/>
      <c r="FP36" s="174"/>
      <c r="FQ36" s="174"/>
      <c r="FR36" s="174"/>
      <c r="FS36" s="174"/>
      <c r="FT36" s="174"/>
      <c r="FU36" s="174"/>
      <c r="FV36" s="174"/>
      <c r="FW36" s="174"/>
      <c r="FX36" s="174"/>
      <c r="FY36" s="174"/>
      <c r="FZ36" s="174"/>
      <c r="GA36" s="174"/>
      <c r="GB36" s="174"/>
      <c r="GC36" s="174"/>
      <c r="GD36" s="174"/>
      <c r="GE36" s="174"/>
      <c r="GF36" s="174"/>
      <c r="GG36" s="174"/>
      <c r="GH36" s="174"/>
      <c r="GI36" s="174"/>
      <c r="GJ36" s="174"/>
      <c r="GK36" s="174"/>
      <c r="GL36" s="174"/>
      <c r="GM36" s="174"/>
      <c r="GN36" s="174"/>
      <c r="GO36" s="174"/>
      <c r="GP36" s="174"/>
      <c r="GQ36" s="174"/>
      <c r="GR36" s="174"/>
      <c r="GS36" s="174"/>
      <c r="GT36" s="174"/>
      <c r="GU36" s="174"/>
      <c r="GV36" s="174"/>
      <c r="GW36" s="174"/>
      <c r="GX36" s="174"/>
      <c r="GY36" s="174"/>
      <c r="GZ36" s="174"/>
      <c r="HA36" s="174"/>
      <c r="HB36" s="174"/>
      <c r="HC36" s="174"/>
      <c r="HD36" s="174"/>
      <c r="HE36" s="174"/>
      <c r="HF36" s="174"/>
      <c r="HG36" s="174"/>
      <c r="HH36" s="174"/>
      <c r="HI36" s="174"/>
      <c r="HJ36" s="174"/>
      <c r="HK36" s="174"/>
      <c r="HL36" s="174"/>
      <c r="HM36" s="174"/>
      <c r="HN36" s="174"/>
      <c r="HO36" s="174"/>
      <c r="HP36" s="174"/>
      <c r="HQ36" s="174"/>
      <c r="HR36" s="174"/>
      <c r="HS36" s="174"/>
      <c r="HT36" s="174"/>
      <c r="HU36" s="174"/>
      <c r="HV36" s="174"/>
      <c r="HW36" s="174"/>
      <c r="HX36" s="174"/>
      <c r="HY36" s="174"/>
      <c r="HZ36" s="174"/>
      <c r="IA36" s="174"/>
      <c r="IB36" s="174"/>
      <c r="IC36" s="174"/>
      <c r="ID36" s="174"/>
      <c r="IE36" s="174"/>
      <c r="IF36" s="174"/>
      <c r="IG36" s="174"/>
      <c r="IH36" s="174"/>
      <c r="II36" s="174"/>
      <c r="IJ36" s="174"/>
      <c r="IK36" s="174"/>
      <c r="IL36" s="174"/>
      <c r="IM36" s="174"/>
      <c r="IN36" s="174"/>
      <c r="IO36" s="174"/>
      <c r="IP36" s="174"/>
      <c r="IQ36" s="174"/>
      <c r="IR36" s="174"/>
      <c r="IS36" s="174"/>
      <c r="IT36" s="174"/>
      <c r="IU36" s="174"/>
      <c r="IV36" s="174"/>
    </row>
    <row r="37" spans="1:256" s="287" customFormat="1" ht="18" customHeight="1" x14ac:dyDescent="0.35">
      <c r="A37" s="301">
        <v>29</v>
      </c>
      <c r="B37" s="295"/>
      <c r="C37" s="175"/>
      <c r="D37" s="187" t="s">
        <v>860</v>
      </c>
      <c r="E37" s="183"/>
      <c r="F37" s="291"/>
      <c r="G37" s="184"/>
      <c r="H37" s="373"/>
      <c r="I37" s="1198"/>
      <c r="J37" s="1194"/>
      <c r="K37" s="1194"/>
      <c r="L37" s="1194"/>
      <c r="M37" s="1194"/>
      <c r="N37" s="1194"/>
      <c r="O37" s="1192">
        <f t="shared" si="6"/>
        <v>0</v>
      </c>
      <c r="P37" s="292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  <c r="DV37" s="174"/>
      <c r="DW37" s="174"/>
      <c r="DX37" s="174"/>
      <c r="DY37" s="174"/>
      <c r="DZ37" s="174"/>
      <c r="EA37" s="174"/>
      <c r="EB37" s="174"/>
      <c r="EC37" s="174"/>
      <c r="ED37" s="174"/>
      <c r="EE37" s="174"/>
      <c r="EF37" s="174"/>
      <c r="EG37" s="174"/>
      <c r="EH37" s="174"/>
      <c r="EI37" s="174"/>
      <c r="EJ37" s="174"/>
      <c r="EK37" s="174"/>
      <c r="EL37" s="174"/>
      <c r="EM37" s="174"/>
      <c r="EN37" s="174"/>
      <c r="EO37" s="174"/>
      <c r="EP37" s="174"/>
      <c r="EQ37" s="174"/>
      <c r="ER37" s="174"/>
      <c r="ES37" s="174"/>
      <c r="ET37" s="174"/>
      <c r="EU37" s="174"/>
      <c r="EV37" s="174"/>
      <c r="EW37" s="174"/>
      <c r="EX37" s="174"/>
      <c r="EY37" s="174"/>
      <c r="EZ37" s="174"/>
      <c r="FA37" s="174"/>
      <c r="FB37" s="174"/>
      <c r="FC37" s="174"/>
      <c r="FD37" s="174"/>
      <c r="FE37" s="174"/>
      <c r="FF37" s="174"/>
      <c r="FG37" s="174"/>
      <c r="FH37" s="174"/>
      <c r="FI37" s="174"/>
      <c r="FJ37" s="174"/>
      <c r="FK37" s="174"/>
      <c r="FL37" s="174"/>
      <c r="FM37" s="174"/>
      <c r="FN37" s="174"/>
      <c r="FO37" s="174"/>
      <c r="FP37" s="174"/>
      <c r="FQ37" s="174"/>
      <c r="FR37" s="174"/>
      <c r="FS37" s="174"/>
      <c r="FT37" s="174"/>
      <c r="FU37" s="174"/>
      <c r="FV37" s="174"/>
      <c r="FW37" s="174"/>
      <c r="FX37" s="174"/>
      <c r="FY37" s="174"/>
      <c r="FZ37" s="174"/>
      <c r="GA37" s="174"/>
      <c r="GB37" s="174"/>
      <c r="GC37" s="174"/>
      <c r="GD37" s="174"/>
      <c r="GE37" s="174"/>
      <c r="GF37" s="174"/>
      <c r="GG37" s="174"/>
      <c r="GH37" s="174"/>
      <c r="GI37" s="174"/>
      <c r="GJ37" s="174"/>
      <c r="GK37" s="174"/>
      <c r="GL37" s="174"/>
      <c r="GM37" s="174"/>
      <c r="GN37" s="174"/>
      <c r="GO37" s="174"/>
      <c r="GP37" s="174"/>
      <c r="GQ37" s="174"/>
      <c r="GR37" s="174"/>
      <c r="GS37" s="174"/>
      <c r="GT37" s="174"/>
      <c r="GU37" s="174"/>
      <c r="GV37" s="174"/>
      <c r="GW37" s="174"/>
      <c r="GX37" s="174"/>
      <c r="GY37" s="174"/>
      <c r="GZ37" s="174"/>
      <c r="HA37" s="174"/>
      <c r="HB37" s="174"/>
      <c r="HC37" s="174"/>
      <c r="HD37" s="174"/>
      <c r="HE37" s="174"/>
      <c r="HF37" s="174"/>
      <c r="HG37" s="174"/>
      <c r="HH37" s="174"/>
      <c r="HI37" s="174"/>
      <c r="HJ37" s="174"/>
      <c r="HK37" s="174"/>
      <c r="HL37" s="174"/>
      <c r="HM37" s="174"/>
      <c r="HN37" s="174"/>
      <c r="HO37" s="174"/>
      <c r="HP37" s="174"/>
      <c r="HQ37" s="174"/>
      <c r="HR37" s="174"/>
      <c r="HS37" s="174"/>
      <c r="HT37" s="174"/>
      <c r="HU37" s="174"/>
      <c r="HV37" s="174"/>
      <c r="HW37" s="174"/>
      <c r="HX37" s="174"/>
      <c r="HY37" s="174"/>
      <c r="HZ37" s="174"/>
      <c r="IA37" s="174"/>
      <c r="IB37" s="174"/>
      <c r="IC37" s="174"/>
      <c r="ID37" s="174"/>
      <c r="IE37" s="174"/>
      <c r="IF37" s="174"/>
      <c r="IG37" s="174"/>
      <c r="IH37" s="174"/>
      <c r="II37" s="174"/>
      <c r="IJ37" s="174"/>
      <c r="IK37" s="174"/>
      <c r="IL37" s="174"/>
      <c r="IM37" s="174"/>
      <c r="IN37" s="174"/>
      <c r="IO37" s="174"/>
      <c r="IP37" s="174"/>
      <c r="IQ37" s="174"/>
      <c r="IR37" s="174"/>
      <c r="IS37" s="174"/>
      <c r="IT37" s="174"/>
      <c r="IU37" s="174"/>
      <c r="IV37" s="174"/>
    </row>
    <row r="38" spans="1:256" s="287" customFormat="1" ht="33.75" x14ac:dyDescent="0.35">
      <c r="A38" s="301">
        <v>30</v>
      </c>
      <c r="B38" s="295"/>
      <c r="C38" s="175">
        <v>8</v>
      </c>
      <c r="D38" s="601" t="s">
        <v>562</v>
      </c>
      <c r="E38" s="183">
        <f>F38+G38+O40+P39</f>
        <v>5000000</v>
      </c>
      <c r="F38" s="291"/>
      <c r="G38" s="184">
        <v>22482</v>
      </c>
      <c r="H38" s="373" t="s">
        <v>24</v>
      </c>
      <c r="I38" s="388"/>
      <c r="J38" s="384"/>
      <c r="K38" s="364"/>
      <c r="L38" s="364"/>
      <c r="M38" s="364"/>
      <c r="N38" s="364"/>
      <c r="O38" s="357"/>
      <c r="P38" s="292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4"/>
      <c r="EK38" s="174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174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74"/>
      <c r="GL38" s="174"/>
      <c r="GM38" s="174"/>
      <c r="GN38" s="174"/>
      <c r="GO38" s="174"/>
      <c r="GP38" s="174"/>
      <c r="GQ38" s="174"/>
      <c r="GR38" s="174"/>
      <c r="GS38" s="174"/>
      <c r="GT38" s="174"/>
      <c r="GU38" s="174"/>
      <c r="GV38" s="174"/>
      <c r="GW38" s="174"/>
      <c r="GX38" s="174"/>
      <c r="GY38" s="174"/>
      <c r="GZ38" s="174"/>
      <c r="HA38" s="174"/>
      <c r="HB38" s="174"/>
      <c r="HC38" s="174"/>
      <c r="HD38" s="174"/>
      <c r="HE38" s="174"/>
      <c r="HF38" s="174"/>
      <c r="HG38" s="174"/>
      <c r="HH38" s="174"/>
      <c r="HI38" s="174"/>
      <c r="HJ38" s="174"/>
      <c r="HK38" s="174"/>
      <c r="HL38" s="174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  <c r="IL38" s="174"/>
      <c r="IM38" s="174"/>
      <c r="IN38" s="174"/>
      <c r="IO38" s="174"/>
      <c r="IP38" s="174"/>
      <c r="IQ38" s="174"/>
      <c r="IR38" s="174"/>
      <c r="IS38" s="174"/>
      <c r="IT38" s="174"/>
      <c r="IU38" s="174"/>
      <c r="IV38" s="174"/>
    </row>
    <row r="39" spans="1:256" s="287" customFormat="1" ht="18" customHeight="1" x14ac:dyDescent="0.35">
      <c r="A39" s="301">
        <v>31</v>
      </c>
      <c r="B39" s="295"/>
      <c r="C39" s="175"/>
      <c r="D39" s="1211" t="s">
        <v>268</v>
      </c>
      <c r="E39" s="183"/>
      <c r="F39" s="291"/>
      <c r="G39" s="184"/>
      <c r="H39" s="373"/>
      <c r="I39" s="388"/>
      <c r="J39" s="384"/>
      <c r="K39" s="364">
        <v>40317</v>
      </c>
      <c r="L39" s="364"/>
      <c r="M39" s="364">
        <v>4597280</v>
      </c>
      <c r="N39" s="364"/>
      <c r="O39" s="357">
        <f>SUM(I39:N39)</f>
        <v>4637597</v>
      </c>
      <c r="P39" s="292">
        <v>339921</v>
      </c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4"/>
      <c r="EK39" s="174"/>
      <c r="EL39" s="174"/>
      <c r="EM39" s="174"/>
      <c r="EN39" s="174"/>
      <c r="EO39" s="174"/>
      <c r="EP39" s="174"/>
      <c r="EQ39" s="174"/>
      <c r="ER39" s="174"/>
      <c r="ES39" s="174"/>
      <c r="ET39" s="174"/>
      <c r="EU39" s="174"/>
      <c r="EV39" s="174"/>
      <c r="EW39" s="174"/>
      <c r="EX39" s="174"/>
      <c r="EY39" s="174"/>
      <c r="EZ39" s="174"/>
      <c r="FA39" s="174"/>
      <c r="FB39" s="174"/>
      <c r="FC39" s="174"/>
      <c r="FD39" s="174"/>
      <c r="FE39" s="174"/>
      <c r="FF39" s="174"/>
      <c r="FG39" s="174"/>
      <c r="FH39" s="174"/>
      <c r="FI39" s="174"/>
      <c r="FJ39" s="174"/>
      <c r="FK39" s="174"/>
      <c r="FL39" s="174"/>
      <c r="FM39" s="174"/>
      <c r="FN39" s="174"/>
      <c r="FO39" s="174"/>
      <c r="FP39" s="174"/>
      <c r="FQ39" s="174"/>
      <c r="FR39" s="174"/>
      <c r="FS39" s="174"/>
      <c r="FT39" s="174"/>
      <c r="FU39" s="174"/>
      <c r="FV39" s="174"/>
      <c r="FW39" s="174"/>
      <c r="FX39" s="174"/>
      <c r="FY39" s="174"/>
      <c r="FZ39" s="174"/>
      <c r="GA39" s="174"/>
      <c r="GB39" s="174"/>
      <c r="GC39" s="174"/>
      <c r="GD39" s="174"/>
      <c r="GE39" s="174"/>
      <c r="GF39" s="174"/>
      <c r="GG39" s="174"/>
      <c r="GH39" s="174"/>
      <c r="GI39" s="174"/>
      <c r="GJ39" s="174"/>
      <c r="GK39" s="174"/>
      <c r="GL39" s="174"/>
      <c r="GM39" s="174"/>
      <c r="GN39" s="174"/>
      <c r="GO39" s="174"/>
      <c r="GP39" s="174"/>
      <c r="GQ39" s="174"/>
      <c r="GR39" s="174"/>
      <c r="GS39" s="174"/>
      <c r="GT39" s="174"/>
      <c r="GU39" s="174"/>
      <c r="GV39" s="174"/>
      <c r="GW39" s="174"/>
      <c r="GX39" s="174"/>
      <c r="GY39" s="174"/>
      <c r="GZ39" s="174"/>
      <c r="HA39" s="174"/>
      <c r="HB39" s="174"/>
      <c r="HC39" s="174"/>
      <c r="HD39" s="174"/>
      <c r="HE39" s="174"/>
      <c r="HF39" s="174"/>
      <c r="HG39" s="174"/>
      <c r="HH39" s="174"/>
      <c r="HI39" s="174"/>
      <c r="HJ39" s="174"/>
      <c r="HK39" s="174"/>
      <c r="HL39" s="174"/>
      <c r="HM39" s="174"/>
      <c r="HN39" s="174"/>
      <c r="HO39" s="174"/>
      <c r="HP39" s="174"/>
      <c r="HQ39" s="174"/>
      <c r="HR39" s="174"/>
      <c r="HS39" s="174"/>
      <c r="HT39" s="174"/>
      <c r="HU39" s="174"/>
      <c r="HV39" s="174"/>
      <c r="HW39" s="174"/>
      <c r="HX39" s="174"/>
      <c r="HY39" s="174"/>
      <c r="HZ39" s="174"/>
      <c r="IA39" s="174"/>
      <c r="IB39" s="174"/>
      <c r="IC39" s="174"/>
      <c r="ID39" s="174"/>
      <c r="IE39" s="174"/>
      <c r="IF39" s="174"/>
      <c r="IG39" s="174"/>
      <c r="IH39" s="174"/>
      <c r="II39" s="174"/>
      <c r="IJ39" s="174"/>
      <c r="IK39" s="174"/>
      <c r="IL39" s="174"/>
      <c r="IM39" s="174"/>
      <c r="IN39" s="174"/>
      <c r="IO39" s="174"/>
      <c r="IP39" s="174"/>
      <c r="IQ39" s="174"/>
      <c r="IR39" s="174"/>
      <c r="IS39" s="174"/>
      <c r="IT39" s="174"/>
      <c r="IU39" s="174"/>
      <c r="IV39" s="174"/>
    </row>
    <row r="40" spans="1:256" s="287" customFormat="1" ht="18" customHeight="1" x14ac:dyDescent="0.35">
      <c r="A40" s="301">
        <v>32</v>
      </c>
      <c r="B40" s="295"/>
      <c r="C40" s="175"/>
      <c r="D40" s="225" t="s">
        <v>796</v>
      </c>
      <c r="E40" s="183"/>
      <c r="F40" s="291"/>
      <c r="G40" s="184"/>
      <c r="H40" s="373"/>
      <c r="I40" s="370"/>
      <c r="J40" s="288"/>
      <c r="K40" s="632">
        <v>40317</v>
      </c>
      <c r="L40" s="632"/>
      <c r="M40" s="632">
        <v>4597280</v>
      </c>
      <c r="N40" s="632"/>
      <c r="O40" s="296">
        <f t="shared" ref="O40:O41" si="7">SUM(I40:N40)</f>
        <v>4637597</v>
      </c>
      <c r="P40" s="292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4"/>
      <c r="FK40" s="174"/>
      <c r="FL40" s="174"/>
      <c r="FM40" s="174"/>
      <c r="FN40" s="174"/>
      <c r="FO40" s="174"/>
      <c r="FP40" s="174"/>
      <c r="FQ40" s="174"/>
      <c r="FR40" s="174"/>
      <c r="FS40" s="174"/>
      <c r="FT40" s="174"/>
      <c r="FU40" s="174"/>
      <c r="FV40" s="174"/>
      <c r="FW40" s="174"/>
      <c r="FX40" s="174"/>
      <c r="FY40" s="174"/>
      <c r="FZ40" s="174"/>
      <c r="GA40" s="174"/>
      <c r="GB40" s="174"/>
      <c r="GC40" s="174"/>
      <c r="GD40" s="174"/>
      <c r="GE40" s="174"/>
      <c r="GF40" s="174"/>
      <c r="GG40" s="174"/>
      <c r="GH40" s="174"/>
      <c r="GI40" s="174"/>
      <c r="GJ40" s="174"/>
      <c r="GK40" s="174"/>
      <c r="GL40" s="174"/>
      <c r="GM40" s="174"/>
      <c r="GN40" s="174"/>
      <c r="GO40" s="174"/>
      <c r="GP40" s="174"/>
      <c r="GQ40" s="174"/>
      <c r="GR40" s="174"/>
      <c r="GS40" s="174"/>
      <c r="GT40" s="174"/>
      <c r="GU40" s="174"/>
      <c r="GV40" s="174"/>
      <c r="GW40" s="174"/>
      <c r="GX40" s="174"/>
      <c r="GY40" s="174"/>
      <c r="GZ40" s="174"/>
      <c r="HA40" s="174"/>
      <c r="HB40" s="174"/>
      <c r="HC40" s="174"/>
      <c r="HD40" s="174"/>
      <c r="HE40" s="174"/>
      <c r="HF40" s="174"/>
      <c r="HG40" s="174"/>
      <c r="HH40" s="174"/>
      <c r="HI40" s="174"/>
      <c r="HJ40" s="174"/>
      <c r="HK40" s="174"/>
      <c r="HL40" s="174"/>
      <c r="HM40" s="174"/>
      <c r="HN40" s="174"/>
      <c r="HO40" s="174"/>
      <c r="HP40" s="174"/>
      <c r="HQ40" s="174"/>
      <c r="HR40" s="174"/>
      <c r="HS40" s="174"/>
      <c r="HT40" s="174"/>
      <c r="HU40" s="174"/>
      <c r="HV40" s="174"/>
      <c r="HW40" s="174"/>
      <c r="HX40" s="174"/>
      <c r="HY40" s="174"/>
      <c r="HZ40" s="174"/>
      <c r="IA40" s="174"/>
      <c r="IB40" s="174"/>
      <c r="IC40" s="174"/>
      <c r="ID40" s="174"/>
      <c r="IE40" s="174"/>
      <c r="IF40" s="174"/>
      <c r="IG40" s="174"/>
      <c r="IH40" s="174"/>
      <c r="II40" s="174"/>
      <c r="IJ40" s="174"/>
      <c r="IK40" s="174"/>
      <c r="IL40" s="174"/>
      <c r="IM40" s="174"/>
      <c r="IN40" s="174"/>
      <c r="IO40" s="174"/>
      <c r="IP40" s="174"/>
      <c r="IQ40" s="174"/>
      <c r="IR40" s="174"/>
      <c r="IS40" s="174"/>
      <c r="IT40" s="174"/>
      <c r="IU40" s="174"/>
      <c r="IV40" s="174"/>
    </row>
    <row r="41" spans="1:256" s="287" customFormat="1" ht="18" customHeight="1" x14ac:dyDescent="0.35">
      <c r="A41" s="301">
        <v>33</v>
      </c>
      <c r="B41" s="295"/>
      <c r="C41" s="175"/>
      <c r="D41" s="187" t="s">
        <v>860</v>
      </c>
      <c r="E41" s="183"/>
      <c r="F41" s="291"/>
      <c r="G41" s="184"/>
      <c r="H41" s="373"/>
      <c r="I41" s="1198"/>
      <c r="J41" s="1194"/>
      <c r="K41" s="1194">
        <v>552</v>
      </c>
      <c r="L41" s="1194"/>
      <c r="M41" s="1194">
        <v>298401</v>
      </c>
      <c r="N41" s="1194"/>
      <c r="O41" s="1192">
        <f t="shared" si="7"/>
        <v>298953</v>
      </c>
      <c r="P41" s="292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74"/>
      <c r="EE41" s="174"/>
      <c r="EF41" s="174"/>
      <c r="EG41" s="174"/>
      <c r="EH41" s="174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4"/>
      <c r="FK41" s="174"/>
      <c r="FL41" s="174"/>
      <c r="FM41" s="174"/>
      <c r="FN41" s="174"/>
      <c r="FO41" s="174"/>
      <c r="FP41" s="174"/>
      <c r="FQ41" s="174"/>
      <c r="FR41" s="174"/>
      <c r="FS41" s="174"/>
      <c r="FT41" s="174"/>
      <c r="FU41" s="174"/>
      <c r="FV41" s="174"/>
      <c r="FW41" s="174"/>
      <c r="FX41" s="174"/>
      <c r="FY41" s="174"/>
      <c r="FZ41" s="174"/>
      <c r="GA41" s="174"/>
      <c r="GB41" s="174"/>
      <c r="GC41" s="174"/>
      <c r="GD41" s="174"/>
      <c r="GE41" s="174"/>
      <c r="GF41" s="174"/>
      <c r="GG41" s="174"/>
      <c r="GH41" s="174"/>
      <c r="GI41" s="174"/>
      <c r="GJ41" s="174"/>
      <c r="GK41" s="174"/>
      <c r="GL41" s="174"/>
      <c r="GM41" s="174"/>
      <c r="GN41" s="174"/>
      <c r="GO41" s="174"/>
      <c r="GP41" s="174"/>
      <c r="GQ41" s="174"/>
      <c r="GR41" s="174"/>
      <c r="GS41" s="174"/>
      <c r="GT41" s="174"/>
      <c r="GU41" s="174"/>
      <c r="GV41" s="174"/>
      <c r="GW41" s="174"/>
      <c r="GX41" s="174"/>
      <c r="GY41" s="174"/>
      <c r="GZ41" s="174"/>
      <c r="HA41" s="174"/>
      <c r="HB41" s="174"/>
      <c r="HC41" s="174"/>
      <c r="HD41" s="174"/>
      <c r="HE41" s="174"/>
      <c r="HF41" s="174"/>
      <c r="HG41" s="174"/>
      <c r="HH41" s="174"/>
      <c r="HI41" s="174"/>
      <c r="HJ41" s="174"/>
      <c r="HK41" s="174"/>
      <c r="HL41" s="174"/>
      <c r="HM41" s="174"/>
      <c r="HN41" s="174"/>
      <c r="HO41" s="174"/>
      <c r="HP41" s="174"/>
      <c r="HQ41" s="174"/>
      <c r="HR41" s="174"/>
      <c r="HS41" s="174"/>
      <c r="HT41" s="174"/>
      <c r="HU41" s="174"/>
      <c r="HV41" s="174"/>
      <c r="HW41" s="174"/>
      <c r="HX41" s="174"/>
      <c r="HY41" s="174"/>
      <c r="HZ41" s="174"/>
      <c r="IA41" s="174"/>
      <c r="IB41" s="174"/>
      <c r="IC41" s="174"/>
      <c r="ID41" s="174"/>
      <c r="IE41" s="174"/>
      <c r="IF41" s="174"/>
      <c r="IG41" s="174"/>
      <c r="IH41" s="174"/>
      <c r="II41" s="174"/>
      <c r="IJ41" s="174"/>
      <c r="IK41" s="174"/>
      <c r="IL41" s="174"/>
      <c r="IM41" s="174"/>
      <c r="IN41" s="174"/>
      <c r="IO41" s="174"/>
      <c r="IP41" s="174"/>
      <c r="IQ41" s="174"/>
      <c r="IR41" s="174"/>
      <c r="IS41" s="174"/>
      <c r="IT41" s="174"/>
      <c r="IU41" s="174"/>
      <c r="IV41" s="174"/>
    </row>
    <row r="42" spans="1:256" s="287" customFormat="1" ht="83.25" x14ac:dyDescent="0.35">
      <c r="A42" s="301">
        <v>34</v>
      </c>
      <c r="B42" s="295"/>
      <c r="C42" s="175">
        <v>9</v>
      </c>
      <c r="D42" s="601" t="s">
        <v>564</v>
      </c>
      <c r="E42" s="183">
        <f>F42+G42+O44+P43</f>
        <v>19000</v>
      </c>
      <c r="F42" s="291"/>
      <c r="G42" s="184"/>
      <c r="H42" s="373" t="s">
        <v>24</v>
      </c>
      <c r="I42" s="388"/>
      <c r="J42" s="384"/>
      <c r="K42" s="364"/>
      <c r="L42" s="364"/>
      <c r="M42" s="364"/>
      <c r="N42" s="364"/>
      <c r="O42" s="357"/>
      <c r="P42" s="292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74"/>
      <c r="DE42" s="174"/>
      <c r="DF42" s="174"/>
      <c r="DG42" s="174"/>
      <c r="DH42" s="174"/>
      <c r="DI42" s="174"/>
      <c r="DJ42" s="174"/>
      <c r="DK42" s="174"/>
      <c r="DL42" s="174"/>
      <c r="DM42" s="174"/>
      <c r="DN42" s="174"/>
      <c r="DO42" s="174"/>
      <c r="DP42" s="174"/>
      <c r="DQ42" s="174"/>
      <c r="DR42" s="174"/>
      <c r="DS42" s="174"/>
      <c r="DT42" s="174"/>
      <c r="DU42" s="174"/>
      <c r="DV42" s="174"/>
      <c r="DW42" s="174"/>
      <c r="DX42" s="174"/>
      <c r="DY42" s="174"/>
      <c r="DZ42" s="174"/>
      <c r="EA42" s="174"/>
      <c r="EB42" s="174"/>
      <c r="EC42" s="174"/>
      <c r="ED42" s="174"/>
      <c r="EE42" s="174"/>
      <c r="EF42" s="174"/>
      <c r="EG42" s="174"/>
      <c r="EH42" s="174"/>
      <c r="EI42" s="174"/>
      <c r="EJ42" s="174"/>
      <c r="EK42" s="174"/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  <c r="EV42" s="174"/>
      <c r="EW42" s="174"/>
      <c r="EX42" s="174"/>
      <c r="EY42" s="174"/>
      <c r="EZ42" s="174"/>
      <c r="FA42" s="174"/>
      <c r="FB42" s="174"/>
      <c r="FC42" s="174"/>
      <c r="FD42" s="174"/>
      <c r="FE42" s="174"/>
      <c r="FF42" s="174"/>
      <c r="FG42" s="174"/>
      <c r="FH42" s="174"/>
      <c r="FI42" s="174"/>
      <c r="FJ42" s="174"/>
      <c r="FK42" s="174"/>
      <c r="FL42" s="174"/>
      <c r="FM42" s="174"/>
      <c r="FN42" s="174"/>
      <c r="FO42" s="174"/>
      <c r="FP42" s="174"/>
      <c r="FQ42" s="174"/>
      <c r="FR42" s="174"/>
      <c r="FS42" s="174"/>
      <c r="FT42" s="174"/>
      <c r="FU42" s="174"/>
      <c r="FV42" s="174"/>
      <c r="FW42" s="174"/>
      <c r="FX42" s="174"/>
      <c r="FY42" s="174"/>
      <c r="FZ42" s="174"/>
      <c r="GA42" s="174"/>
      <c r="GB42" s="174"/>
      <c r="GC42" s="174"/>
      <c r="GD42" s="174"/>
      <c r="GE42" s="174"/>
      <c r="GF42" s="174"/>
      <c r="GG42" s="174"/>
      <c r="GH42" s="174"/>
      <c r="GI42" s="174"/>
      <c r="GJ42" s="174"/>
      <c r="GK42" s="174"/>
      <c r="GL42" s="174"/>
      <c r="GM42" s="174"/>
      <c r="GN42" s="174"/>
      <c r="GO42" s="174"/>
      <c r="GP42" s="174"/>
      <c r="GQ42" s="174"/>
      <c r="GR42" s="174"/>
      <c r="GS42" s="174"/>
      <c r="GT42" s="174"/>
      <c r="GU42" s="174"/>
      <c r="GV42" s="174"/>
      <c r="GW42" s="174"/>
      <c r="GX42" s="174"/>
      <c r="GY42" s="174"/>
      <c r="GZ42" s="174"/>
      <c r="HA42" s="174"/>
      <c r="HB42" s="174"/>
      <c r="HC42" s="174"/>
      <c r="HD42" s="174"/>
      <c r="HE42" s="174"/>
      <c r="HF42" s="174"/>
      <c r="HG42" s="174"/>
      <c r="HH42" s="174"/>
      <c r="HI42" s="174"/>
      <c r="HJ42" s="174"/>
      <c r="HK42" s="174"/>
      <c r="HL42" s="174"/>
      <c r="HM42" s="174"/>
      <c r="HN42" s="174"/>
      <c r="HO42" s="174"/>
      <c r="HP42" s="174"/>
      <c r="HQ42" s="174"/>
      <c r="HR42" s="174"/>
      <c r="HS42" s="174"/>
      <c r="HT42" s="174"/>
      <c r="HU42" s="174"/>
      <c r="HV42" s="174"/>
      <c r="HW42" s="174"/>
      <c r="HX42" s="174"/>
      <c r="HY42" s="174"/>
      <c r="HZ42" s="174"/>
      <c r="IA42" s="174"/>
      <c r="IB42" s="174"/>
      <c r="IC42" s="174"/>
      <c r="ID42" s="174"/>
      <c r="IE42" s="174"/>
      <c r="IF42" s="174"/>
      <c r="IG42" s="174"/>
      <c r="IH42" s="174"/>
      <c r="II42" s="174"/>
      <c r="IJ42" s="174"/>
      <c r="IK42" s="174"/>
      <c r="IL42" s="174"/>
      <c r="IM42" s="174"/>
      <c r="IN42" s="174"/>
      <c r="IO42" s="174"/>
      <c r="IP42" s="174"/>
      <c r="IQ42" s="174"/>
      <c r="IR42" s="174"/>
      <c r="IS42" s="174"/>
      <c r="IT42" s="174"/>
      <c r="IU42" s="174"/>
      <c r="IV42" s="174"/>
    </row>
    <row r="43" spans="1:256" s="287" customFormat="1" ht="18" customHeight="1" x14ac:dyDescent="0.35">
      <c r="A43" s="301">
        <v>35</v>
      </c>
      <c r="B43" s="295"/>
      <c r="C43" s="175"/>
      <c r="D43" s="1211" t="s">
        <v>268</v>
      </c>
      <c r="E43" s="183"/>
      <c r="F43" s="291"/>
      <c r="G43" s="184"/>
      <c r="H43" s="373"/>
      <c r="I43" s="388"/>
      <c r="J43" s="384"/>
      <c r="K43" s="364"/>
      <c r="L43" s="364"/>
      <c r="M43" s="364">
        <v>19000</v>
      </c>
      <c r="N43" s="364"/>
      <c r="O43" s="357">
        <f>SUM(I43:N43)</f>
        <v>19000</v>
      </c>
      <c r="P43" s="292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  <c r="EE43" s="174"/>
      <c r="EF43" s="174"/>
      <c r="EG43" s="174"/>
      <c r="EH43" s="174"/>
      <c r="EI43" s="174"/>
      <c r="EJ43" s="174"/>
      <c r="EK43" s="174"/>
      <c r="EL43" s="174"/>
      <c r="EM43" s="174"/>
      <c r="EN43" s="174"/>
      <c r="EO43" s="174"/>
      <c r="EP43" s="174"/>
      <c r="EQ43" s="174"/>
      <c r="ER43" s="174"/>
      <c r="ES43" s="174"/>
      <c r="ET43" s="174"/>
      <c r="EU43" s="174"/>
      <c r="EV43" s="174"/>
      <c r="EW43" s="174"/>
      <c r="EX43" s="174"/>
      <c r="EY43" s="174"/>
      <c r="EZ43" s="174"/>
      <c r="FA43" s="174"/>
      <c r="FB43" s="174"/>
      <c r="FC43" s="174"/>
      <c r="FD43" s="174"/>
      <c r="FE43" s="174"/>
      <c r="FF43" s="174"/>
      <c r="FG43" s="174"/>
      <c r="FH43" s="174"/>
      <c r="FI43" s="174"/>
      <c r="FJ43" s="174"/>
      <c r="FK43" s="174"/>
      <c r="FL43" s="174"/>
      <c r="FM43" s="174"/>
      <c r="FN43" s="174"/>
      <c r="FO43" s="174"/>
      <c r="FP43" s="174"/>
      <c r="FQ43" s="174"/>
      <c r="FR43" s="174"/>
      <c r="FS43" s="174"/>
      <c r="FT43" s="174"/>
      <c r="FU43" s="174"/>
      <c r="FV43" s="174"/>
      <c r="FW43" s="174"/>
      <c r="FX43" s="174"/>
      <c r="FY43" s="174"/>
      <c r="FZ43" s="174"/>
      <c r="GA43" s="174"/>
      <c r="GB43" s="174"/>
      <c r="GC43" s="174"/>
      <c r="GD43" s="174"/>
      <c r="GE43" s="174"/>
      <c r="GF43" s="174"/>
      <c r="GG43" s="174"/>
      <c r="GH43" s="174"/>
      <c r="GI43" s="174"/>
      <c r="GJ43" s="174"/>
      <c r="GK43" s="174"/>
      <c r="GL43" s="174"/>
      <c r="GM43" s="174"/>
      <c r="GN43" s="174"/>
      <c r="GO43" s="174"/>
      <c r="GP43" s="174"/>
      <c r="GQ43" s="174"/>
      <c r="GR43" s="174"/>
      <c r="GS43" s="174"/>
      <c r="GT43" s="174"/>
      <c r="GU43" s="174"/>
      <c r="GV43" s="174"/>
      <c r="GW43" s="174"/>
      <c r="GX43" s="174"/>
      <c r="GY43" s="174"/>
      <c r="GZ43" s="174"/>
      <c r="HA43" s="174"/>
      <c r="HB43" s="174"/>
      <c r="HC43" s="174"/>
      <c r="HD43" s="174"/>
      <c r="HE43" s="174"/>
      <c r="HF43" s="174"/>
      <c r="HG43" s="174"/>
      <c r="HH43" s="174"/>
      <c r="HI43" s="174"/>
      <c r="HJ43" s="174"/>
      <c r="HK43" s="174"/>
      <c r="HL43" s="174"/>
      <c r="HM43" s="174"/>
      <c r="HN43" s="174"/>
      <c r="HO43" s="174"/>
      <c r="HP43" s="174"/>
      <c r="HQ43" s="174"/>
      <c r="HR43" s="174"/>
      <c r="HS43" s="174"/>
      <c r="HT43" s="174"/>
      <c r="HU43" s="174"/>
      <c r="HV43" s="174"/>
      <c r="HW43" s="174"/>
      <c r="HX43" s="174"/>
      <c r="HY43" s="174"/>
      <c r="HZ43" s="174"/>
      <c r="IA43" s="174"/>
      <c r="IB43" s="174"/>
      <c r="IC43" s="174"/>
      <c r="ID43" s="174"/>
      <c r="IE43" s="174"/>
      <c r="IF43" s="174"/>
      <c r="IG43" s="174"/>
      <c r="IH43" s="174"/>
      <c r="II43" s="174"/>
      <c r="IJ43" s="174"/>
      <c r="IK43" s="174"/>
      <c r="IL43" s="174"/>
      <c r="IM43" s="174"/>
      <c r="IN43" s="174"/>
      <c r="IO43" s="174"/>
      <c r="IP43" s="174"/>
      <c r="IQ43" s="174"/>
      <c r="IR43" s="174"/>
      <c r="IS43" s="174"/>
      <c r="IT43" s="174"/>
      <c r="IU43" s="174"/>
      <c r="IV43" s="174"/>
    </row>
    <row r="44" spans="1:256" s="287" customFormat="1" ht="18" customHeight="1" x14ac:dyDescent="0.35">
      <c r="A44" s="301">
        <v>36</v>
      </c>
      <c r="B44" s="295"/>
      <c r="C44" s="175"/>
      <c r="D44" s="225" t="s">
        <v>796</v>
      </c>
      <c r="E44" s="183"/>
      <c r="F44" s="291"/>
      <c r="G44" s="184"/>
      <c r="H44" s="373"/>
      <c r="I44" s="370"/>
      <c r="J44" s="288"/>
      <c r="K44" s="632"/>
      <c r="L44" s="632"/>
      <c r="M44" s="632">
        <v>19000</v>
      </c>
      <c r="N44" s="632"/>
      <c r="O44" s="296">
        <f t="shared" ref="O44:O45" si="8">SUM(I44:N44)</f>
        <v>19000</v>
      </c>
      <c r="P44" s="292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4"/>
      <c r="EW44" s="174"/>
      <c r="EX44" s="174"/>
      <c r="EY44" s="174"/>
      <c r="EZ44" s="174"/>
      <c r="FA44" s="174"/>
      <c r="FB44" s="174"/>
      <c r="FC44" s="174"/>
      <c r="FD44" s="174"/>
      <c r="FE44" s="174"/>
      <c r="FF44" s="174"/>
      <c r="FG44" s="174"/>
      <c r="FH44" s="174"/>
      <c r="FI44" s="174"/>
      <c r="FJ44" s="174"/>
      <c r="FK44" s="174"/>
      <c r="FL44" s="174"/>
      <c r="FM44" s="174"/>
      <c r="FN44" s="174"/>
      <c r="FO44" s="174"/>
      <c r="FP44" s="174"/>
      <c r="FQ44" s="174"/>
      <c r="FR44" s="174"/>
      <c r="FS44" s="174"/>
      <c r="FT44" s="174"/>
      <c r="FU44" s="174"/>
      <c r="FV44" s="174"/>
      <c r="FW44" s="174"/>
      <c r="FX44" s="174"/>
      <c r="FY44" s="174"/>
      <c r="FZ44" s="174"/>
      <c r="GA44" s="174"/>
      <c r="GB44" s="174"/>
      <c r="GC44" s="174"/>
      <c r="GD44" s="174"/>
      <c r="GE44" s="174"/>
      <c r="GF44" s="174"/>
      <c r="GG44" s="174"/>
      <c r="GH44" s="174"/>
      <c r="GI44" s="174"/>
      <c r="GJ44" s="174"/>
      <c r="GK44" s="174"/>
      <c r="GL44" s="174"/>
      <c r="GM44" s="174"/>
      <c r="GN44" s="174"/>
      <c r="GO44" s="174"/>
      <c r="GP44" s="174"/>
      <c r="GQ44" s="174"/>
      <c r="GR44" s="174"/>
      <c r="GS44" s="174"/>
      <c r="GT44" s="174"/>
      <c r="GU44" s="174"/>
      <c r="GV44" s="174"/>
      <c r="GW44" s="174"/>
      <c r="GX44" s="174"/>
      <c r="GY44" s="174"/>
      <c r="GZ44" s="174"/>
      <c r="HA44" s="174"/>
      <c r="HB44" s="174"/>
      <c r="HC44" s="174"/>
      <c r="HD44" s="174"/>
      <c r="HE44" s="174"/>
      <c r="HF44" s="174"/>
      <c r="HG44" s="174"/>
      <c r="HH44" s="174"/>
      <c r="HI44" s="174"/>
      <c r="HJ44" s="174"/>
      <c r="HK44" s="174"/>
      <c r="HL44" s="174"/>
      <c r="HM44" s="174"/>
      <c r="HN44" s="174"/>
      <c r="HO44" s="174"/>
      <c r="HP44" s="174"/>
      <c r="HQ44" s="174"/>
      <c r="HR44" s="174"/>
      <c r="HS44" s="174"/>
      <c r="HT44" s="174"/>
      <c r="HU44" s="174"/>
      <c r="HV44" s="174"/>
      <c r="HW44" s="174"/>
      <c r="HX44" s="174"/>
      <c r="HY44" s="174"/>
      <c r="HZ44" s="174"/>
      <c r="IA44" s="174"/>
      <c r="IB44" s="174"/>
      <c r="IC44" s="174"/>
      <c r="ID44" s="174"/>
      <c r="IE44" s="174"/>
      <c r="IF44" s="174"/>
      <c r="IG44" s="174"/>
      <c r="IH44" s="174"/>
      <c r="II44" s="174"/>
      <c r="IJ44" s="174"/>
      <c r="IK44" s="174"/>
      <c r="IL44" s="174"/>
      <c r="IM44" s="174"/>
      <c r="IN44" s="174"/>
      <c r="IO44" s="174"/>
      <c r="IP44" s="174"/>
      <c r="IQ44" s="174"/>
      <c r="IR44" s="174"/>
      <c r="IS44" s="174"/>
      <c r="IT44" s="174"/>
      <c r="IU44" s="174"/>
      <c r="IV44" s="174"/>
    </row>
    <row r="45" spans="1:256" s="287" customFormat="1" ht="18" customHeight="1" x14ac:dyDescent="0.35">
      <c r="A45" s="301">
        <v>37</v>
      </c>
      <c r="B45" s="295"/>
      <c r="C45" s="175"/>
      <c r="D45" s="187" t="s">
        <v>860</v>
      </c>
      <c r="E45" s="183"/>
      <c r="F45" s="291"/>
      <c r="G45" s="184"/>
      <c r="H45" s="373"/>
      <c r="I45" s="1198"/>
      <c r="J45" s="1194"/>
      <c r="K45" s="1194"/>
      <c r="L45" s="1194"/>
      <c r="M45" s="1194"/>
      <c r="N45" s="1194"/>
      <c r="O45" s="1192">
        <f t="shared" si="8"/>
        <v>0</v>
      </c>
      <c r="P45" s="292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4"/>
      <c r="EW45" s="174"/>
      <c r="EX45" s="174"/>
      <c r="EY45" s="174"/>
      <c r="EZ45" s="174"/>
      <c r="FA45" s="174"/>
      <c r="FB45" s="174"/>
      <c r="FC45" s="174"/>
      <c r="FD45" s="174"/>
      <c r="FE45" s="174"/>
      <c r="FF45" s="174"/>
      <c r="FG45" s="174"/>
      <c r="FH45" s="174"/>
      <c r="FI45" s="174"/>
      <c r="FJ45" s="174"/>
      <c r="FK45" s="174"/>
      <c r="FL45" s="174"/>
      <c r="FM45" s="174"/>
      <c r="FN45" s="174"/>
      <c r="FO45" s="174"/>
      <c r="FP45" s="174"/>
      <c r="FQ45" s="174"/>
      <c r="FR45" s="174"/>
      <c r="FS45" s="174"/>
      <c r="FT45" s="174"/>
      <c r="FU45" s="174"/>
      <c r="FV45" s="174"/>
      <c r="FW45" s="174"/>
      <c r="FX45" s="174"/>
      <c r="FY45" s="174"/>
      <c r="FZ45" s="174"/>
      <c r="GA45" s="174"/>
      <c r="GB45" s="174"/>
      <c r="GC45" s="174"/>
      <c r="GD45" s="174"/>
      <c r="GE45" s="174"/>
      <c r="GF45" s="174"/>
      <c r="GG45" s="174"/>
      <c r="GH45" s="174"/>
      <c r="GI45" s="174"/>
      <c r="GJ45" s="174"/>
      <c r="GK45" s="174"/>
      <c r="GL45" s="174"/>
      <c r="GM45" s="174"/>
      <c r="GN45" s="174"/>
      <c r="GO45" s="174"/>
      <c r="GP45" s="174"/>
      <c r="GQ45" s="174"/>
      <c r="GR45" s="174"/>
      <c r="GS45" s="174"/>
      <c r="GT45" s="174"/>
      <c r="GU45" s="174"/>
      <c r="GV45" s="174"/>
      <c r="GW45" s="174"/>
      <c r="GX45" s="174"/>
      <c r="GY45" s="174"/>
      <c r="GZ45" s="174"/>
      <c r="HA45" s="174"/>
      <c r="HB45" s="174"/>
      <c r="HC45" s="174"/>
      <c r="HD45" s="174"/>
      <c r="HE45" s="174"/>
      <c r="HF45" s="174"/>
      <c r="HG45" s="174"/>
      <c r="HH45" s="174"/>
      <c r="HI45" s="174"/>
      <c r="HJ45" s="174"/>
      <c r="HK45" s="174"/>
      <c r="HL45" s="174"/>
      <c r="HM45" s="174"/>
      <c r="HN45" s="174"/>
      <c r="HO45" s="174"/>
      <c r="HP45" s="174"/>
      <c r="HQ45" s="174"/>
      <c r="HR45" s="174"/>
      <c r="HS45" s="174"/>
      <c r="HT45" s="174"/>
      <c r="HU45" s="174"/>
      <c r="HV45" s="174"/>
      <c r="HW45" s="174"/>
      <c r="HX45" s="174"/>
      <c r="HY45" s="174"/>
      <c r="HZ45" s="174"/>
      <c r="IA45" s="174"/>
      <c r="IB45" s="174"/>
      <c r="IC45" s="174"/>
      <c r="ID45" s="174"/>
      <c r="IE45" s="174"/>
      <c r="IF45" s="174"/>
      <c r="IG45" s="174"/>
      <c r="IH45" s="174"/>
      <c r="II45" s="174"/>
      <c r="IJ45" s="174"/>
      <c r="IK45" s="174"/>
      <c r="IL45" s="174"/>
      <c r="IM45" s="174"/>
      <c r="IN45" s="174"/>
      <c r="IO45" s="174"/>
      <c r="IP45" s="174"/>
      <c r="IQ45" s="174"/>
      <c r="IR45" s="174"/>
      <c r="IS45" s="174"/>
      <c r="IT45" s="174"/>
      <c r="IU45" s="174"/>
      <c r="IV45" s="174"/>
    </row>
    <row r="46" spans="1:256" s="287" customFormat="1" ht="33.75" customHeight="1" x14ac:dyDescent="0.35">
      <c r="A46" s="301">
        <v>38</v>
      </c>
      <c r="B46" s="295"/>
      <c r="C46" s="175">
        <v>10</v>
      </c>
      <c r="D46" s="601" t="s">
        <v>563</v>
      </c>
      <c r="E46" s="183">
        <f>F46+G46+O48+P47</f>
        <v>60000</v>
      </c>
      <c r="F46" s="291"/>
      <c r="G46" s="184">
        <v>2311</v>
      </c>
      <c r="H46" s="373" t="s">
        <v>24</v>
      </c>
      <c r="I46" s="388"/>
      <c r="J46" s="384"/>
      <c r="K46" s="364"/>
      <c r="L46" s="364"/>
      <c r="M46" s="364"/>
      <c r="N46" s="364"/>
      <c r="O46" s="357"/>
      <c r="P46" s="292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4"/>
      <c r="DK46" s="174"/>
      <c r="DL46" s="174"/>
      <c r="DM46" s="174"/>
      <c r="DN46" s="174"/>
      <c r="DO46" s="174"/>
      <c r="DP46" s="174"/>
      <c r="DQ46" s="174"/>
      <c r="DR46" s="174"/>
      <c r="DS46" s="174"/>
      <c r="DT46" s="174"/>
      <c r="DU46" s="174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4"/>
      <c r="EG46" s="174"/>
      <c r="EH46" s="174"/>
      <c r="EI46" s="174"/>
      <c r="EJ46" s="174"/>
      <c r="EK46" s="174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  <c r="EV46" s="174"/>
      <c r="EW46" s="174"/>
      <c r="EX46" s="174"/>
      <c r="EY46" s="174"/>
      <c r="EZ46" s="174"/>
      <c r="FA46" s="174"/>
      <c r="FB46" s="174"/>
      <c r="FC46" s="174"/>
      <c r="FD46" s="174"/>
      <c r="FE46" s="174"/>
      <c r="FF46" s="174"/>
      <c r="FG46" s="174"/>
      <c r="FH46" s="174"/>
      <c r="FI46" s="174"/>
      <c r="FJ46" s="174"/>
      <c r="FK46" s="174"/>
      <c r="FL46" s="174"/>
      <c r="FM46" s="174"/>
      <c r="FN46" s="174"/>
      <c r="FO46" s="174"/>
      <c r="FP46" s="174"/>
      <c r="FQ46" s="174"/>
      <c r="FR46" s="174"/>
      <c r="FS46" s="174"/>
      <c r="FT46" s="174"/>
      <c r="FU46" s="174"/>
      <c r="FV46" s="174"/>
      <c r="FW46" s="174"/>
      <c r="FX46" s="174"/>
      <c r="FY46" s="174"/>
      <c r="FZ46" s="174"/>
      <c r="GA46" s="174"/>
      <c r="GB46" s="174"/>
      <c r="GC46" s="174"/>
      <c r="GD46" s="174"/>
      <c r="GE46" s="174"/>
      <c r="GF46" s="174"/>
      <c r="GG46" s="174"/>
      <c r="GH46" s="174"/>
      <c r="GI46" s="174"/>
      <c r="GJ46" s="174"/>
      <c r="GK46" s="174"/>
      <c r="GL46" s="174"/>
      <c r="GM46" s="174"/>
      <c r="GN46" s="174"/>
      <c r="GO46" s="174"/>
      <c r="GP46" s="174"/>
      <c r="GQ46" s="174"/>
      <c r="GR46" s="174"/>
      <c r="GS46" s="174"/>
      <c r="GT46" s="174"/>
      <c r="GU46" s="174"/>
      <c r="GV46" s="174"/>
      <c r="GW46" s="174"/>
      <c r="GX46" s="174"/>
      <c r="GY46" s="174"/>
      <c r="GZ46" s="174"/>
      <c r="HA46" s="174"/>
      <c r="HB46" s="174"/>
      <c r="HC46" s="174"/>
      <c r="HD46" s="174"/>
      <c r="HE46" s="174"/>
      <c r="HF46" s="174"/>
      <c r="HG46" s="174"/>
      <c r="HH46" s="174"/>
      <c r="HI46" s="174"/>
      <c r="HJ46" s="174"/>
      <c r="HK46" s="174"/>
      <c r="HL46" s="174"/>
      <c r="HM46" s="174"/>
      <c r="HN46" s="174"/>
      <c r="HO46" s="174"/>
      <c r="HP46" s="174"/>
      <c r="HQ46" s="174"/>
      <c r="HR46" s="174"/>
      <c r="HS46" s="174"/>
      <c r="HT46" s="174"/>
      <c r="HU46" s="174"/>
      <c r="HV46" s="174"/>
      <c r="HW46" s="174"/>
      <c r="HX46" s="174"/>
      <c r="HY46" s="174"/>
      <c r="HZ46" s="174"/>
      <c r="IA46" s="174"/>
      <c r="IB46" s="174"/>
      <c r="IC46" s="174"/>
      <c r="ID46" s="174"/>
      <c r="IE46" s="174"/>
      <c r="IF46" s="174"/>
      <c r="IG46" s="174"/>
      <c r="IH46" s="174"/>
      <c r="II46" s="174"/>
      <c r="IJ46" s="174"/>
      <c r="IK46" s="174"/>
      <c r="IL46" s="174"/>
      <c r="IM46" s="174"/>
      <c r="IN46" s="174"/>
      <c r="IO46" s="174"/>
      <c r="IP46" s="174"/>
      <c r="IQ46" s="174"/>
      <c r="IR46" s="174"/>
      <c r="IS46" s="174"/>
      <c r="IT46" s="174"/>
      <c r="IU46" s="174"/>
      <c r="IV46" s="174"/>
    </row>
    <row r="47" spans="1:256" s="287" customFormat="1" ht="18" customHeight="1" x14ac:dyDescent="0.35">
      <c r="A47" s="301">
        <v>39</v>
      </c>
      <c r="B47" s="295"/>
      <c r="C47" s="175"/>
      <c r="D47" s="1211" t="s">
        <v>268</v>
      </c>
      <c r="E47" s="183"/>
      <c r="F47" s="291"/>
      <c r="G47" s="184"/>
      <c r="H47" s="373"/>
      <c r="I47" s="388"/>
      <c r="J47" s="384"/>
      <c r="K47" s="364"/>
      <c r="L47" s="364"/>
      <c r="M47" s="364">
        <v>57689</v>
      </c>
      <c r="N47" s="364"/>
      <c r="O47" s="357">
        <f>SUM(I47:N47)</f>
        <v>57689</v>
      </c>
      <c r="P47" s="292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74"/>
      <c r="EE47" s="174"/>
      <c r="EF47" s="174"/>
      <c r="EG47" s="174"/>
      <c r="EH47" s="174"/>
      <c r="EI47" s="174"/>
      <c r="EJ47" s="174"/>
      <c r="EK47" s="174"/>
      <c r="EL47" s="174"/>
      <c r="EM47" s="174"/>
      <c r="EN47" s="174"/>
      <c r="EO47" s="174"/>
      <c r="EP47" s="174"/>
      <c r="EQ47" s="174"/>
      <c r="ER47" s="174"/>
      <c r="ES47" s="174"/>
      <c r="ET47" s="174"/>
      <c r="EU47" s="174"/>
      <c r="EV47" s="174"/>
      <c r="EW47" s="174"/>
      <c r="EX47" s="174"/>
      <c r="EY47" s="174"/>
      <c r="EZ47" s="174"/>
      <c r="FA47" s="174"/>
      <c r="FB47" s="174"/>
      <c r="FC47" s="174"/>
      <c r="FD47" s="174"/>
      <c r="FE47" s="174"/>
      <c r="FF47" s="174"/>
      <c r="FG47" s="174"/>
      <c r="FH47" s="174"/>
      <c r="FI47" s="174"/>
      <c r="FJ47" s="174"/>
      <c r="FK47" s="174"/>
      <c r="FL47" s="174"/>
      <c r="FM47" s="174"/>
      <c r="FN47" s="174"/>
      <c r="FO47" s="174"/>
      <c r="FP47" s="174"/>
      <c r="FQ47" s="174"/>
      <c r="FR47" s="174"/>
      <c r="FS47" s="174"/>
      <c r="FT47" s="174"/>
      <c r="FU47" s="174"/>
      <c r="FV47" s="174"/>
      <c r="FW47" s="174"/>
      <c r="FX47" s="174"/>
      <c r="FY47" s="174"/>
      <c r="FZ47" s="174"/>
      <c r="GA47" s="174"/>
      <c r="GB47" s="174"/>
      <c r="GC47" s="174"/>
      <c r="GD47" s="174"/>
      <c r="GE47" s="174"/>
      <c r="GF47" s="174"/>
      <c r="GG47" s="174"/>
      <c r="GH47" s="174"/>
      <c r="GI47" s="174"/>
      <c r="GJ47" s="174"/>
      <c r="GK47" s="174"/>
      <c r="GL47" s="174"/>
      <c r="GM47" s="174"/>
      <c r="GN47" s="174"/>
      <c r="GO47" s="174"/>
      <c r="GP47" s="174"/>
      <c r="GQ47" s="174"/>
      <c r="GR47" s="174"/>
      <c r="GS47" s="174"/>
      <c r="GT47" s="174"/>
      <c r="GU47" s="174"/>
      <c r="GV47" s="174"/>
      <c r="GW47" s="174"/>
      <c r="GX47" s="174"/>
      <c r="GY47" s="174"/>
      <c r="GZ47" s="174"/>
      <c r="HA47" s="174"/>
      <c r="HB47" s="174"/>
      <c r="HC47" s="174"/>
      <c r="HD47" s="174"/>
      <c r="HE47" s="174"/>
      <c r="HF47" s="174"/>
      <c r="HG47" s="174"/>
      <c r="HH47" s="174"/>
      <c r="HI47" s="174"/>
      <c r="HJ47" s="174"/>
      <c r="HK47" s="174"/>
      <c r="HL47" s="174"/>
      <c r="HM47" s="174"/>
      <c r="HN47" s="174"/>
      <c r="HO47" s="174"/>
      <c r="HP47" s="174"/>
      <c r="HQ47" s="174"/>
      <c r="HR47" s="174"/>
      <c r="HS47" s="174"/>
      <c r="HT47" s="174"/>
      <c r="HU47" s="174"/>
      <c r="HV47" s="174"/>
      <c r="HW47" s="174"/>
      <c r="HX47" s="174"/>
      <c r="HY47" s="174"/>
      <c r="HZ47" s="174"/>
      <c r="IA47" s="174"/>
      <c r="IB47" s="174"/>
      <c r="IC47" s="174"/>
      <c r="ID47" s="174"/>
      <c r="IE47" s="174"/>
      <c r="IF47" s="174"/>
      <c r="IG47" s="174"/>
      <c r="IH47" s="174"/>
      <c r="II47" s="174"/>
      <c r="IJ47" s="174"/>
      <c r="IK47" s="174"/>
      <c r="IL47" s="174"/>
      <c r="IM47" s="174"/>
      <c r="IN47" s="174"/>
      <c r="IO47" s="174"/>
      <c r="IP47" s="174"/>
      <c r="IQ47" s="174"/>
      <c r="IR47" s="174"/>
      <c r="IS47" s="174"/>
      <c r="IT47" s="174"/>
      <c r="IU47" s="174"/>
      <c r="IV47" s="174"/>
    </row>
    <row r="48" spans="1:256" s="287" customFormat="1" ht="18" customHeight="1" x14ac:dyDescent="0.35">
      <c r="A48" s="301">
        <v>40</v>
      </c>
      <c r="B48" s="295"/>
      <c r="C48" s="175"/>
      <c r="D48" s="225" t="s">
        <v>796</v>
      </c>
      <c r="E48" s="183"/>
      <c r="F48" s="291"/>
      <c r="G48" s="184"/>
      <c r="H48" s="373"/>
      <c r="I48" s="370"/>
      <c r="J48" s="288"/>
      <c r="K48" s="632"/>
      <c r="L48" s="632"/>
      <c r="M48" s="632">
        <v>57689</v>
      </c>
      <c r="N48" s="632"/>
      <c r="O48" s="296">
        <f t="shared" ref="O48:O49" si="9">SUM(I48:N48)</f>
        <v>57689</v>
      </c>
      <c r="P48" s="292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4"/>
      <c r="FE48" s="174"/>
      <c r="FF48" s="174"/>
      <c r="FG48" s="174"/>
      <c r="FH48" s="174"/>
      <c r="FI48" s="174"/>
      <c r="FJ48" s="174"/>
      <c r="FK48" s="174"/>
      <c r="FL48" s="174"/>
      <c r="FM48" s="174"/>
      <c r="FN48" s="174"/>
      <c r="FO48" s="174"/>
      <c r="FP48" s="174"/>
      <c r="FQ48" s="174"/>
      <c r="FR48" s="174"/>
      <c r="FS48" s="174"/>
      <c r="FT48" s="174"/>
      <c r="FU48" s="174"/>
      <c r="FV48" s="174"/>
      <c r="FW48" s="174"/>
      <c r="FX48" s="174"/>
      <c r="FY48" s="174"/>
      <c r="FZ48" s="174"/>
      <c r="GA48" s="174"/>
      <c r="GB48" s="174"/>
      <c r="GC48" s="174"/>
      <c r="GD48" s="174"/>
      <c r="GE48" s="174"/>
      <c r="GF48" s="174"/>
      <c r="GG48" s="174"/>
      <c r="GH48" s="174"/>
      <c r="GI48" s="174"/>
      <c r="GJ48" s="174"/>
      <c r="GK48" s="174"/>
      <c r="GL48" s="174"/>
      <c r="GM48" s="174"/>
      <c r="GN48" s="174"/>
      <c r="GO48" s="174"/>
      <c r="GP48" s="174"/>
      <c r="GQ48" s="174"/>
      <c r="GR48" s="174"/>
      <c r="GS48" s="174"/>
      <c r="GT48" s="174"/>
      <c r="GU48" s="174"/>
      <c r="GV48" s="174"/>
      <c r="GW48" s="174"/>
      <c r="GX48" s="174"/>
      <c r="GY48" s="174"/>
      <c r="GZ48" s="174"/>
      <c r="HA48" s="174"/>
      <c r="HB48" s="174"/>
      <c r="HC48" s="174"/>
      <c r="HD48" s="174"/>
      <c r="HE48" s="174"/>
      <c r="HF48" s="174"/>
      <c r="HG48" s="174"/>
      <c r="HH48" s="174"/>
      <c r="HI48" s="174"/>
      <c r="HJ48" s="174"/>
      <c r="HK48" s="174"/>
      <c r="HL48" s="174"/>
      <c r="HM48" s="174"/>
      <c r="HN48" s="174"/>
      <c r="HO48" s="174"/>
      <c r="HP48" s="174"/>
      <c r="HQ48" s="174"/>
      <c r="HR48" s="174"/>
      <c r="HS48" s="174"/>
      <c r="HT48" s="174"/>
      <c r="HU48" s="174"/>
      <c r="HV48" s="174"/>
      <c r="HW48" s="174"/>
      <c r="HX48" s="174"/>
      <c r="HY48" s="174"/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  <c r="IL48" s="174"/>
      <c r="IM48" s="174"/>
      <c r="IN48" s="174"/>
      <c r="IO48" s="174"/>
      <c r="IP48" s="174"/>
      <c r="IQ48" s="174"/>
      <c r="IR48" s="174"/>
      <c r="IS48" s="174"/>
      <c r="IT48" s="174"/>
      <c r="IU48" s="174"/>
      <c r="IV48" s="174"/>
    </row>
    <row r="49" spans="1:256" s="287" customFormat="1" ht="18" customHeight="1" x14ac:dyDescent="0.35">
      <c r="A49" s="301">
        <v>41</v>
      </c>
      <c r="B49" s="295"/>
      <c r="C49" s="175"/>
      <c r="D49" s="187" t="s">
        <v>860</v>
      </c>
      <c r="E49" s="183"/>
      <c r="F49" s="291"/>
      <c r="G49" s="184"/>
      <c r="H49" s="373"/>
      <c r="I49" s="1198"/>
      <c r="J49" s="1194"/>
      <c r="K49" s="1194"/>
      <c r="L49" s="1194"/>
      <c r="M49" s="1194"/>
      <c r="N49" s="1194"/>
      <c r="O49" s="1192">
        <f t="shared" si="9"/>
        <v>0</v>
      </c>
      <c r="P49" s="292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4"/>
      <c r="EH49" s="174"/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4"/>
      <c r="EX49" s="174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4"/>
      <c r="FK49" s="174"/>
      <c r="FL49" s="174"/>
      <c r="FM49" s="174"/>
      <c r="FN49" s="174"/>
      <c r="FO49" s="174"/>
      <c r="FP49" s="174"/>
      <c r="FQ49" s="174"/>
      <c r="FR49" s="174"/>
      <c r="FS49" s="174"/>
      <c r="FT49" s="174"/>
      <c r="FU49" s="174"/>
      <c r="FV49" s="174"/>
      <c r="FW49" s="174"/>
      <c r="FX49" s="174"/>
      <c r="FY49" s="174"/>
      <c r="FZ49" s="174"/>
      <c r="GA49" s="174"/>
      <c r="GB49" s="174"/>
      <c r="GC49" s="174"/>
      <c r="GD49" s="174"/>
      <c r="GE49" s="174"/>
      <c r="GF49" s="174"/>
      <c r="GG49" s="174"/>
      <c r="GH49" s="174"/>
      <c r="GI49" s="174"/>
      <c r="GJ49" s="174"/>
      <c r="GK49" s="174"/>
      <c r="GL49" s="174"/>
      <c r="GM49" s="174"/>
      <c r="GN49" s="174"/>
      <c r="GO49" s="174"/>
      <c r="GP49" s="174"/>
      <c r="GQ49" s="174"/>
      <c r="GR49" s="174"/>
      <c r="GS49" s="174"/>
      <c r="GT49" s="174"/>
      <c r="GU49" s="174"/>
      <c r="GV49" s="174"/>
      <c r="GW49" s="174"/>
      <c r="GX49" s="174"/>
      <c r="GY49" s="174"/>
      <c r="GZ49" s="174"/>
      <c r="HA49" s="174"/>
      <c r="HB49" s="174"/>
      <c r="HC49" s="174"/>
      <c r="HD49" s="174"/>
      <c r="HE49" s="174"/>
      <c r="HF49" s="174"/>
      <c r="HG49" s="174"/>
      <c r="HH49" s="174"/>
      <c r="HI49" s="174"/>
      <c r="HJ49" s="174"/>
      <c r="HK49" s="174"/>
      <c r="HL49" s="174"/>
      <c r="HM49" s="174"/>
      <c r="HN49" s="174"/>
      <c r="HO49" s="174"/>
      <c r="HP49" s="174"/>
      <c r="HQ49" s="174"/>
      <c r="HR49" s="174"/>
      <c r="HS49" s="174"/>
      <c r="HT49" s="174"/>
      <c r="HU49" s="174"/>
      <c r="HV49" s="174"/>
      <c r="HW49" s="174"/>
      <c r="HX49" s="174"/>
      <c r="HY49" s="174"/>
      <c r="HZ49" s="174"/>
      <c r="IA49" s="174"/>
      <c r="IB49" s="174"/>
      <c r="IC49" s="174"/>
      <c r="ID49" s="174"/>
      <c r="IE49" s="174"/>
      <c r="IF49" s="174"/>
      <c r="IG49" s="174"/>
      <c r="IH49" s="174"/>
      <c r="II49" s="174"/>
      <c r="IJ49" s="174"/>
      <c r="IK49" s="174"/>
      <c r="IL49" s="174"/>
      <c r="IM49" s="174"/>
      <c r="IN49" s="174"/>
      <c r="IO49" s="174"/>
      <c r="IP49" s="174"/>
      <c r="IQ49" s="174"/>
      <c r="IR49" s="174"/>
      <c r="IS49" s="174"/>
      <c r="IT49" s="174"/>
      <c r="IU49" s="174"/>
      <c r="IV49" s="174"/>
    </row>
    <row r="50" spans="1:256" s="287" customFormat="1" ht="22.5" customHeight="1" x14ac:dyDescent="0.35">
      <c r="A50" s="301">
        <v>42</v>
      </c>
      <c r="B50" s="295"/>
      <c r="C50" s="191">
        <v>11</v>
      </c>
      <c r="D50" s="299" t="s">
        <v>468</v>
      </c>
      <c r="E50" s="183">
        <f>F50+G50+O52+P51</f>
        <v>1500</v>
      </c>
      <c r="F50" s="291"/>
      <c r="G50" s="184">
        <v>900</v>
      </c>
      <c r="H50" s="373" t="s">
        <v>24</v>
      </c>
      <c r="I50" s="388"/>
      <c r="J50" s="384"/>
      <c r="K50" s="364"/>
      <c r="L50" s="364"/>
      <c r="M50" s="364"/>
      <c r="N50" s="364"/>
      <c r="O50" s="357"/>
      <c r="P50" s="292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B50" s="174"/>
      <c r="EC50" s="174"/>
      <c r="ED50" s="174"/>
      <c r="EE50" s="174"/>
      <c r="EF50" s="174"/>
      <c r="EG50" s="174"/>
      <c r="EH50" s="174"/>
      <c r="EI50" s="174"/>
      <c r="EJ50" s="174"/>
      <c r="EK50" s="174"/>
      <c r="EL50" s="174"/>
      <c r="EM50" s="174"/>
      <c r="EN50" s="174"/>
      <c r="EO50" s="174"/>
      <c r="EP50" s="174"/>
      <c r="EQ50" s="174"/>
      <c r="ER50" s="174"/>
      <c r="ES50" s="174"/>
      <c r="ET50" s="174"/>
      <c r="EU50" s="174"/>
      <c r="EV50" s="174"/>
      <c r="EW50" s="174"/>
      <c r="EX50" s="174"/>
      <c r="EY50" s="174"/>
      <c r="EZ50" s="174"/>
      <c r="FA50" s="174"/>
      <c r="FB50" s="174"/>
      <c r="FC50" s="174"/>
      <c r="FD50" s="174"/>
      <c r="FE50" s="174"/>
      <c r="FF50" s="174"/>
      <c r="FG50" s="174"/>
      <c r="FH50" s="174"/>
      <c r="FI50" s="174"/>
      <c r="FJ50" s="174"/>
      <c r="FK50" s="174"/>
      <c r="FL50" s="174"/>
      <c r="FM50" s="174"/>
      <c r="FN50" s="174"/>
      <c r="FO50" s="174"/>
      <c r="FP50" s="174"/>
      <c r="FQ50" s="174"/>
      <c r="FR50" s="174"/>
      <c r="FS50" s="174"/>
      <c r="FT50" s="174"/>
      <c r="FU50" s="174"/>
      <c r="FV50" s="174"/>
      <c r="FW50" s="174"/>
      <c r="FX50" s="174"/>
      <c r="FY50" s="174"/>
      <c r="FZ50" s="174"/>
      <c r="GA50" s="174"/>
      <c r="GB50" s="174"/>
      <c r="GC50" s="174"/>
      <c r="GD50" s="174"/>
      <c r="GE50" s="174"/>
      <c r="GF50" s="174"/>
      <c r="GG50" s="174"/>
      <c r="GH50" s="174"/>
      <c r="GI50" s="174"/>
      <c r="GJ50" s="174"/>
      <c r="GK50" s="174"/>
      <c r="GL50" s="174"/>
      <c r="GM50" s="174"/>
      <c r="GN50" s="174"/>
      <c r="GO50" s="174"/>
      <c r="GP50" s="174"/>
      <c r="GQ50" s="174"/>
      <c r="GR50" s="174"/>
      <c r="GS50" s="174"/>
      <c r="GT50" s="174"/>
      <c r="GU50" s="174"/>
      <c r="GV50" s="174"/>
      <c r="GW50" s="174"/>
      <c r="GX50" s="174"/>
      <c r="GY50" s="174"/>
      <c r="GZ50" s="174"/>
      <c r="HA50" s="174"/>
      <c r="HB50" s="174"/>
      <c r="HC50" s="174"/>
      <c r="HD50" s="174"/>
      <c r="HE50" s="174"/>
      <c r="HF50" s="174"/>
      <c r="HG50" s="174"/>
      <c r="HH50" s="174"/>
      <c r="HI50" s="174"/>
      <c r="HJ50" s="174"/>
      <c r="HK50" s="174"/>
      <c r="HL50" s="174"/>
      <c r="HM50" s="174"/>
      <c r="HN50" s="174"/>
      <c r="HO50" s="174"/>
      <c r="HP50" s="174"/>
      <c r="HQ50" s="174"/>
      <c r="HR50" s="174"/>
      <c r="HS50" s="174"/>
      <c r="HT50" s="174"/>
      <c r="HU50" s="174"/>
      <c r="HV50" s="174"/>
      <c r="HW50" s="174"/>
      <c r="HX50" s="174"/>
      <c r="HY50" s="174"/>
      <c r="HZ50" s="174"/>
      <c r="IA50" s="174"/>
      <c r="IB50" s="174"/>
      <c r="IC50" s="174"/>
      <c r="ID50" s="174"/>
      <c r="IE50" s="174"/>
      <c r="IF50" s="174"/>
      <c r="IG50" s="174"/>
      <c r="IH50" s="174"/>
      <c r="II50" s="174"/>
      <c r="IJ50" s="174"/>
      <c r="IK50" s="174"/>
      <c r="IL50" s="174"/>
      <c r="IM50" s="174"/>
      <c r="IN50" s="174"/>
      <c r="IO50" s="174"/>
      <c r="IP50" s="174"/>
      <c r="IQ50" s="174"/>
      <c r="IR50" s="174"/>
      <c r="IS50" s="174"/>
      <c r="IT50" s="174"/>
      <c r="IU50" s="174"/>
      <c r="IV50" s="174"/>
    </row>
    <row r="51" spans="1:256" s="287" customFormat="1" ht="18" customHeight="1" x14ac:dyDescent="0.35">
      <c r="A51" s="301">
        <v>43</v>
      </c>
      <c r="B51" s="295"/>
      <c r="C51" s="175"/>
      <c r="D51" s="1211" t="s">
        <v>268</v>
      </c>
      <c r="E51" s="183"/>
      <c r="F51" s="291"/>
      <c r="G51" s="184"/>
      <c r="H51" s="373"/>
      <c r="I51" s="388"/>
      <c r="J51" s="384"/>
      <c r="K51" s="364">
        <v>600</v>
      </c>
      <c r="L51" s="364"/>
      <c r="M51" s="364"/>
      <c r="N51" s="364"/>
      <c r="O51" s="357">
        <f>SUM(I51:N51)</f>
        <v>600</v>
      </c>
      <c r="P51" s="292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4"/>
      <c r="DK51" s="174"/>
      <c r="DL51" s="174"/>
      <c r="DM51" s="174"/>
      <c r="DN51" s="174"/>
      <c r="DO51" s="174"/>
      <c r="DP51" s="174"/>
      <c r="DQ51" s="174"/>
      <c r="DR51" s="174"/>
      <c r="DS51" s="174"/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74"/>
      <c r="EE51" s="174"/>
      <c r="EF51" s="174"/>
      <c r="EG51" s="174"/>
      <c r="EH51" s="174"/>
      <c r="EI51" s="174"/>
      <c r="EJ51" s="174"/>
      <c r="EK51" s="174"/>
      <c r="EL51" s="174"/>
      <c r="EM51" s="174"/>
      <c r="EN51" s="174"/>
      <c r="EO51" s="174"/>
      <c r="EP51" s="174"/>
      <c r="EQ51" s="174"/>
      <c r="ER51" s="174"/>
      <c r="ES51" s="174"/>
      <c r="ET51" s="174"/>
      <c r="EU51" s="174"/>
      <c r="EV51" s="174"/>
      <c r="EW51" s="174"/>
      <c r="EX51" s="174"/>
      <c r="EY51" s="174"/>
      <c r="EZ51" s="174"/>
      <c r="FA51" s="174"/>
      <c r="FB51" s="174"/>
      <c r="FC51" s="174"/>
      <c r="FD51" s="174"/>
      <c r="FE51" s="174"/>
      <c r="FF51" s="174"/>
      <c r="FG51" s="174"/>
      <c r="FH51" s="174"/>
      <c r="FI51" s="174"/>
      <c r="FJ51" s="174"/>
      <c r="FK51" s="174"/>
      <c r="FL51" s="174"/>
      <c r="FM51" s="174"/>
      <c r="FN51" s="174"/>
      <c r="FO51" s="174"/>
      <c r="FP51" s="174"/>
      <c r="FQ51" s="174"/>
      <c r="FR51" s="174"/>
      <c r="FS51" s="174"/>
      <c r="FT51" s="174"/>
      <c r="FU51" s="174"/>
      <c r="FV51" s="174"/>
      <c r="FW51" s="174"/>
      <c r="FX51" s="174"/>
      <c r="FY51" s="174"/>
      <c r="FZ51" s="174"/>
      <c r="GA51" s="174"/>
      <c r="GB51" s="174"/>
      <c r="GC51" s="174"/>
      <c r="GD51" s="174"/>
      <c r="GE51" s="174"/>
      <c r="GF51" s="174"/>
      <c r="GG51" s="174"/>
      <c r="GH51" s="174"/>
      <c r="GI51" s="174"/>
      <c r="GJ51" s="174"/>
      <c r="GK51" s="174"/>
      <c r="GL51" s="174"/>
      <c r="GM51" s="174"/>
      <c r="GN51" s="174"/>
      <c r="GO51" s="174"/>
      <c r="GP51" s="174"/>
      <c r="GQ51" s="174"/>
      <c r="GR51" s="174"/>
      <c r="GS51" s="174"/>
      <c r="GT51" s="174"/>
      <c r="GU51" s="174"/>
      <c r="GV51" s="174"/>
      <c r="GW51" s="174"/>
      <c r="GX51" s="174"/>
      <c r="GY51" s="174"/>
      <c r="GZ51" s="174"/>
      <c r="HA51" s="174"/>
      <c r="HB51" s="174"/>
      <c r="HC51" s="174"/>
      <c r="HD51" s="174"/>
      <c r="HE51" s="174"/>
      <c r="HF51" s="174"/>
      <c r="HG51" s="174"/>
      <c r="HH51" s="174"/>
      <c r="HI51" s="174"/>
      <c r="HJ51" s="174"/>
      <c r="HK51" s="174"/>
      <c r="HL51" s="174"/>
      <c r="HM51" s="174"/>
      <c r="HN51" s="174"/>
      <c r="HO51" s="174"/>
      <c r="HP51" s="174"/>
      <c r="HQ51" s="174"/>
      <c r="HR51" s="174"/>
      <c r="HS51" s="174"/>
      <c r="HT51" s="174"/>
      <c r="HU51" s="174"/>
      <c r="HV51" s="174"/>
      <c r="HW51" s="174"/>
      <c r="HX51" s="174"/>
      <c r="HY51" s="174"/>
      <c r="HZ51" s="174"/>
      <c r="IA51" s="174"/>
      <c r="IB51" s="174"/>
      <c r="IC51" s="174"/>
      <c r="ID51" s="174"/>
      <c r="IE51" s="174"/>
      <c r="IF51" s="174"/>
      <c r="IG51" s="174"/>
      <c r="IH51" s="174"/>
      <c r="II51" s="174"/>
      <c r="IJ51" s="174"/>
      <c r="IK51" s="174"/>
      <c r="IL51" s="174"/>
      <c r="IM51" s="174"/>
      <c r="IN51" s="174"/>
      <c r="IO51" s="174"/>
      <c r="IP51" s="174"/>
      <c r="IQ51" s="174"/>
      <c r="IR51" s="174"/>
      <c r="IS51" s="174"/>
      <c r="IT51" s="174"/>
      <c r="IU51" s="174"/>
      <c r="IV51" s="174"/>
    </row>
    <row r="52" spans="1:256" s="287" customFormat="1" ht="18" customHeight="1" x14ac:dyDescent="0.35">
      <c r="A52" s="301">
        <v>44</v>
      </c>
      <c r="B52" s="295"/>
      <c r="C52" s="175"/>
      <c r="D52" s="225" t="s">
        <v>796</v>
      </c>
      <c r="E52" s="183"/>
      <c r="F52" s="291"/>
      <c r="G52" s="184"/>
      <c r="H52" s="373"/>
      <c r="I52" s="370"/>
      <c r="J52" s="288"/>
      <c r="K52" s="632">
        <v>600</v>
      </c>
      <c r="L52" s="632"/>
      <c r="M52" s="632"/>
      <c r="N52" s="632"/>
      <c r="O52" s="296">
        <f t="shared" ref="O52:O53" si="10">SUM(I52:N52)</f>
        <v>600</v>
      </c>
      <c r="P52" s="292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4"/>
      <c r="DT52" s="174"/>
      <c r="DU52" s="174"/>
      <c r="DV52" s="174"/>
      <c r="DW52" s="174"/>
      <c r="DX52" s="174"/>
      <c r="DY52" s="174"/>
      <c r="DZ52" s="174"/>
      <c r="EA52" s="174"/>
      <c r="EB52" s="174"/>
      <c r="EC52" s="174"/>
      <c r="ED52" s="174"/>
      <c r="EE52" s="174"/>
      <c r="EF52" s="174"/>
      <c r="EG52" s="174"/>
      <c r="EH52" s="174"/>
      <c r="EI52" s="174"/>
      <c r="EJ52" s="174"/>
      <c r="EK52" s="174"/>
      <c r="EL52" s="174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  <c r="FB52" s="174"/>
      <c r="FC52" s="174"/>
      <c r="FD52" s="174"/>
      <c r="FE52" s="174"/>
      <c r="FF52" s="174"/>
      <c r="FG52" s="174"/>
      <c r="FH52" s="174"/>
      <c r="FI52" s="174"/>
      <c r="FJ52" s="174"/>
      <c r="FK52" s="174"/>
      <c r="FL52" s="174"/>
      <c r="FM52" s="174"/>
      <c r="FN52" s="174"/>
      <c r="FO52" s="174"/>
      <c r="FP52" s="174"/>
      <c r="FQ52" s="174"/>
      <c r="FR52" s="174"/>
      <c r="FS52" s="174"/>
      <c r="FT52" s="174"/>
      <c r="FU52" s="174"/>
      <c r="FV52" s="174"/>
      <c r="FW52" s="174"/>
      <c r="FX52" s="174"/>
      <c r="FY52" s="174"/>
      <c r="FZ52" s="174"/>
      <c r="GA52" s="174"/>
      <c r="GB52" s="174"/>
      <c r="GC52" s="174"/>
      <c r="GD52" s="174"/>
      <c r="GE52" s="174"/>
      <c r="GF52" s="174"/>
      <c r="GG52" s="174"/>
      <c r="GH52" s="174"/>
      <c r="GI52" s="174"/>
      <c r="GJ52" s="174"/>
      <c r="GK52" s="174"/>
      <c r="GL52" s="174"/>
      <c r="GM52" s="174"/>
      <c r="GN52" s="174"/>
      <c r="GO52" s="174"/>
      <c r="GP52" s="174"/>
      <c r="GQ52" s="174"/>
      <c r="GR52" s="174"/>
      <c r="GS52" s="174"/>
      <c r="GT52" s="174"/>
      <c r="GU52" s="174"/>
      <c r="GV52" s="174"/>
      <c r="GW52" s="174"/>
      <c r="GX52" s="174"/>
      <c r="GY52" s="174"/>
      <c r="GZ52" s="174"/>
      <c r="HA52" s="174"/>
      <c r="HB52" s="174"/>
      <c r="HC52" s="174"/>
      <c r="HD52" s="174"/>
      <c r="HE52" s="174"/>
      <c r="HF52" s="174"/>
      <c r="HG52" s="174"/>
      <c r="HH52" s="174"/>
      <c r="HI52" s="174"/>
      <c r="HJ52" s="174"/>
      <c r="HK52" s="174"/>
      <c r="HL52" s="174"/>
      <c r="HM52" s="174"/>
      <c r="HN52" s="174"/>
      <c r="HO52" s="174"/>
      <c r="HP52" s="174"/>
      <c r="HQ52" s="174"/>
      <c r="HR52" s="174"/>
      <c r="HS52" s="174"/>
      <c r="HT52" s="174"/>
      <c r="HU52" s="174"/>
      <c r="HV52" s="174"/>
      <c r="HW52" s="174"/>
      <c r="HX52" s="174"/>
      <c r="HY52" s="174"/>
      <c r="HZ52" s="174"/>
      <c r="IA52" s="174"/>
      <c r="IB52" s="174"/>
      <c r="IC52" s="174"/>
      <c r="ID52" s="174"/>
      <c r="IE52" s="174"/>
      <c r="IF52" s="174"/>
      <c r="IG52" s="174"/>
      <c r="IH52" s="174"/>
      <c r="II52" s="174"/>
      <c r="IJ52" s="174"/>
      <c r="IK52" s="174"/>
      <c r="IL52" s="174"/>
      <c r="IM52" s="174"/>
      <c r="IN52" s="174"/>
      <c r="IO52" s="174"/>
      <c r="IP52" s="174"/>
      <c r="IQ52" s="174"/>
      <c r="IR52" s="174"/>
      <c r="IS52" s="174"/>
      <c r="IT52" s="174"/>
      <c r="IU52" s="174"/>
      <c r="IV52" s="174"/>
    </row>
    <row r="53" spans="1:256" s="287" customFormat="1" ht="18" customHeight="1" x14ac:dyDescent="0.35">
      <c r="A53" s="301">
        <v>45</v>
      </c>
      <c r="B53" s="295"/>
      <c r="C53" s="175"/>
      <c r="D53" s="187" t="s">
        <v>860</v>
      </c>
      <c r="E53" s="183"/>
      <c r="F53" s="291"/>
      <c r="G53" s="184"/>
      <c r="H53" s="373"/>
      <c r="I53" s="1198"/>
      <c r="J53" s="1194"/>
      <c r="K53" s="1194"/>
      <c r="L53" s="1194"/>
      <c r="M53" s="1194"/>
      <c r="N53" s="1194"/>
      <c r="O53" s="1192">
        <f t="shared" si="10"/>
        <v>0</v>
      </c>
      <c r="P53" s="292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74"/>
      <c r="EE53" s="174"/>
      <c r="EF53" s="174"/>
      <c r="EG53" s="174"/>
      <c r="EH53" s="174"/>
      <c r="EI53" s="174"/>
      <c r="EJ53" s="174"/>
      <c r="EK53" s="174"/>
      <c r="EL53" s="174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  <c r="FB53" s="174"/>
      <c r="FC53" s="174"/>
      <c r="FD53" s="174"/>
      <c r="FE53" s="174"/>
      <c r="FF53" s="174"/>
      <c r="FG53" s="174"/>
      <c r="FH53" s="174"/>
      <c r="FI53" s="174"/>
      <c r="FJ53" s="174"/>
      <c r="FK53" s="174"/>
      <c r="FL53" s="174"/>
      <c r="FM53" s="174"/>
      <c r="FN53" s="174"/>
      <c r="FO53" s="174"/>
      <c r="FP53" s="174"/>
      <c r="FQ53" s="174"/>
      <c r="FR53" s="174"/>
      <c r="FS53" s="174"/>
      <c r="FT53" s="174"/>
      <c r="FU53" s="174"/>
      <c r="FV53" s="174"/>
      <c r="FW53" s="174"/>
      <c r="FX53" s="174"/>
      <c r="FY53" s="174"/>
      <c r="FZ53" s="174"/>
      <c r="GA53" s="174"/>
      <c r="GB53" s="174"/>
      <c r="GC53" s="174"/>
      <c r="GD53" s="174"/>
      <c r="GE53" s="174"/>
      <c r="GF53" s="174"/>
      <c r="GG53" s="174"/>
      <c r="GH53" s="174"/>
      <c r="GI53" s="174"/>
      <c r="GJ53" s="174"/>
      <c r="GK53" s="174"/>
      <c r="GL53" s="174"/>
      <c r="GM53" s="174"/>
      <c r="GN53" s="174"/>
      <c r="GO53" s="174"/>
      <c r="GP53" s="174"/>
      <c r="GQ53" s="174"/>
      <c r="GR53" s="174"/>
      <c r="GS53" s="174"/>
      <c r="GT53" s="174"/>
      <c r="GU53" s="174"/>
      <c r="GV53" s="174"/>
      <c r="GW53" s="174"/>
      <c r="GX53" s="174"/>
      <c r="GY53" s="174"/>
      <c r="GZ53" s="174"/>
      <c r="HA53" s="174"/>
      <c r="HB53" s="174"/>
      <c r="HC53" s="174"/>
      <c r="HD53" s="174"/>
      <c r="HE53" s="174"/>
      <c r="HF53" s="174"/>
      <c r="HG53" s="174"/>
      <c r="HH53" s="174"/>
      <c r="HI53" s="174"/>
      <c r="HJ53" s="174"/>
      <c r="HK53" s="174"/>
      <c r="HL53" s="174"/>
      <c r="HM53" s="174"/>
      <c r="HN53" s="174"/>
      <c r="HO53" s="174"/>
      <c r="HP53" s="174"/>
      <c r="HQ53" s="174"/>
      <c r="HR53" s="174"/>
      <c r="HS53" s="174"/>
      <c r="HT53" s="174"/>
      <c r="HU53" s="174"/>
      <c r="HV53" s="174"/>
      <c r="HW53" s="174"/>
      <c r="HX53" s="174"/>
      <c r="HY53" s="174"/>
      <c r="HZ53" s="174"/>
      <c r="IA53" s="174"/>
      <c r="IB53" s="174"/>
      <c r="IC53" s="174"/>
      <c r="ID53" s="174"/>
      <c r="IE53" s="174"/>
      <c r="IF53" s="174"/>
      <c r="IG53" s="174"/>
      <c r="IH53" s="174"/>
      <c r="II53" s="174"/>
      <c r="IJ53" s="174"/>
      <c r="IK53" s="174"/>
      <c r="IL53" s="174"/>
      <c r="IM53" s="174"/>
      <c r="IN53" s="174"/>
      <c r="IO53" s="174"/>
      <c r="IP53" s="174"/>
      <c r="IQ53" s="174"/>
      <c r="IR53" s="174"/>
      <c r="IS53" s="174"/>
      <c r="IT53" s="174"/>
      <c r="IU53" s="174"/>
      <c r="IV53" s="174"/>
    </row>
    <row r="54" spans="1:256" s="287" customFormat="1" ht="22.5" customHeight="1" x14ac:dyDescent="0.35">
      <c r="A54" s="301">
        <v>46</v>
      </c>
      <c r="B54" s="295"/>
      <c r="C54" s="191">
        <v>12</v>
      </c>
      <c r="D54" s="299" t="s">
        <v>417</v>
      </c>
      <c r="E54" s="183">
        <f>F54+G54+O56+P55</f>
        <v>80</v>
      </c>
      <c r="F54" s="291"/>
      <c r="G54" s="184"/>
      <c r="H54" s="373" t="s">
        <v>24</v>
      </c>
      <c r="I54" s="388"/>
      <c r="J54" s="384"/>
      <c r="K54" s="364"/>
      <c r="L54" s="364"/>
      <c r="M54" s="364"/>
      <c r="N54" s="364"/>
      <c r="O54" s="357"/>
      <c r="P54" s="292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4"/>
      <c r="DK54" s="174"/>
      <c r="DL54" s="174"/>
      <c r="DM54" s="174"/>
      <c r="DN54" s="174"/>
      <c r="DO54" s="174"/>
      <c r="DP54" s="174"/>
      <c r="DQ54" s="174"/>
      <c r="DR54" s="174"/>
      <c r="DS54" s="174"/>
      <c r="DT54" s="174"/>
      <c r="DU54" s="174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74"/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  <c r="FB54" s="174"/>
      <c r="FC54" s="174"/>
      <c r="FD54" s="174"/>
      <c r="FE54" s="174"/>
      <c r="FF54" s="174"/>
      <c r="FG54" s="174"/>
      <c r="FH54" s="174"/>
      <c r="FI54" s="174"/>
      <c r="FJ54" s="174"/>
      <c r="FK54" s="174"/>
      <c r="FL54" s="174"/>
      <c r="FM54" s="174"/>
      <c r="FN54" s="174"/>
      <c r="FO54" s="174"/>
      <c r="FP54" s="174"/>
      <c r="FQ54" s="174"/>
      <c r="FR54" s="174"/>
      <c r="FS54" s="174"/>
      <c r="FT54" s="174"/>
      <c r="FU54" s="174"/>
      <c r="FV54" s="174"/>
      <c r="FW54" s="174"/>
      <c r="FX54" s="174"/>
      <c r="FY54" s="174"/>
      <c r="FZ54" s="174"/>
      <c r="GA54" s="174"/>
      <c r="GB54" s="174"/>
      <c r="GC54" s="174"/>
      <c r="GD54" s="174"/>
      <c r="GE54" s="174"/>
      <c r="GF54" s="174"/>
      <c r="GG54" s="174"/>
      <c r="GH54" s="174"/>
      <c r="GI54" s="174"/>
      <c r="GJ54" s="174"/>
      <c r="GK54" s="174"/>
      <c r="GL54" s="174"/>
      <c r="GM54" s="174"/>
      <c r="GN54" s="174"/>
      <c r="GO54" s="174"/>
      <c r="GP54" s="174"/>
      <c r="GQ54" s="174"/>
      <c r="GR54" s="174"/>
      <c r="GS54" s="174"/>
      <c r="GT54" s="174"/>
      <c r="GU54" s="174"/>
      <c r="GV54" s="174"/>
      <c r="GW54" s="174"/>
      <c r="GX54" s="174"/>
      <c r="GY54" s="174"/>
      <c r="GZ54" s="174"/>
      <c r="HA54" s="174"/>
      <c r="HB54" s="174"/>
      <c r="HC54" s="174"/>
      <c r="HD54" s="174"/>
      <c r="HE54" s="174"/>
      <c r="HF54" s="174"/>
      <c r="HG54" s="174"/>
      <c r="HH54" s="174"/>
      <c r="HI54" s="174"/>
      <c r="HJ54" s="174"/>
      <c r="HK54" s="174"/>
      <c r="HL54" s="174"/>
      <c r="HM54" s="174"/>
      <c r="HN54" s="174"/>
      <c r="HO54" s="174"/>
      <c r="HP54" s="174"/>
      <c r="HQ54" s="174"/>
      <c r="HR54" s="174"/>
      <c r="HS54" s="174"/>
      <c r="HT54" s="174"/>
      <c r="HU54" s="174"/>
      <c r="HV54" s="174"/>
      <c r="HW54" s="174"/>
      <c r="HX54" s="174"/>
      <c r="HY54" s="174"/>
      <c r="HZ54" s="174"/>
      <c r="IA54" s="174"/>
      <c r="IB54" s="174"/>
      <c r="IC54" s="174"/>
      <c r="ID54" s="174"/>
      <c r="IE54" s="174"/>
      <c r="IF54" s="174"/>
      <c r="IG54" s="174"/>
      <c r="IH54" s="174"/>
      <c r="II54" s="174"/>
      <c r="IJ54" s="174"/>
      <c r="IK54" s="174"/>
      <c r="IL54" s="174"/>
      <c r="IM54" s="174"/>
      <c r="IN54" s="174"/>
      <c r="IO54" s="174"/>
      <c r="IP54" s="174"/>
      <c r="IQ54" s="174"/>
      <c r="IR54" s="174"/>
      <c r="IS54" s="174"/>
      <c r="IT54" s="174"/>
      <c r="IU54" s="174"/>
      <c r="IV54" s="174"/>
    </row>
    <row r="55" spans="1:256" s="287" customFormat="1" ht="18" customHeight="1" x14ac:dyDescent="0.35">
      <c r="A55" s="301">
        <v>47</v>
      </c>
      <c r="B55" s="295"/>
      <c r="C55" s="175"/>
      <c r="D55" s="1211" t="s">
        <v>268</v>
      </c>
      <c r="E55" s="183"/>
      <c r="F55" s="291"/>
      <c r="G55" s="184"/>
      <c r="H55" s="373"/>
      <c r="I55" s="388"/>
      <c r="J55" s="384"/>
      <c r="K55" s="364">
        <v>73</v>
      </c>
      <c r="L55" s="364"/>
      <c r="M55" s="364">
        <v>7</v>
      </c>
      <c r="N55" s="364"/>
      <c r="O55" s="357">
        <f>SUM(I55:N55)</f>
        <v>80</v>
      </c>
      <c r="P55" s="292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  <c r="FB55" s="174"/>
      <c r="FC55" s="174"/>
      <c r="FD55" s="174"/>
      <c r="FE55" s="174"/>
      <c r="FF55" s="174"/>
      <c r="FG55" s="174"/>
      <c r="FH55" s="174"/>
      <c r="FI55" s="174"/>
      <c r="FJ55" s="174"/>
      <c r="FK55" s="174"/>
      <c r="FL55" s="174"/>
      <c r="FM55" s="174"/>
      <c r="FN55" s="174"/>
      <c r="FO55" s="174"/>
      <c r="FP55" s="174"/>
      <c r="FQ55" s="174"/>
      <c r="FR55" s="174"/>
      <c r="FS55" s="174"/>
      <c r="FT55" s="174"/>
      <c r="FU55" s="174"/>
      <c r="FV55" s="174"/>
      <c r="FW55" s="174"/>
      <c r="FX55" s="174"/>
      <c r="FY55" s="174"/>
      <c r="FZ55" s="174"/>
      <c r="GA55" s="174"/>
      <c r="GB55" s="174"/>
      <c r="GC55" s="174"/>
      <c r="GD55" s="174"/>
      <c r="GE55" s="174"/>
      <c r="GF55" s="174"/>
      <c r="GG55" s="174"/>
      <c r="GH55" s="174"/>
      <c r="GI55" s="174"/>
      <c r="GJ55" s="174"/>
      <c r="GK55" s="174"/>
      <c r="GL55" s="174"/>
      <c r="GM55" s="174"/>
      <c r="GN55" s="174"/>
      <c r="GO55" s="174"/>
      <c r="GP55" s="174"/>
      <c r="GQ55" s="174"/>
      <c r="GR55" s="174"/>
      <c r="GS55" s="174"/>
      <c r="GT55" s="174"/>
      <c r="GU55" s="174"/>
      <c r="GV55" s="174"/>
      <c r="GW55" s="174"/>
      <c r="GX55" s="174"/>
      <c r="GY55" s="174"/>
      <c r="GZ55" s="174"/>
      <c r="HA55" s="174"/>
      <c r="HB55" s="174"/>
      <c r="HC55" s="174"/>
      <c r="HD55" s="174"/>
      <c r="HE55" s="174"/>
      <c r="HF55" s="174"/>
      <c r="HG55" s="174"/>
      <c r="HH55" s="174"/>
      <c r="HI55" s="174"/>
      <c r="HJ55" s="174"/>
      <c r="HK55" s="174"/>
      <c r="HL55" s="174"/>
      <c r="HM55" s="174"/>
      <c r="HN55" s="174"/>
      <c r="HO55" s="174"/>
      <c r="HP55" s="174"/>
      <c r="HQ55" s="174"/>
      <c r="HR55" s="174"/>
      <c r="HS55" s="174"/>
      <c r="HT55" s="174"/>
      <c r="HU55" s="174"/>
      <c r="HV55" s="174"/>
      <c r="HW55" s="174"/>
      <c r="HX55" s="174"/>
      <c r="HY55" s="174"/>
      <c r="HZ55" s="174"/>
      <c r="IA55" s="174"/>
      <c r="IB55" s="174"/>
      <c r="IC55" s="174"/>
      <c r="ID55" s="174"/>
      <c r="IE55" s="174"/>
      <c r="IF55" s="174"/>
      <c r="IG55" s="174"/>
      <c r="IH55" s="174"/>
      <c r="II55" s="174"/>
      <c r="IJ55" s="174"/>
      <c r="IK55" s="174"/>
      <c r="IL55" s="174"/>
      <c r="IM55" s="174"/>
      <c r="IN55" s="174"/>
      <c r="IO55" s="174"/>
      <c r="IP55" s="174"/>
      <c r="IQ55" s="174"/>
      <c r="IR55" s="174"/>
      <c r="IS55" s="174"/>
      <c r="IT55" s="174"/>
      <c r="IU55" s="174"/>
      <c r="IV55" s="174"/>
    </row>
    <row r="56" spans="1:256" s="287" customFormat="1" ht="18" customHeight="1" x14ac:dyDescent="0.35">
      <c r="A56" s="301">
        <v>48</v>
      </c>
      <c r="B56" s="295"/>
      <c r="C56" s="175"/>
      <c r="D56" s="225" t="s">
        <v>796</v>
      </c>
      <c r="E56" s="183"/>
      <c r="F56" s="291"/>
      <c r="G56" s="184"/>
      <c r="H56" s="373"/>
      <c r="I56" s="370"/>
      <c r="J56" s="288"/>
      <c r="K56" s="632">
        <v>73</v>
      </c>
      <c r="L56" s="632"/>
      <c r="M56" s="632">
        <v>7</v>
      </c>
      <c r="N56" s="632"/>
      <c r="O56" s="296">
        <f t="shared" ref="O56:O57" si="11">SUM(I56:N56)</f>
        <v>80</v>
      </c>
      <c r="P56" s="292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  <c r="EN56" s="174"/>
      <c r="EO56" s="174"/>
      <c r="EP56" s="174"/>
      <c r="EQ56" s="174"/>
      <c r="ER56" s="174"/>
      <c r="ES56" s="174"/>
      <c r="ET56" s="174"/>
      <c r="EU56" s="174"/>
      <c r="EV56" s="174"/>
      <c r="EW56" s="174"/>
      <c r="EX56" s="174"/>
      <c r="EY56" s="174"/>
      <c r="EZ56" s="174"/>
      <c r="FA56" s="174"/>
      <c r="FB56" s="174"/>
      <c r="FC56" s="174"/>
      <c r="FD56" s="174"/>
      <c r="FE56" s="174"/>
      <c r="FF56" s="174"/>
      <c r="FG56" s="174"/>
      <c r="FH56" s="174"/>
      <c r="FI56" s="174"/>
      <c r="FJ56" s="174"/>
      <c r="FK56" s="174"/>
      <c r="FL56" s="174"/>
      <c r="FM56" s="174"/>
      <c r="FN56" s="174"/>
      <c r="FO56" s="174"/>
      <c r="FP56" s="174"/>
      <c r="FQ56" s="174"/>
      <c r="FR56" s="174"/>
      <c r="FS56" s="174"/>
      <c r="FT56" s="174"/>
      <c r="FU56" s="174"/>
      <c r="FV56" s="174"/>
      <c r="FW56" s="174"/>
      <c r="FX56" s="174"/>
      <c r="FY56" s="174"/>
      <c r="FZ56" s="174"/>
      <c r="GA56" s="174"/>
      <c r="GB56" s="174"/>
      <c r="GC56" s="174"/>
      <c r="GD56" s="174"/>
      <c r="GE56" s="174"/>
      <c r="GF56" s="174"/>
      <c r="GG56" s="174"/>
      <c r="GH56" s="174"/>
      <c r="GI56" s="174"/>
      <c r="GJ56" s="174"/>
      <c r="GK56" s="174"/>
      <c r="GL56" s="174"/>
      <c r="GM56" s="174"/>
      <c r="GN56" s="174"/>
      <c r="GO56" s="174"/>
      <c r="GP56" s="174"/>
      <c r="GQ56" s="174"/>
      <c r="GR56" s="174"/>
      <c r="GS56" s="174"/>
      <c r="GT56" s="174"/>
      <c r="GU56" s="174"/>
      <c r="GV56" s="174"/>
      <c r="GW56" s="174"/>
      <c r="GX56" s="174"/>
      <c r="GY56" s="174"/>
      <c r="GZ56" s="174"/>
      <c r="HA56" s="174"/>
      <c r="HB56" s="174"/>
      <c r="HC56" s="174"/>
      <c r="HD56" s="174"/>
      <c r="HE56" s="174"/>
      <c r="HF56" s="174"/>
      <c r="HG56" s="174"/>
      <c r="HH56" s="174"/>
      <c r="HI56" s="174"/>
      <c r="HJ56" s="174"/>
      <c r="HK56" s="174"/>
      <c r="HL56" s="174"/>
      <c r="HM56" s="174"/>
      <c r="HN56" s="174"/>
      <c r="HO56" s="174"/>
      <c r="HP56" s="174"/>
      <c r="HQ56" s="174"/>
      <c r="HR56" s="174"/>
      <c r="HS56" s="174"/>
      <c r="HT56" s="174"/>
      <c r="HU56" s="174"/>
      <c r="HV56" s="174"/>
      <c r="HW56" s="174"/>
      <c r="HX56" s="174"/>
      <c r="HY56" s="174"/>
      <c r="HZ56" s="174"/>
      <c r="IA56" s="174"/>
      <c r="IB56" s="174"/>
      <c r="IC56" s="174"/>
      <c r="ID56" s="174"/>
      <c r="IE56" s="174"/>
      <c r="IF56" s="174"/>
      <c r="IG56" s="174"/>
      <c r="IH56" s="174"/>
      <c r="II56" s="174"/>
      <c r="IJ56" s="174"/>
      <c r="IK56" s="174"/>
      <c r="IL56" s="174"/>
      <c r="IM56" s="174"/>
      <c r="IN56" s="174"/>
      <c r="IO56" s="174"/>
      <c r="IP56" s="174"/>
      <c r="IQ56" s="174"/>
      <c r="IR56" s="174"/>
      <c r="IS56" s="174"/>
      <c r="IT56" s="174"/>
      <c r="IU56" s="174"/>
      <c r="IV56" s="174"/>
    </row>
    <row r="57" spans="1:256" s="287" customFormat="1" ht="18" customHeight="1" x14ac:dyDescent="0.35">
      <c r="A57" s="301">
        <v>49</v>
      </c>
      <c r="B57" s="295"/>
      <c r="C57" s="175"/>
      <c r="D57" s="187" t="s">
        <v>860</v>
      </c>
      <c r="E57" s="183"/>
      <c r="F57" s="291"/>
      <c r="G57" s="184"/>
      <c r="H57" s="373"/>
      <c r="I57" s="1197"/>
      <c r="J57" s="1193"/>
      <c r="K57" s="1193"/>
      <c r="L57" s="1193"/>
      <c r="M57" s="1193"/>
      <c r="N57" s="1193"/>
      <c r="O57" s="1191">
        <f t="shared" si="11"/>
        <v>0</v>
      </c>
      <c r="P57" s="292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74"/>
      <c r="EE57" s="174"/>
      <c r="EF57" s="174"/>
      <c r="EG57" s="174"/>
      <c r="EH57" s="174"/>
      <c r="EI57" s="174"/>
      <c r="EJ57" s="174"/>
      <c r="EK57" s="174"/>
      <c r="EL57" s="174"/>
      <c r="EM57" s="174"/>
      <c r="EN57" s="174"/>
      <c r="EO57" s="174"/>
      <c r="EP57" s="174"/>
      <c r="EQ57" s="174"/>
      <c r="ER57" s="174"/>
      <c r="ES57" s="174"/>
      <c r="ET57" s="174"/>
      <c r="EU57" s="174"/>
      <c r="EV57" s="174"/>
      <c r="EW57" s="174"/>
      <c r="EX57" s="174"/>
      <c r="EY57" s="174"/>
      <c r="EZ57" s="174"/>
      <c r="FA57" s="174"/>
      <c r="FB57" s="174"/>
      <c r="FC57" s="174"/>
      <c r="FD57" s="174"/>
      <c r="FE57" s="174"/>
      <c r="FF57" s="174"/>
      <c r="FG57" s="174"/>
      <c r="FH57" s="174"/>
      <c r="FI57" s="174"/>
      <c r="FJ57" s="174"/>
      <c r="FK57" s="174"/>
      <c r="FL57" s="174"/>
      <c r="FM57" s="174"/>
      <c r="FN57" s="174"/>
      <c r="FO57" s="174"/>
      <c r="FP57" s="174"/>
      <c r="FQ57" s="174"/>
      <c r="FR57" s="174"/>
      <c r="FS57" s="174"/>
      <c r="FT57" s="174"/>
      <c r="FU57" s="174"/>
      <c r="FV57" s="174"/>
      <c r="FW57" s="174"/>
      <c r="FX57" s="174"/>
      <c r="FY57" s="174"/>
      <c r="FZ57" s="174"/>
      <c r="GA57" s="174"/>
      <c r="GB57" s="174"/>
      <c r="GC57" s="174"/>
      <c r="GD57" s="174"/>
      <c r="GE57" s="174"/>
      <c r="GF57" s="174"/>
      <c r="GG57" s="174"/>
      <c r="GH57" s="174"/>
      <c r="GI57" s="174"/>
      <c r="GJ57" s="174"/>
      <c r="GK57" s="174"/>
      <c r="GL57" s="174"/>
      <c r="GM57" s="174"/>
      <c r="GN57" s="174"/>
      <c r="GO57" s="174"/>
      <c r="GP57" s="174"/>
      <c r="GQ57" s="174"/>
      <c r="GR57" s="174"/>
      <c r="GS57" s="174"/>
      <c r="GT57" s="174"/>
      <c r="GU57" s="174"/>
      <c r="GV57" s="174"/>
      <c r="GW57" s="174"/>
      <c r="GX57" s="174"/>
      <c r="GY57" s="174"/>
      <c r="GZ57" s="174"/>
      <c r="HA57" s="174"/>
      <c r="HB57" s="174"/>
      <c r="HC57" s="174"/>
      <c r="HD57" s="174"/>
      <c r="HE57" s="174"/>
      <c r="HF57" s="174"/>
      <c r="HG57" s="174"/>
      <c r="HH57" s="174"/>
      <c r="HI57" s="174"/>
      <c r="HJ57" s="174"/>
      <c r="HK57" s="174"/>
      <c r="HL57" s="174"/>
      <c r="HM57" s="174"/>
      <c r="HN57" s="174"/>
      <c r="HO57" s="174"/>
      <c r="HP57" s="174"/>
      <c r="HQ57" s="174"/>
      <c r="HR57" s="174"/>
      <c r="HS57" s="174"/>
      <c r="HT57" s="174"/>
      <c r="HU57" s="174"/>
      <c r="HV57" s="174"/>
      <c r="HW57" s="174"/>
      <c r="HX57" s="174"/>
      <c r="HY57" s="174"/>
      <c r="HZ57" s="174"/>
      <c r="IA57" s="174"/>
      <c r="IB57" s="174"/>
      <c r="IC57" s="174"/>
      <c r="ID57" s="174"/>
      <c r="IE57" s="174"/>
      <c r="IF57" s="174"/>
      <c r="IG57" s="174"/>
      <c r="IH57" s="174"/>
      <c r="II57" s="174"/>
      <c r="IJ57" s="174"/>
      <c r="IK57" s="174"/>
      <c r="IL57" s="174"/>
      <c r="IM57" s="174"/>
      <c r="IN57" s="174"/>
      <c r="IO57" s="174"/>
      <c r="IP57" s="174"/>
      <c r="IQ57" s="174"/>
      <c r="IR57" s="174"/>
      <c r="IS57" s="174"/>
      <c r="IT57" s="174"/>
      <c r="IU57" s="174"/>
      <c r="IV57" s="174"/>
    </row>
    <row r="58" spans="1:256" s="287" customFormat="1" ht="50.25" x14ac:dyDescent="0.35">
      <c r="A58" s="301">
        <v>50</v>
      </c>
      <c r="B58" s="295"/>
      <c r="C58" s="175">
        <v>13</v>
      </c>
      <c r="D58" s="176" t="s">
        <v>565</v>
      </c>
      <c r="E58" s="183">
        <f>F58+G58+O60+P59</f>
        <v>30000</v>
      </c>
      <c r="F58" s="291"/>
      <c r="G58" s="184"/>
      <c r="H58" s="373" t="s">
        <v>24</v>
      </c>
      <c r="I58" s="388"/>
      <c r="J58" s="384"/>
      <c r="K58" s="364"/>
      <c r="L58" s="364"/>
      <c r="M58" s="364"/>
      <c r="N58" s="364"/>
      <c r="O58" s="357"/>
      <c r="P58" s="292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  <c r="EN58" s="174"/>
      <c r="EO58" s="174"/>
      <c r="EP58" s="174"/>
      <c r="EQ58" s="174"/>
      <c r="ER58" s="174"/>
      <c r="ES58" s="174"/>
      <c r="ET58" s="174"/>
      <c r="EU58" s="174"/>
      <c r="EV58" s="174"/>
      <c r="EW58" s="174"/>
      <c r="EX58" s="174"/>
      <c r="EY58" s="174"/>
      <c r="EZ58" s="174"/>
      <c r="FA58" s="174"/>
      <c r="FB58" s="174"/>
      <c r="FC58" s="174"/>
      <c r="FD58" s="174"/>
      <c r="FE58" s="174"/>
      <c r="FF58" s="174"/>
      <c r="FG58" s="174"/>
      <c r="FH58" s="174"/>
      <c r="FI58" s="174"/>
      <c r="FJ58" s="174"/>
      <c r="FK58" s="174"/>
      <c r="FL58" s="174"/>
      <c r="FM58" s="174"/>
      <c r="FN58" s="174"/>
      <c r="FO58" s="174"/>
      <c r="FP58" s="174"/>
      <c r="FQ58" s="174"/>
      <c r="FR58" s="174"/>
      <c r="FS58" s="174"/>
      <c r="FT58" s="174"/>
      <c r="FU58" s="174"/>
      <c r="FV58" s="174"/>
      <c r="FW58" s="174"/>
      <c r="FX58" s="174"/>
      <c r="FY58" s="174"/>
      <c r="FZ58" s="174"/>
      <c r="GA58" s="174"/>
      <c r="GB58" s="174"/>
      <c r="GC58" s="174"/>
      <c r="GD58" s="174"/>
      <c r="GE58" s="174"/>
      <c r="GF58" s="174"/>
      <c r="GG58" s="174"/>
      <c r="GH58" s="174"/>
      <c r="GI58" s="174"/>
      <c r="GJ58" s="174"/>
      <c r="GK58" s="174"/>
      <c r="GL58" s="174"/>
      <c r="GM58" s="174"/>
      <c r="GN58" s="174"/>
      <c r="GO58" s="174"/>
      <c r="GP58" s="174"/>
      <c r="GQ58" s="174"/>
      <c r="GR58" s="174"/>
      <c r="GS58" s="174"/>
      <c r="GT58" s="174"/>
      <c r="GU58" s="174"/>
      <c r="GV58" s="174"/>
      <c r="GW58" s="174"/>
      <c r="GX58" s="174"/>
      <c r="GY58" s="174"/>
      <c r="GZ58" s="174"/>
      <c r="HA58" s="174"/>
      <c r="HB58" s="174"/>
      <c r="HC58" s="174"/>
      <c r="HD58" s="174"/>
      <c r="HE58" s="174"/>
      <c r="HF58" s="174"/>
      <c r="HG58" s="174"/>
      <c r="HH58" s="174"/>
      <c r="HI58" s="174"/>
      <c r="HJ58" s="174"/>
      <c r="HK58" s="174"/>
      <c r="HL58" s="174"/>
      <c r="HM58" s="174"/>
      <c r="HN58" s="174"/>
      <c r="HO58" s="174"/>
      <c r="HP58" s="174"/>
      <c r="HQ58" s="174"/>
      <c r="HR58" s="174"/>
      <c r="HS58" s="174"/>
      <c r="HT58" s="174"/>
      <c r="HU58" s="174"/>
      <c r="HV58" s="174"/>
      <c r="HW58" s="174"/>
      <c r="HX58" s="174"/>
      <c r="HY58" s="174"/>
      <c r="HZ58" s="174"/>
      <c r="IA58" s="174"/>
      <c r="IB58" s="174"/>
      <c r="IC58" s="174"/>
      <c r="ID58" s="174"/>
      <c r="IE58" s="174"/>
      <c r="IF58" s="174"/>
      <c r="IG58" s="174"/>
      <c r="IH58" s="174"/>
      <c r="II58" s="174"/>
      <c r="IJ58" s="174"/>
      <c r="IK58" s="174"/>
      <c r="IL58" s="174"/>
      <c r="IM58" s="174"/>
      <c r="IN58" s="174"/>
      <c r="IO58" s="174"/>
      <c r="IP58" s="174"/>
      <c r="IQ58" s="174"/>
      <c r="IR58" s="174"/>
      <c r="IS58" s="174"/>
      <c r="IT58" s="174"/>
      <c r="IU58" s="174"/>
      <c r="IV58" s="174"/>
    </row>
    <row r="59" spans="1:256" s="287" customFormat="1" ht="18" customHeight="1" x14ac:dyDescent="0.35">
      <c r="A59" s="301">
        <v>51</v>
      </c>
      <c r="B59" s="554"/>
      <c r="C59" s="1169"/>
      <c r="D59" s="1213" t="s">
        <v>268</v>
      </c>
      <c r="E59" s="420"/>
      <c r="F59" s="1214"/>
      <c r="G59" s="421"/>
      <c r="H59" s="422"/>
      <c r="I59" s="634"/>
      <c r="J59" s="417"/>
      <c r="K59" s="416">
        <v>5000</v>
      </c>
      <c r="L59" s="416"/>
      <c r="M59" s="416">
        <v>25000</v>
      </c>
      <c r="N59" s="416"/>
      <c r="O59" s="418">
        <f>SUM(I59:N59)</f>
        <v>30000</v>
      </c>
      <c r="P59" s="411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74"/>
      <c r="DY59" s="174"/>
      <c r="DZ59" s="174"/>
      <c r="EA59" s="174"/>
      <c r="EB59" s="174"/>
      <c r="EC59" s="174"/>
      <c r="ED59" s="174"/>
      <c r="EE59" s="174"/>
      <c r="EF59" s="174"/>
      <c r="EG59" s="174"/>
      <c r="EH59" s="174"/>
      <c r="EI59" s="174"/>
      <c r="EJ59" s="174"/>
      <c r="EK59" s="174"/>
      <c r="EL59" s="174"/>
      <c r="EM59" s="174"/>
      <c r="EN59" s="174"/>
      <c r="EO59" s="174"/>
      <c r="EP59" s="174"/>
      <c r="EQ59" s="174"/>
      <c r="ER59" s="174"/>
      <c r="ES59" s="174"/>
      <c r="ET59" s="174"/>
      <c r="EU59" s="174"/>
      <c r="EV59" s="174"/>
      <c r="EW59" s="174"/>
      <c r="EX59" s="174"/>
      <c r="EY59" s="174"/>
      <c r="EZ59" s="174"/>
      <c r="FA59" s="174"/>
      <c r="FB59" s="174"/>
      <c r="FC59" s="174"/>
      <c r="FD59" s="174"/>
      <c r="FE59" s="174"/>
      <c r="FF59" s="174"/>
      <c r="FG59" s="174"/>
      <c r="FH59" s="174"/>
      <c r="FI59" s="174"/>
      <c r="FJ59" s="174"/>
      <c r="FK59" s="174"/>
      <c r="FL59" s="174"/>
      <c r="FM59" s="174"/>
      <c r="FN59" s="174"/>
      <c r="FO59" s="174"/>
      <c r="FP59" s="174"/>
      <c r="FQ59" s="174"/>
      <c r="FR59" s="174"/>
      <c r="FS59" s="174"/>
      <c r="FT59" s="174"/>
      <c r="FU59" s="174"/>
      <c r="FV59" s="174"/>
      <c r="FW59" s="174"/>
      <c r="FX59" s="174"/>
      <c r="FY59" s="174"/>
      <c r="FZ59" s="174"/>
      <c r="GA59" s="174"/>
      <c r="GB59" s="174"/>
      <c r="GC59" s="174"/>
      <c r="GD59" s="174"/>
      <c r="GE59" s="174"/>
      <c r="GF59" s="174"/>
      <c r="GG59" s="174"/>
      <c r="GH59" s="174"/>
      <c r="GI59" s="174"/>
      <c r="GJ59" s="174"/>
      <c r="GK59" s="174"/>
      <c r="GL59" s="174"/>
      <c r="GM59" s="174"/>
      <c r="GN59" s="174"/>
      <c r="GO59" s="174"/>
      <c r="GP59" s="174"/>
      <c r="GQ59" s="174"/>
      <c r="GR59" s="174"/>
      <c r="GS59" s="174"/>
      <c r="GT59" s="174"/>
      <c r="GU59" s="174"/>
      <c r="GV59" s="174"/>
      <c r="GW59" s="174"/>
      <c r="GX59" s="174"/>
      <c r="GY59" s="174"/>
      <c r="GZ59" s="174"/>
      <c r="HA59" s="174"/>
      <c r="HB59" s="174"/>
      <c r="HC59" s="174"/>
      <c r="HD59" s="174"/>
      <c r="HE59" s="174"/>
      <c r="HF59" s="174"/>
      <c r="HG59" s="174"/>
      <c r="HH59" s="174"/>
      <c r="HI59" s="174"/>
      <c r="HJ59" s="174"/>
      <c r="HK59" s="174"/>
      <c r="HL59" s="174"/>
      <c r="HM59" s="174"/>
      <c r="HN59" s="174"/>
      <c r="HO59" s="174"/>
      <c r="HP59" s="174"/>
      <c r="HQ59" s="174"/>
      <c r="HR59" s="174"/>
      <c r="HS59" s="174"/>
      <c r="HT59" s="174"/>
      <c r="HU59" s="174"/>
      <c r="HV59" s="174"/>
      <c r="HW59" s="174"/>
      <c r="HX59" s="174"/>
      <c r="HY59" s="174"/>
      <c r="HZ59" s="174"/>
      <c r="IA59" s="174"/>
      <c r="IB59" s="174"/>
      <c r="IC59" s="174"/>
      <c r="ID59" s="174"/>
      <c r="IE59" s="174"/>
      <c r="IF59" s="174"/>
      <c r="IG59" s="174"/>
      <c r="IH59" s="174"/>
      <c r="II59" s="174"/>
      <c r="IJ59" s="174"/>
      <c r="IK59" s="174"/>
      <c r="IL59" s="174"/>
      <c r="IM59" s="174"/>
      <c r="IN59" s="174"/>
      <c r="IO59" s="174"/>
      <c r="IP59" s="174"/>
      <c r="IQ59" s="174"/>
      <c r="IR59" s="174"/>
      <c r="IS59" s="174"/>
      <c r="IT59" s="174"/>
      <c r="IU59" s="174"/>
      <c r="IV59" s="174"/>
    </row>
    <row r="60" spans="1:256" s="287" customFormat="1" ht="18" customHeight="1" x14ac:dyDescent="0.35">
      <c r="A60" s="301">
        <v>52</v>
      </c>
      <c r="B60" s="295"/>
      <c r="C60" s="175"/>
      <c r="D60" s="225" t="s">
        <v>796</v>
      </c>
      <c r="E60" s="183"/>
      <c r="F60" s="291"/>
      <c r="G60" s="1216"/>
      <c r="H60" s="1215"/>
      <c r="I60" s="288"/>
      <c r="J60" s="288"/>
      <c r="K60" s="632">
        <v>5000</v>
      </c>
      <c r="L60" s="632"/>
      <c r="M60" s="632">
        <v>25000</v>
      </c>
      <c r="N60" s="632"/>
      <c r="O60" s="1202">
        <f t="shared" ref="O60:O61" si="12">SUM(I60:N60)</f>
        <v>30000</v>
      </c>
      <c r="P60" s="556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4"/>
      <c r="FH60" s="174"/>
      <c r="FI60" s="174"/>
      <c r="FJ60" s="174"/>
      <c r="FK60" s="174"/>
      <c r="FL60" s="174"/>
      <c r="FM60" s="174"/>
      <c r="FN60" s="174"/>
      <c r="FO60" s="174"/>
      <c r="FP60" s="174"/>
      <c r="FQ60" s="174"/>
      <c r="FR60" s="174"/>
      <c r="FS60" s="174"/>
      <c r="FT60" s="174"/>
      <c r="FU60" s="174"/>
      <c r="FV60" s="174"/>
      <c r="FW60" s="174"/>
      <c r="FX60" s="174"/>
      <c r="FY60" s="174"/>
      <c r="FZ60" s="174"/>
      <c r="GA60" s="174"/>
      <c r="GB60" s="174"/>
      <c r="GC60" s="174"/>
      <c r="GD60" s="174"/>
      <c r="GE60" s="174"/>
      <c r="GF60" s="174"/>
      <c r="GG60" s="174"/>
      <c r="GH60" s="174"/>
      <c r="GI60" s="174"/>
      <c r="GJ60" s="174"/>
      <c r="GK60" s="174"/>
      <c r="GL60" s="174"/>
      <c r="GM60" s="174"/>
      <c r="GN60" s="174"/>
      <c r="GO60" s="174"/>
      <c r="GP60" s="174"/>
      <c r="GQ60" s="174"/>
      <c r="GR60" s="174"/>
      <c r="GS60" s="174"/>
      <c r="GT60" s="174"/>
      <c r="GU60" s="174"/>
      <c r="GV60" s="174"/>
      <c r="GW60" s="174"/>
      <c r="GX60" s="174"/>
      <c r="GY60" s="174"/>
      <c r="GZ60" s="174"/>
      <c r="HA60" s="174"/>
      <c r="HB60" s="174"/>
      <c r="HC60" s="174"/>
      <c r="HD60" s="174"/>
      <c r="HE60" s="174"/>
      <c r="HF60" s="174"/>
      <c r="HG60" s="174"/>
      <c r="HH60" s="174"/>
      <c r="HI60" s="174"/>
      <c r="HJ60" s="174"/>
      <c r="HK60" s="174"/>
      <c r="HL60" s="174"/>
      <c r="HM60" s="174"/>
      <c r="HN60" s="174"/>
      <c r="HO60" s="174"/>
      <c r="HP60" s="174"/>
      <c r="HQ60" s="174"/>
      <c r="HR60" s="174"/>
      <c r="HS60" s="174"/>
      <c r="HT60" s="174"/>
      <c r="HU60" s="174"/>
      <c r="HV60" s="174"/>
      <c r="HW60" s="174"/>
      <c r="HX60" s="174"/>
      <c r="HY60" s="174"/>
      <c r="HZ60" s="174"/>
      <c r="IA60" s="174"/>
      <c r="IB60" s="174"/>
      <c r="IC60" s="174"/>
      <c r="ID60" s="174"/>
      <c r="IE60" s="174"/>
      <c r="IF60" s="174"/>
      <c r="IG60" s="174"/>
      <c r="IH60" s="174"/>
      <c r="II60" s="174"/>
      <c r="IJ60" s="174"/>
      <c r="IK60" s="174"/>
      <c r="IL60" s="174"/>
      <c r="IM60" s="174"/>
      <c r="IN60" s="174"/>
      <c r="IO60" s="174"/>
      <c r="IP60" s="174"/>
      <c r="IQ60" s="174"/>
      <c r="IR60" s="174"/>
      <c r="IS60" s="174"/>
      <c r="IT60" s="174"/>
      <c r="IU60" s="174"/>
      <c r="IV60" s="174"/>
    </row>
    <row r="61" spans="1:256" s="287" customFormat="1" ht="18" customHeight="1" thickBot="1" x14ac:dyDescent="0.4">
      <c r="A61" s="301">
        <v>53</v>
      </c>
      <c r="B61" s="295"/>
      <c r="C61" s="175"/>
      <c r="D61" s="187" t="s">
        <v>860</v>
      </c>
      <c r="E61" s="183"/>
      <c r="F61" s="291"/>
      <c r="G61" s="1216"/>
      <c r="H61" s="1215"/>
      <c r="I61" s="1194"/>
      <c r="J61" s="1194"/>
      <c r="K61" s="1194"/>
      <c r="L61" s="1194"/>
      <c r="M61" s="1194"/>
      <c r="N61" s="1194"/>
      <c r="O61" s="1204">
        <f t="shared" si="12"/>
        <v>0</v>
      </c>
      <c r="P61" s="556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4"/>
      <c r="EX61" s="174"/>
      <c r="EY61" s="174"/>
      <c r="EZ61" s="174"/>
      <c r="FA61" s="174"/>
      <c r="FB61" s="174"/>
      <c r="FC61" s="174"/>
      <c r="FD61" s="174"/>
      <c r="FE61" s="174"/>
      <c r="FF61" s="174"/>
      <c r="FG61" s="174"/>
      <c r="FH61" s="174"/>
      <c r="FI61" s="174"/>
      <c r="FJ61" s="174"/>
      <c r="FK61" s="174"/>
      <c r="FL61" s="174"/>
      <c r="FM61" s="174"/>
      <c r="FN61" s="174"/>
      <c r="FO61" s="174"/>
      <c r="FP61" s="174"/>
      <c r="FQ61" s="174"/>
      <c r="FR61" s="174"/>
      <c r="FS61" s="174"/>
      <c r="FT61" s="174"/>
      <c r="FU61" s="174"/>
      <c r="FV61" s="174"/>
      <c r="FW61" s="174"/>
      <c r="FX61" s="174"/>
      <c r="FY61" s="174"/>
      <c r="FZ61" s="174"/>
      <c r="GA61" s="174"/>
      <c r="GB61" s="174"/>
      <c r="GC61" s="174"/>
      <c r="GD61" s="174"/>
      <c r="GE61" s="174"/>
      <c r="GF61" s="174"/>
      <c r="GG61" s="174"/>
      <c r="GH61" s="174"/>
      <c r="GI61" s="174"/>
      <c r="GJ61" s="174"/>
      <c r="GK61" s="174"/>
      <c r="GL61" s="174"/>
      <c r="GM61" s="174"/>
      <c r="GN61" s="174"/>
      <c r="GO61" s="174"/>
      <c r="GP61" s="174"/>
      <c r="GQ61" s="174"/>
      <c r="GR61" s="174"/>
      <c r="GS61" s="174"/>
      <c r="GT61" s="174"/>
      <c r="GU61" s="174"/>
      <c r="GV61" s="174"/>
      <c r="GW61" s="174"/>
      <c r="GX61" s="174"/>
      <c r="GY61" s="174"/>
      <c r="GZ61" s="174"/>
      <c r="HA61" s="174"/>
      <c r="HB61" s="174"/>
      <c r="HC61" s="174"/>
      <c r="HD61" s="174"/>
      <c r="HE61" s="174"/>
      <c r="HF61" s="174"/>
      <c r="HG61" s="174"/>
      <c r="HH61" s="174"/>
      <c r="HI61" s="174"/>
      <c r="HJ61" s="174"/>
      <c r="HK61" s="174"/>
      <c r="HL61" s="174"/>
      <c r="HM61" s="174"/>
      <c r="HN61" s="174"/>
      <c r="HO61" s="174"/>
      <c r="HP61" s="174"/>
      <c r="HQ61" s="174"/>
      <c r="HR61" s="174"/>
      <c r="HS61" s="174"/>
      <c r="HT61" s="174"/>
      <c r="HU61" s="174"/>
      <c r="HV61" s="174"/>
      <c r="HW61" s="174"/>
      <c r="HX61" s="174"/>
      <c r="HY61" s="174"/>
      <c r="HZ61" s="174"/>
      <c r="IA61" s="174"/>
      <c r="IB61" s="174"/>
      <c r="IC61" s="174"/>
      <c r="ID61" s="174"/>
      <c r="IE61" s="174"/>
      <c r="IF61" s="174"/>
      <c r="IG61" s="174"/>
      <c r="IH61" s="174"/>
      <c r="II61" s="174"/>
      <c r="IJ61" s="174"/>
      <c r="IK61" s="174"/>
      <c r="IL61" s="174"/>
      <c r="IM61" s="174"/>
      <c r="IN61" s="174"/>
      <c r="IO61" s="174"/>
      <c r="IP61" s="174"/>
      <c r="IQ61" s="174"/>
      <c r="IR61" s="174"/>
      <c r="IS61" s="174"/>
      <c r="IT61" s="174"/>
      <c r="IU61" s="174"/>
      <c r="IV61" s="174"/>
    </row>
    <row r="62" spans="1:256" s="178" customFormat="1" ht="21.95" customHeight="1" thickBot="1" x14ac:dyDescent="0.25">
      <c r="A62" s="301">
        <v>54</v>
      </c>
      <c r="B62" s="1776" t="s">
        <v>13</v>
      </c>
      <c r="C62" s="1777"/>
      <c r="D62" s="1777"/>
      <c r="E62" s="1777"/>
      <c r="F62" s="1777"/>
      <c r="G62" s="1778"/>
      <c r="H62" s="426"/>
      <c r="I62" s="423"/>
      <c r="J62" s="423"/>
      <c r="K62" s="423"/>
      <c r="L62" s="423"/>
      <c r="M62" s="423"/>
      <c r="N62" s="423"/>
      <c r="O62" s="602"/>
      <c r="P62" s="424">
        <f>SUM(P10:P59)</f>
        <v>9620501</v>
      </c>
    </row>
    <row r="63" spans="1:256" s="178" customFormat="1" ht="17.100000000000001" customHeight="1" x14ac:dyDescent="0.35">
      <c r="A63" s="301">
        <v>55</v>
      </c>
      <c r="B63" s="1219"/>
      <c r="C63" s="1175"/>
      <c r="D63" s="1806" t="s">
        <v>268</v>
      </c>
      <c r="E63" s="1807"/>
      <c r="F63" s="1807"/>
      <c r="G63" s="1808"/>
      <c r="H63" s="1217"/>
      <c r="I63" s="416">
        <f t="shared" ref="I63:N65" si="13">I59+I55+I51+I47+I43+I39+I35+I31+I27+I23+I19+I15+I11</f>
        <v>0</v>
      </c>
      <c r="J63" s="416">
        <f t="shared" si="13"/>
        <v>0</v>
      </c>
      <c r="K63" s="416">
        <f t="shared" si="13"/>
        <v>169086</v>
      </c>
      <c r="L63" s="416">
        <f t="shared" si="13"/>
        <v>349</v>
      </c>
      <c r="M63" s="416">
        <f t="shared" si="13"/>
        <v>12184160</v>
      </c>
      <c r="N63" s="416">
        <f t="shared" si="13"/>
        <v>40493</v>
      </c>
      <c r="O63" s="1224">
        <f t="shared" ref="O63:O65" si="14">SUM(I63:N63)</f>
        <v>12394088</v>
      </c>
      <c r="P63" s="1182"/>
    </row>
    <row r="64" spans="1:256" s="178" customFormat="1" ht="17.100000000000001" customHeight="1" x14ac:dyDescent="0.35">
      <c r="A64" s="301">
        <v>56</v>
      </c>
      <c r="B64" s="1220"/>
      <c r="C64" s="1176"/>
      <c r="D64" s="1725" t="s">
        <v>796</v>
      </c>
      <c r="E64" s="1726"/>
      <c r="F64" s="1726"/>
      <c r="G64" s="1727"/>
      <c r="H64" s="1218"/>
      <c r="I64" s="639">
        <f t="shared" si="13"/>
        <v>0</v>
      </c>
      <c r="J64" s="639">
        <f t="shared" si="13"/>
        <v>0</v>
      </c>
      <c r="K64" s="639">
        <f t="shared" si="13"/>
        <v>170868</v>
      </c>
      <c r="L64" s="639">
        <f t="shared" si="13"/>
        <v>461</v>
      </c>
      <c r="M64" s="639">
        <f t="shared" si="13"/>
        <v>12181917</v>
      </c>
      <c r="N64" s="639">
        <f t="shared" si="13"/>
        <v>40842</v>
      </c>
      <c r="O64" s="1180">
        <f>SUM(I64:N64)</f>
        <v>12394088</v>
      </c>
      <c r="P64" s="1184"/>
    </row>
    <row r="65" spans="1:16" s="178" customFormat="1" ht="17.100000000000001" customHeight="1" thickBot="1" x14ac:dyDescent="0.35">
      <c r="A65" s="301">
        <v>57</v>
      </c>
      <c r="B65" s="1221"/>
      <c r="C65" s="1186"/>
      <c r="D65" s="1731" t="s">
        <v>860</v>
      </c>
      <c r="E65" s="1732"/>
      <c r="F65" s="1732"/>
      <c r="G65" s="1733"/>
      <c r="H65" s="1222"/>
      <c r="I65" s="1443">
        <f t="shared" si="13"/>
        <v>0</v>
      </c>
      <c r="J65" s="1443">
        <f t="shared" si="13"/>
        <v>0</v>
      </c>
      <c r="K65" s="1443">
        <f t="shared" si="13"/>
        <v>36318</v>
      </c>
      <c r="L65" s="1443">
        <f t="shared" si="13"/>
        <v>461</v>
      </c>
      <c r="M65" s="1443">
        <f t="shared" si="13"/>
        <v>4701487</v>
      </c>
      <c r="N65" s="1443">
        <f t="shared" si="13"/>
        <v>348</v>
      </c>
      <c r="O65" s="1444">
        <f t="shared" si="14"/>
        <v>4738614</v>
      </c>
      <c r="P65" s="1188"/>
    </row>
    <row r="66" spans="1:16" ht="18" customHeight="1" x14ac:dyDescent="0.35">
      <c r="B66" s="293" t="s">
        <v>27</v>
      </c>
      <c r="C66" s="294"/>
      <c r="D66" s="293"/>
      <c r="E66" s="185"/>
      <c r="F66" s="186"/>
      <c r="G66" s="185"/>
      <c r="H66" s="281"/>
      <c r="I66" s="185"/>
      <c r="J66" s="185"/>
      <c r="K66" s="185"/>
      <c r="L66" s="185"/>
      <c r="M66" s="185"/>
      <c r="N66" s="185"/>
      <c r="O66" s="303"/>
    </row>
    <row r="67" spans="1:16" ht="18" customHeight="1" x14ac:dyDescent="0.35">
      <c r="B67" s="293" t="s">
        <v>28</v>
      </c>
      <c r="C67" s="294"/>
      <c r="D67" s="293"/>
      <c r="E67" s="239"/>
      <c r="F67" s="186"/>
      <c r="G67" s="185"/>
      <c r="H67" s="281"/>
      <c r="I67" s="185"/>
      <c r="J67" s="185"/>
      <c r="K67" s="185"/>
      <c r="L67" s="185"/>
      <c r="M67" s="185"/>
      <c r="N67" s="185"/>
      <c r="O67" s="303"/>
    </row>
    <row r="68" spans="1:16" ht="18" customHeight="1" x14ac:dyDescent="0.35">
      <c r="B68" s="293" t="s">
        <v>29</v>
      </c>
      <c r="C68" s="294"/>
      <c r="D68" s="293"/>
      <c r="E68" s="239"/>
      <c r="F68" s="186"/>
      <c r="G68" s="185"/>
      <c r="H68" s="281"/>
      <c r="I68" s="185"/>
      <c r="J68" s="185"/>
      <c r="K68" s="185"/>
      <c r="L68" s="185"/>
      <c r="M68" s="185"/>
      <c r="N68" s="185"/>
      <c r="O68" s="303"/>
    </row>
    <row r="69" spans="1:16" x14ac:dyDescent="0.35">
      <c r="B69" s="182" t="s">
        <v>459</v>
      </c>
      <c r="C69" s="182"/>
    </row>
  </sheetData>
  <mergeCells count="21">
    <mergeCell ref="Q6:R6"/>
    <mergeCell ref="I7:L7"/>
    <mergeCell ref="M7:N7"/>
    <mergeCell ref="O7:O8"/>
    <mergeCell ref="I6:O6"/>
    <mergeCell ref="P6:P8"/>
    <mergeCell ref="D63:G63"/>
    <mergeCell ref="D64:G64"/>
    <mergeCell ref="D65:G65"/>
    <mergeCell ref="B62:G62"/>
    <mergeCell ref="I1:P1"/>
    <mergeCell ref="A2:P2"/>
    <mergeCell ref="A3:P3"/>
    <mergeCell ref="B6:B8"/>
    <mergeCell ref="C6:C8"/>
    <mergeCell ref="D6:D8"/>
    <mergeCell ref="E6:E8"/>
    <mergeCell ref="F6:F8"/>
    <mergeCell ref="G6:G8"/>
    <mergeCell ref="H6:H8"/>
    <mergeCell ref="B1:F1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0" fitToHeight="0" orientation="landscape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V296"/>
  <sheetViews>
    <sheetView view="pageBreakPreview" topLeftCell="D1" zoomScale="85" zoomScaleNormal="100" zoomScaleSheetLayoutView="85" workbookViewId="0">
      <selection activeCell="N287" sqref="N287"/>
    </sheetView>
  </sheetViews>
  <sheetFormatPr defaultRowHeight="17.25" x14ac:dyDescent="0.35"/>
  <cols>
    <col min="1" max="1" width="4" style="280" bestFit="1" customWidth="1"/>
    <col min="2" max="3" width="5.7109375" style="318" customWidth="1"/>
    <col min="4" max="4" width="66.7109375" style="174" customWidth="1"/>
    <col min="5" max="5" width="12.7109375" style="317" customWidth="1"/>
    <col min="6" max="7" width="10.7109375" style="317" customWidth="1"/>
    <col min="8" max="8" width="6.7109375" style="282" customWidth="1"/>
    <col min="9" max="15" width="14.85546875" style="317" customWidth="1"/>
    <col min="16" max="16" width="15.7109375" style="302" customWidth="1"/>
    <col min="17" max="17" width="13.85546875" style="317" customWidth="1"/>
    <col min="18" max="16384" width="9.140625" style="174"/>
  </cols>
  <sheetData>
    <row r="1" spans="1:256" ht="18" customHeight="1" x14ac:dyDescent="0.3">
      <c r="A1" s="62"/>
      <c r="B1" s="1585" t="s">
        <v>887</v>
      </c>
      <c r="C1" s="1585"/>
      <c r="D1" s="1585"/>
      <c r="E1" s="1585"/>
      <c r="F1" s="1585"/>
      <c r="G1" s="239"/>
      <c r="H1" s="281"/>
      <c r="I1" s="1740"/>
      <c r="J1" s="1740"/>
      <c r="K1" s="1740"/>
      <c r="L1" s="1740"/>
      <c r="M1" s="1740"/>
      <c r="N1" s="1740"/>
      <c r="O1" s="1740"/>
      <c r="P1" s="1740"/>
      <c r="Q1" s="17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  <c r="ED1" s="240"/>
      <c r="EE1" s="240"/>
      <c r="EF1" s="240"/>
      <c r="EG1" s="240"/>
      <c r="EH1" s="240"/>
      <c r="EI1" s="240"/>
      <c r="EJ1" s="240"/>
      <c r="EK1" s="240"/>
      <c r="EL1" s="240"/>
      <c r="EM1" s="240"/>
      <c r="EN1" s="240"/>
      <c r="EO1" s="240"/>
      <c r="EP1" s="240"/>
      <c r="EQ1" s="240"/>
      <c r="ER1" s="240"/>
      <c r="ES1" s="240"/>
      <c r="ET1" s="240"/>
      <c r="EU1" s="240"/>
      <c r="EV1" s="240"/>
      <c r="EW1" s="240"/>
      <c r="EX1" s="240"/>
      <c r="EY1" s="240"/>
      <c r="EZ1" s="240"/>
      <c r="FA1" s="240"/>
      <c r="FB1" s="240"/>
      <c r="FC1" s="240"/>
      <c r="FD1" s="240"/>
      <c r="FE1" s="240"/>
      <c r="FF1" s="240"/>
      <c r="FG1" s="240"/>
      <c r="FH1" s="240"/>
      <c r="FI1" s="240"/>
      <c r="FJ1" s="240"/>
      <c r="FK1" s="240"/>
      <c r="FL1" s="240"/>
      <c r="FM1" s="240"/>
      <c r="FN1" s="240"/>
      <c r="FO1" s="240"/>
      <c r="FP1" s="240"/>
      <c r="FQ1" s="240"/>
      <c r="FR1" s="240"/>
      <c r="FS1" s="240"/>
      <c r="FT1" s="240"/>
      <c r="FU1" s="240"/>
      <c r="FV1" s="240"/>
      <c r="FW1" s="240"/>
      <c r="FX1" s="240"/>
      <c r="FY1" s="240"/>
      <c r="FZ1" s="240"/>
      <c r="GA1" s="240"/>
      <c r="GB1" s="240"/>
      <c r="GC1" s="240"/>
      <c r="GD1" s="240"/>
      <c r="GE1" s="240"/>
      <c r="GF1" s="240"/>
      <c r="GG1" s="240"/>
      <c r="GH1" s="240"/>
      <c r="GI1" s="240"/>
      <c r="GJ1" s="240"/>
      <c r="GK1" s="240"/>
      <c r="GL1" s="240"/>
      <c r="GM1" s="240"/>
      <c r="GN1" s="240"/>
      <c r="GO1" s="240"/>
      <c r="GP1" s="240"/>
      <c r="GQ1" s="240"/>
      <c r="GR1" s="240"/>
      <c r="GS1" s="240"/>
      <c r="GT1" s="240"/>
      <c r="GU1" s="240"/>
      <c r="GV1" s="240"/>
      <c r="GW1" s="240"/>
      <c r="GX1" s="240"/>
      <c r="GY1" s="240"/>
      <c r="GZ1" s="240"/>
      <c r="HA1" s="240"/>
      <c r="HB1" s="240"/>
      <c r="HC1" s="240"/>
      <c r="HD1" s="240"/>
      <c r="HE1" s="240"/>
      <c r="HF1" s="240"/>
      <c r="HG1" s="240"/>
      <c r="HH1" s="240"/>
      <c r="HI1" s="240"/>
      <c r="HJ1" s="240"/>
      <c r="HK1" s="240"/>
      <c r="HL1" s="240"/>
      <c r="HM1" s="240"/>
      <c r="HN1" s="240"/>
      <c r="HO1" s="240"/>
      <c r="HP1" s="240"/>
      <c r="HQ1" s="240"/>
      <c r="HR1" s="240"/>
      <c r="HS1" s="240"/>
      <c r="HT1" s="240"/>
      <c r="HU1" s="240"/>
      <c r="HV1" s="240"/>
      <c r="HW1" s="240"/>
      <c r="HX1" s="240"/>
      <c r="HY1" s="240"/>
      <c r="HZ1" s="240"/>
      <c r="IA1" s="240"/>
      <c r="IB1" s="240"/>
      <c r="IC1" s="240"/>
      <c r="ID1" s="240"/>
      <c r="IE1" s="240"/>
      <c r="IF1" s="240"/>
      <c r="IG1" s="240"/>
      <c r="IH1" s="240"/>
      <c r="II1" s="240"/>
      <c r="IJ1" s="240"/>
      <c r="IK1" s="240"/>
      <c r="IL1" s="240"/>
      <c r="IM1" s="240"/>
      <c r="IN1" s="240"/>
      <c r="IO1" s="240"/>
      <c r="IP1" s="240"/>
      <c r="IQ1" s="240"/>
    </row>
    <row r="2" spans="1:256" ht="24.75" customHeight="1" x14ac:dyDescent="0.35">
      <c r="A2" s="1741" t="s">
        <v>14</v>
      </c>
      <c r="B2" s="1741"/>
      <c r="C2" s="1741"/>
      <c r="D2" s="1741"/>
      <c r="E2" s="1741"/>
      <c r="F2" s="1741"/>
      <c r="G2" s="1741"/>
      <c r="H2" s="1741"/>
      <c r="I2" s="1741"/>
      <c r="J2" s="1741"/>
      <c r="K2" s="1741"/>
      <c r="L2" s="1741"/>
      <c r="M2" s="1741"/>
      <c r="N2" s="1741"/>
      <c r="O2" s="1741"/>
      <c r="P2" s="1741"/>
      <c r="Q2" s="1741"/>
    </row>
    <row r="3" spans="1:256" ht="24.75" customHeight="1" x14ac:dyDescent="0.35">
      <c r="A3" s="1785" t="s">
        <v>610</v>
      </c>
      <c r="B3" s="1785"/>
      <c r="C3" s="1785"/>
      <c r="D3" s="1785"/>
      <c r="E3" s="1785"/>
      <c r="F3" s="1785"/>
      <c r="G3" s="1785"/>
      <c r="H3" s="1785"/>
      <c r="I3" s="1785"/>
      <c r="J3" s="1785"/>
      <c r="K3" s="1785"/>
      <c r="L3" s="1785"/>
      <c r="M3" s="1785"/>
      <c r="N3" s="1785"/>
      <c r="O3" s="1785"/>
      <c r="P3" s="1785"/>
      <c r="Q3" s="1785"/>
    </row>
    <row r="4" spans="1:256" s="249" customFormat="1" ht="18" customHeight="1" x14ac:dyDescent="0.3">
      <c r="A4" s="280"/>
      <c r="B4" s="280"/>
      <c r="C4" s="280"/>
      <c r="E4" s="248"/>
      <c r="F4" s="248"/>
      <c r="G4" s="248"/>
      <c r="H4" s="348"/>
      <c r="I4" s="248"/>
      <c r="J4" s="248"/>
      <c r="K4" s="248"/>
      <c r="L4" s="248"/>
      <c r="M4" s="248"/>
      <c r="N4" s="248"/>
      <c r="O4" s="248"/>
      <c r="P4" s="349"/>
      <c r="Q4" s="254" t="s">
        <v>0</v>
      </c>
    </row>
    <row r="5" spans="1:256" s="311" customFormat="1" ht="18" customHeight="1" thickBot="1" x14ac:dyDescent="0.35">
      <c r="A5" s="350"/>
      <c r="B5" s="351" t="s">
        <v>1</v>
      </c>
      <c r="C5" s="352" t="s">
        <v>3</v>
      </c>
      <c r="D5" s="352" t="s">
        <v>2</v>
      </c>
      <c r="E5" s="352" t="s">
        <v>4</v>
      </c>
      <c r="F5" s="352" t="s">
        <v>5</v>
      </c>
      <c r="G5" s="352" t="s">
        <v>15</v>
      </c>
      <c r="H5" s="352" t="s">
        <v>16</v>
      </c>
      <c r="I5" s="352" t="s">
        <v>17</v>
      </c>
      <c r="J5" s="352" t="s">
        <v>34</v>
      </c>
      <c r="K5" s="352" t="s">
        <v>30</v>
      </c>
      <c r="L5" s="352" t="s">
        <v>23</v>
      </c>
      <c r="M5" s="352" t="s">
        <v>35</v>
      </c>
      <c r="N5" s="352" t="s">
        <v>36</v>
      </c>
      <c r="O5" s="352" t="s">
        <v>135</v>
      </c>
      <c r="P5" s="352" t="s">
        <v>136</v>
      </c>
      <c r="Q5" s="352" t="s">
        <v>137</v>
      </c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0"/>
      <c r="CU5" s="350"/>
      <c r="CV5" s="350"/>
      <c r="CW5" s="350"/>
      <c r="CX5" s="350"/>
      <c r="CY5" s="350"/>
      <c r="CZ5" s="350"/>
      <c r="DA5" s="350"/>
      <c r="DB5" s="350"/>
      <c r="DC5" s="350"/>
      <c r="DD5" s="350"/>
      <c r="DE5" s="350"/>
      <c r="DF5" s="350"/>
      <c r="DG5" s="350"/>
      <c r="DH5" s="350"/>
      <c r="DI5" s="350"/>
      <c r="DJ5" s="350"/>
      <c r="DK5" s="350"/>
      <c r="DL5" s="350"/>
      <c r="DM5" s="350"/>
      <c r="DN5" s="350"/>
      <c r="DO5" s="350"/>
      <c r="DP5" s="350"/>
      <c r="DQ5" s="350"/>
      <c r="DR5" s="350"/>
      <c r="DS5" s="350"/>
      <c r="DT5" s="350"/>
      <c r="DU5" s="350"/>
      <c r="DV5" s="350"/>
      <c r="DW5" s="350"/>
      <c r="DX5" s="350"/>
      <c r="DY5" s="350"/>
      <c r="DZ5" s="350"/>
      <c r="EA5" s="350"/>
      <c r="EB5" s="350"/>
      <c r="EC5" s="350"/>
      <c r="ED5" s="350"/>
      <c r="EE5" s="350"/>
      <c r="EF5" s="350"/>
      <c r="EG5" s="350"/>
      <c r="EH5" s="350"/>
      <c r="EI5" s="350"/>
      <c r="EJ5" s="350"/>
      <c r="EK5" s="350"/>
      <c r="EL5" s="350"/>
      <c r="EM5" s="350"/>
      <c r="EN5" s="350"/>
      <c r="EO5" s="350"/>
      <c r="EP5" s="350"/>
      <c r="EQ5" s="350"/>
      <c r="ER5" s="350"/>
      <c r="ES5" s="350"/>
      <c r="ET5" s="350"/>
      <c r="EU5" s="350"/>
      <c r="EV5" s="350"/>
      <c r="EW5" s="350"/>
      <c r="EX5" s="350"/>
      <c r="EY5" s="350"/>
      <c r="EZ5" s="350"/>
      <c r="FA5" s="350"/>
      <c r="FB5" s="350"/>
      <c r="FC5" s="350"/>
      <c r="FD5" s="350"/>
      <c r="FE5" s="350"/>
      <c r="FF5" s="350"/>
      <c r="FG5" s="350"/>
      <c r="FH5" s="350"/>
      <c r="FI5" s="350"/>
      <c r="FJ5" s="350"/>
      <c r="FK5" s="350"/>
      <c r="FL5" s="350"/>
      <c r="FM5" s="350"/>
      <c r="FN5" s="350"/>
      <c r="FO5" s="350"/>
      <c r="FP5" s="350"/>
      <c r="FQ5" s="350"/>
      <c r="FR5" s="350"/>
      <c r="FS5" s="350"/>
      <c r="FT5" s="350"/>
      <c r="FU5" s="350"/>
      <c r="FV5" s="350"/>
      <c r="FW5" s="350"/>
      <c r="FX5" s="350"/>
      <c r="FY5" s="350"/>
      <c r="FZ5" s="350"/>
      <c r="GA5" s="350"/>
      <c r="GB5" s="350"/>
      <c r="GC5" s="350"/>
      <c r="GD5" s="350"/>
      <c r="GE5" s="350"/>
      <c r="GF5" s="350"/>
      <c r="GG5" s="350"/>
      <c r="GH5" s="350"/>
      <c r="GI5" s="350"/>
      <c r="GJ5" s="350"/>
      <c r="GK5" s="350"/>
      <c r="GL5" s="350"/>
      <c r="GM5" s="350"/>
      <c r="GN5" s="350"/>
      <c r="GO5" s="350"/>
      <c r="GP5" s="350"/>
      <c r="GQ5" s="350"/>
      <c r="GR5" s="350"/>
      <c r="GS5" s="350"/>
      <c r="GT5" s="350"/>
      <c r="GU5" s="350"/>
      <c r="GV5" s="350"/>
      <c r="GW5" s="350"/>
      <c r="GX5" s="350"/>
      <c r="GY5" s="350"/>
      <c r="GZ5" s="350"/>
      <c r="HA5" s="350"/>
      <c r="HB5" s="350"/>
      <c r="HC5" s="350"/>
      <c r="HD5" s="350"/>
      <c r="HE5" s="350"/>
      <c r="HF5" s="350"/>
      <c r="HG5" s="350"/>
      <c r="HH5" s="350"/>
      <c r="HI5" s="350"/>
      <c r="HJ5" s="350"/>
      <c r="HK5" s="350"/>
      <c r="HL5" s="350"/>
      <c r="HM5" s="350"/>
      <c r="HN5" s="350"/>
      <c r="HO5" s="350"/>
      <c r="HP5" s="350"/>
      <c r="HQ5" s="350"/>
      <c r="HR5" s="350"/>
      <c r="HS5" s="350"/>
      <c r="HT5" s="350"/>
      <c r="HU5" s="350"/>
      <c r="HV5" s="350"/>
      <c r="HW5" s="350"/>
      <c r="HX5" s="350"/>
      <c r="HY5" s="350"/>
      <c r="HZ5" s="350"/>
      <c r="IA5" s="350"/>
      <c r="IB5" s="350"/>
      <c r="IC5" s="350"/>
      <c r="ID5" s="350"/>
      <c r="IE5" s="350"/>
      <c r="IF5" s="350"/>
      <c r="IG5" s="350"/>
      <c r="IH5" s="350"/>
      <c r="II5" s="350"/>
      <c r="IJ5" s="350"/>
      <c r="IK5" s="350"/>
      <c r="IL5" s="350"/>
      <c r="IM5" s="350"/>
      <c r="IN5" s="350"/>
      <c r="IO5" s="350"/>
      <c r="IP5" s="350"/>
      <c r="IQ5" s="350"/>
    </row>
    <row r="6" spans="1:256" ht="22.5" customHeight="1" x14ac:dyDescent="0.3">
      <c r="B6" s="1779" t="s">
        <v>18</v>
      </c>
      <c r="C6" s="1803" t="s">
        <v>19</v>
      </c>
      <c r="D6" s="1786" t="s">
        <v>6</v>
      </c>
      <c r="E6" s="1782" t="s">
        <v>378</v>
      </c>
      <c r="F6" s="1782" t="s">
        <v>561</v>
      </c>
      <c r="G6" s="1789" t="s">
        <v>560</v>
      </c>
      <c r="H6" s="1764" t="s">
        <v>20</v>
      </c>
      <c r="I6" s="1792" t="s">
        <v>518</v>
      </c>
      <c r="J6" s="1782"/>
      <c r="K6" s="1782"/>
      <c r="L6" s="1782"/>
      <c r="M6" s="1782"/>
      <c r="N6" s="1782"/>
      <c r="O6" s="1782"/>
      <c r="P6" s="1793"/>
      <c r="Q6" s="1794" t="s">
        <v>522</v>
      </c>
      <c r="R6" s="1775"/>
      <c r="S6" s="1775"/>
    </row>
    <row r="7" spans="1:256" ht="33" customHeight="1" x14ac:dyDescent="0.3">
      <c r="B7" s="1780"/>
      <c r="C7" s="1804"/>
      <c r="D7" s="1787"/>
      <c r="E7" s="1783"/>
      <c r="F7" s="1783"/>
      <c r="G7" s="1790"/>
      <c r="H7" s="1765"/>
      <c r="I7" s="1797" t="s">
        <v>380</v>
      </c>
      <c r="J7" s="1798"/>
      <c r="K7" s="1799"/>
      <c r="L7" s="1799"/>
      <c r="M7" s="1800" t="s">
        <v>138</v>
      </c>
      <c r="N7" s="1800"/>
      <c r="O7" s="1800"/>
      <c r="P7" s="1801" t="s">
        <v>110</v>
      </c>
      <c r="Q7" s="1795"/>
    </row>
    <row r="8" spans="1:256" ht="53.25" customHeight="1" thickBot="1" x14ac:dyDescent="0.35">
      <c r="B8" s="1781"/>
      <c r="C8" s="1805"/>
      <c r="D8" s="1788"/>
      <c r="E8" s="1784"/>
      <c r="F8" s="1784"/>
      <c r="G8" s="1791"/>
      <c r="H8" s="1766"/>
      <c r="I8" s="368" t="s">
        <v>38</v>
      </c>
      <c r="J8" s="283" t="s">
        <v>375</v>
      </c>
      <c r="K8" s="284" t="s">
        <v>40</v>
      </c>
      <c r="L8" s="284" t="s">
        <v>377</v>
      </c>
      <c r="M8" s="283" t="s">
        <v>202</v>
      </c>
      <c r="N8" s="283" t="s">
        <v>203</v>
      </c>
      <c r="O8" s="283" t="s">
        <v>139</v>
      </c>
      <c r="P8" s="1802"/>
      <c r="Q8" s="1796"/>
    </row>
    <row r="9" spans="1:256" s="287" customFormat="1" ht="22.5" customHeight="1" x14ac:dyDescent="0.35">
      <c r="A9" s="301">
        <v>1</v>
      </c>
      <c r="B9" s="285">
        <v>18</v>
      </c>
      <c r="C9" s="297" t="s">
        <v>14</v>
      </c>
      <c r="D9" s="356"/>
      <c r="E9" s="181"/>
      <c r="F9" s="179"/>
      <c r="G9" s="180"/>
      <c r="H9" s="372"/>
      <c r="I9" s="369"/>
      <c r="J9" s="304"/>
      <c r="K9" s="304"/>
      <c r="L9" s="304"/>
      <c r="M9" s="304"/>
      <c r="N9" s="304"/>
      <c r="O9" s="304"/>
      <c r="P9" s="286"/>
      <c r="Q9" s="289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  <c r="FW9" s="174"/>
      <c r="FX9" s="174"/>
      <c r="FY9" s="174"/>
      <c r="FZ9" s="174"/>
      <c r="GA9" s="174"/>
      <c r="GB9" s="174"/>
      <c r="GC9" s="174"/>
      <c r="GD9" s="174"/>
      <c r="GE9" s="174"/>
      <c r="GF9" s="174"/>
      <c r="GG9" s="174"/>
      <c r="GH9" s="174"/>
      <c r="GI9" s="174"/>
      <c r="GJ9" s="174"/>
      <c r="GK9" s="174"/>
      <c r="GL9" s="174"/>
      <c r="GM9" s="174"/>
      <c r="GN9" s="174"/>
      <c r="GO9" s="174"/>
      <c r="GP9" s="174"/>
      <c r="GQ9" s="174"/>
      <c r="GR9" s="174"/>
      <c r="GS9" s="174"/>
      <c r="GT9" s="174"/>
      <c r="GU9" s="174"/>
      <c r="GV9" s="174"/>
      <c r="GW9" s="174"/>
      <c r="GX9" s="174"/>
      <c r="GY9" s="174"/>
      <c r="GZ9" s="174"/>
      <c r="HA9" s="174"/>
      <c r="HB9" s="174"/>
      <c r="HC9" s="174"/>
      <c r="HD9" s="174"/>
      <c r="HE9" s="174"/>
      <c r="HF9" s="174"/>
      <c r="HG9" s="174"/>
      <c r="HH9" s="174"/>
      <c r="HI9" s="174"/>
      <c r="HJ9" s="174"/>
      <c r="HK9" s="174"/>
      <c r="HL9" s="174"/>
      <c r="HM9" s="174"/>
      <c r="HN9" s="174"/>
      <c r="HO9" s="174"/>
      <c r="HP9" s="174"/>
      <c r="HQ9" s="174"/>
      <c r="HR9" s="174"/>
      <c r="HS9" s="174"/>
      <c r="HT9" s="174"/>
      <c r="HU9" s="174"/>
      <c r="HV9" s="174"/>
      <c r="HW9" s="174"/>
      <c r="HX9" s="174"/>
      <c r="HY9" s="174"/>
      <c r="HZ9" s="174"/>
      <c r="IA9" s="174"/>
      <c r="IB9" s="174"/>
      <c r="IC9" s="174"/>
      <c r="ID9" s="174"/>
      <c r="IE9" s="174"/>
      <c r="IF9" s="174"/>
      <c r="IG9" s="174"/>
      <c r="IH9" s="174"/>
      <c r="II9" s="174"/>
      <c r="IJ9" s="174"/>
      <c r="IK9" s="174"/>
      <c r="IL9" s="174"/>
      <c r="IM9" s="174"/>
      <c r="IN9" s="174"/>
      <c r="IO9" s="174"/>
      <c r="IP9" s="174"/>
      <c r="IQ9" s="174"/>
      <c r="IR9" s="174"/>
      <c r="IS9" s="174"/>
      <c r="IT9" s="174"/>
      <c r="IU9" s="174"/>
      <c r="IV9" s="174"/>
    </row>
    <row r="10" spans="1:256" s="287" customFormat="1" ht="24.95" customHeight="1" x14ac:dyDescent="0.35">
      <c r="A10" s="301">
        <v>2</v>
      </c>
      <c r="B10" s="285"/>
      <c r="C10" s="400">
        <v>1</v>
      </c>
      <c r="D10" s="398" t="s">
        <v>856</v>
      </c>
      <c r="E10" s="181"/>
      <c r="F10" s="179"/>
      <c r="G10" s="180"/>
      <c r="H10" s="372" t="s">
        <v>24</v>
      </c>
      <c r="I10" s="288"/>
      <c r="J10" s="288"/>
      <c r="K10" s="288"/>
      <c r="L10" s="288"/>
      <c r="M10" s="288"/>
      <c r="N10" s="288"/>
      <c r="O10" s="288"/>
      <c r="P10" s="296"/>
      <c r="Q10" s="289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4"/>
      <c r="FL10" s="174"/>
      <c r="FM10" s="174"/>
      <c r="FN10" s="174"/>
      <c r="FO10" s="174"/>
      <c r="FP10" s="174"/>
      <c r="FQ10" s="174"/>
      <c r="FR10" s="174"/>
      <c r="FS10" s="174"/>
      <c r="FT10" s="174"/>
      <c r="FU10" s="174"/>
      <c r="FV10" s="174"/>
      <c r="FW10" s="174"/>
      <c r="FX10" s="174"/>
      <c r="FY10" s="174"/>
      <c r="FZ10" s="174"/>
      <c r="GA10" s="174"/>
      <c r="GB10" s="174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  <c r="GQ10" s="174"/>
      <c r="GR10" s="174"/>
      <c r="GS10" s="174"/>
      <c r="GT10" s="174"/>
      <c r="GU10" s="174"/>
      <c r="GV10" s="174"/>
      <c r="GW10" s="174"/>
      <c r="GX10" s="174"/>
      <c r="GY10" s="174"/>
      <c r="GZ10" s="174"/>
      <c r="HA10" s="174"/>
      <c r="HB10" s="174"/>
      <c r="HC10" s="174"/>
      <c r="HD10" s="174"/>
      <c r="HE10" s="174"/>
      <c r="HF10" s="174"/>
      <c r="HG10" s="174"/>
      <c r="HH10" s="174"/>
      <c r="HI10" s="174"/>
      <c r="HJ10" s="174"/>
      <c r="HK10" s="174"/>
      <c r="HL10" s="174"/>
      <c r="HM10" s="174"/>
      <c r="HN10" s="174"/>
      <c r="HO10" s="174"/>
      <c r="HP10" s="174"/>
      <c r="HQ10" s="174"/>
      <c r="HR10" s="174"/>
      <c r="HS10" s="174"/>
      <c r="HT10" s="174"/>
      <c r="HU10" s="174"/>
      <c r="HV10" s="174"/>
      <c r="HW10" s="174"/>
      <c r="HX10" s="174"/>
      <c r="HY10" s="174"/>
      <c r="HZ10" s="174"/>
      <c r="IA10" s="174"/>
      <c r="IB10" s="174"/>
      <c r="IC10" s="174"/>
      <c r="ID10" s="174"/>
      <c r="IE10" s="174"/>
      <c r="IF10" s="174"/>
      <c r="IG10" s="174"/>
      <c r="IH10" s="174"/>
      <c r="II10" s="174"/>
      <c r="IJ10" s="174"/>
      <c r="IK10" s="174"/>
      <c r="IL10" s="174"/>
      <c r="IM10" s="174"/>
      <c r="IN10" s="174"/>
      <c r="IO10" s="174"/>
      <c r="IP10" s="174"/>
      <c r="IQ10" s="174"/>
      <c r="IR10" s="174"/>
      <c r="IS10" s="174"/>
      <c r="IT10" s="174"/>
      <c r="IU10" s="174"/>
      <c r="IV10" s="174"/>
    </row>
    <row r="11" spans="1:256" s="287" customFormat="1" ht="22.5" customHeight="1" x14ac:dyDescent="0.35">
      <c r="A11" s="301">
        <v>3</v>
      </c>
      <c r="B11" s="295"/>
      <c r="C11" s="191"/>
      <c r="D11" s="394" t="s">
        <v>414</v>
      </c>
      <c r="E11" s="183">
        <f>F11+G11+P13+Q12+64+2425+313</f>
        <v>380634</v>
      </c>
      <c r="F11" s="291"/>
      <c r="G11" s="184">
        <v>364492</v>
      </c>
      <c r="H11" s="373"/>
      <c r="I11" s="370"/>
      <c r="J11" s="288"/>
      <c r="K11" s="288"/>
      <c r="L11" s="288"/>
      <c r="M11" s="288"/>
      <c r="N11" s="288"/>
      <c r="O11" s="288"/>
      <c r="P11" s="296"/>
      <c r="Q11" s="292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4"/>
      <c r="EP11" s="174"/>
      <c r="EQ11" s="174"/>
      <c r="ER11" s="174"/>
      <c r="ES11" s="174"/>
      <c r="ET11" s="174"/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4"/>
      <c r="FF11" s="174"/>
      <c r="FG11" s="174"/>
      <c r="FH11" s="174"/>
      <c r="FI11" s="174"/>
      <c r="FJ11" s="174"/>
      <c r="FK11" s="174"/>
      <c r="FL11" s="174"/>
      <c r="FM11" s="174"/>
      <c r="FN11" s="174"/>
      <c r="FO11" s="174"/>
      <c r="FP11" s="174"/>
      <c r="FQ11" s="174"/>
      <c r="FR11" s="174"/>
      <c r="FS11" s="174"/>
      <c r="FT11" s="174"/>
      <c r="FU11" s="174"/>
      <c r="FV11" s="174"/>
      <c r="FW11" s="174"/>
      <c r="FX11" s="174"/>
      <c r="FY11" s="174"/>
      <c r="FZ11" s="174"/>
      <c r="GA11" s="174"/>
      <c r="GB11" s="174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  <c r="GQ11" s="174"/>
      <c r="GR11" s="174"/>
      <c r="GS11" s="174"/>
      <c r="GT11" s="174"/>
      <c r="GU11" s="174"/>
      <c r="GV11" s="174"/>
      <c r="GW11" s="174"/>
      <c r="GX11" s="174"/>
      <c r="GY11" s="174"/>
      <c r="GZ11" s="174"/>
      <c r="HA11" s="174"/>
      <c r="HB11" s="174"/>
      <c r="HC11" s="174"/>
      <c r="HD11" s="174"/>
      <c r="HE11" s="174"/>
      <c r="HF11" s="174"/>
      <c r="HG11" s="174"/>
      <c r="HH11" s="174"/>
      <c r="HI11" s="174"/>
      <c r="HJ11" s="174"/>
      <c r="HK11" s="174"/>
      <c r="HL11" s="174"/>
      <c r="HM11" s="174"/>
      <c r="HN11" s="174"/>
      <c r="HO11" s="174"/>
      <c r="HP11" s="174"/>
      <c r="HQ11" s="174"/>
      <c r="HR11" s="174"/>
      <c r="HS11" s="174"/>
      <c r="HT11" s="174"/>
      <c r="HU11" s="174"/>
      <c r="HV11" s="174"/>
      <c r="HW11" s="174"/>
      <c r="HX11" s="174"/>
      <c r="HY11" s="174"/>
      <c r="HZ11" s="174"/>
      <c r="IA11" s="174"/>
      <c r="IB11" s="174"/>
      <c r="IC11" s="174"/>
      <c r="ID11" s="174"/>
      <c r="IE11" s="174"/>
      <c r="IF11" s="174"/>
      <c r="IG11" s="174"/>
      <c r="IH11" s="174"/>
      <c r="II11" s="174"/>
      <c r="IJ11" s="174"/>
      <c r="IK11" s="174"/>
      <c r="IL11" s="174"/>
      <c r="IM11" s="174"/>
      <c r="IN11" s="174"/>
      <c r="IO11" s="174"/>
      <c r="IP11" s="174"/>
      <c r="IQ11" s="174"/>
      <c r="IR11" s="174"/>
      <c r="IS11" s="174"/>
      <c r="IT11" s="174"/>
      <c r="IU11" s="174"/>
      <c r="IV11" s="174"/>
    </row>
    <row r="12" spans="1:256" s="366" customFormat="1" ht="18" customHeight="1" x14ac:dyDescent="0.35">
      <c r="A12" s="301">
        <v>4</v>
      </c>
      <c r="B12" s="358"/>
      <c r="C12" s="191"/>
      <c r="D12" s="360" t="s">
        <v>268</v>
      </c>
      <c r="E12" s="183"/>
      <c r="F12" s="396"/>
      <c r="G12" s="184"/>
      <c r="H12" s="374"/>
      <c r="I12" s="388">
        <v>32</v>
      </c>
      <c r="J12" s="384">
        <v>24</v>
      </c>
      <c r="K12" s="384">
        <v>15970</v>
      </c>
      <c r="L12" s="364"/>
      <c r="M12" s="384"/>
      <c r="N12" s="384"/>
      <c r="O12" s="364"/>
      <c r="P12" s="357">
        <f>SUM(I12:O12)</f>
        <v>16026</v>
      </c>
      <c r="Q12" s="365"/>
    </row>
    <row r="13" spans="1:256" s="366" customFormat="1" ht="18" customHeight="1" x14ac:dyDescent="0.35">
      <c r="A13" s="301">
        <v>5</v>
      </c>
      <c r="B13" s="358"/>
      <c r="C13" s="551"/>
      <c r="D13" s="1235" t="s">
        <v>796</v>
      </c>
      <c r="E13" s="1225"/>
      <c r="F13" s="1226"/>
      <c r="G13" s="1227"/>
      <c r="H13" s="1228"/>
      <c r="I13" s="1231">
        <v>466</v>
      </c>
      <c r="J13" s="1231">
        <v>77</v>
      </c>
      <c r="K13" s="1231">
        <v>12785</v>
      </c>
      <c r="L13" s="1231">
        <v>12</v>
      </c>
      <c r="M13" s="1231"/>
      <c r="N13" s="1231"/>
      <c r="O13" s="609"/>
      <c r="P13" s="296">
        <f t="shared" ref="P13:P14" si="0">SUM(I13:O13)</f>
        <v>13340</v>
      </c>
      <c r="Q13" s="1229"/>
    </row>
    <row r="14" spans="1:256" s="366" customFormat="1" ht="18" customHeight="1" thickBot="1" x14ac:dyDescent="0.4">
      <c r="A14" s="301">
        <v>6</v>
      </c>
      <c r="B14" s="358"/>
      <c r="C14" s="191"/>
      <c r="D14" s="187" t="s">
        <v>861</v>
      </c>
      <c r="E14" s="183"/>
      <c r="F14" s="396"/>
      <c r="G14" s="184"/>
      <c r="H14" s="374"/>
      <c r="I14" s="1198">
        <v>466</v>
      </c>
      <c r="J14" s="1198">
        <v>77</v>
      </c>
      <c r="K14" s="1198">
        <v>12785</v>
      </c>
      <c r="L14" s="1198">
        <v>14</v>
      </c>
      <c r="M14" s="1198"/>
      <c r="N14" s="1198"/>
      <c r="O14" s="1197"/>
      <c r="P14" s="1191">
        <f t="shared" si="0"/>
        <v>13342</v>
      </c>
      <c r="Q14" s="365"/>
    </row>
    <row r="15" spans="1:256" s="366" customFormat="1" ht="24.95" customHeight="1" thickTop="1" x14ac:dyDescent="0.35">
      <c r="A15" s="301">
        <v>7</v>
      </c>
      <c r="B15" s="358"/>
      <c r="C15" s="1236"/>
      <c r="D15" s="1237" t="s">
        <v>857</v>
      </c>
      <c r="E15" s="1238">
        <f>+E11</f>
        <v>380634</v>
      </c>
      <c r="F15" s="1238">
        <f>+F11</f>
        <v>0</v>
      </c>
      <c r="G15" s="1238">
        <f>+G11</f>
        <v>364492</v>
      </c>
      <c r="H15" s="1239"/>
      <c r="I15" s="1240"/>
      <c r="J15" s="1240"/>
      <c r="K15" s="1240"/>
      <c r="L15" s="1240"/>
      <c r="M15" s="1240"/>
      <c r="N15" s="1240"/>
      <c r="O15" s="1240"/>
      <c r="P15" s="1240"/>
      <c r="Q15" s="1241"/>
    </row>
    <row r="16" spans="1:256" s="366" customFormat="1" ht="17.100000000000001" customHeight="1" x14ac:dyDescent="0.35">
      <c r="A16" s="301">
        <v>8</v>
      </c>
      <c r="B16" s="358"/>
      <c r="C16" s="191"/>
      <c r="D16" s="360" t="s">
        <v>268</v>
      </c>
      <c r="E16" s="1242"/>
      <c r="F16" s="1242"/>
      <c r="G16" s="1243"/>
      <c r="H16" s="613"/>
      <c r="I16" s="1248">
        <f t="shared" ref="I16:O18" si="1">I12</f>
        <v>32</v>
      </c>
      <c r="J16" s="1248">
        <f t="shared" si="1"/>
        <v>24</v>
      </c>
      <c r="K16" s="1248">
        <f t="shared" si="1"/>
        <v>15970</v>
      </c>
      <c r="L16" s="1248">
        <f t="shared" si="1"/>
        <v>0</v>
      </c>
      <c r="M16" s="1248">
        <f t="shared" si="1"/>
        <v>0</v>
      </c>
      <c r="N16" s="1248">
        <f t="shared" si="1"/>
        <v>0</v>
      </c>
      <c r="O16" s="1248">
        <f t="shared" si="1"/>
        <v>0</v>
      </c>
      <c r="P16" s="1249">
        <f t="shared" ref="P16:P18" si="2">SUM(I16:O16)</f>
        <v>16026</v>
      </c>
      <c r="Q16" s="365"/>
    </row>
    <row r="17" spans="1:256" s="366" customFormat="1" ht="17.100000000000001" customHeight="1" x14ac:dyDescent="0.35">
      <c r="A17" s="301">
        <v>9</v>
      </c>
      <c r="B17" s="358"/>
      <c r="C17" s="191"/>
      <c r="D17" s="1235" t="s">
        <v>796</v>
      </c>
      <c r="E17" s="1242"/>
      <c r="F17" s="1242"/>
      <c r="G17" s="1243"/>
      <c r="H17" s="613"/>
      <c r="I17" s="614">
        <f t="shared" si="1"/>
        <v>466</v>
      </c>
      <c r="J17" s="614">
        <f t="shared" si="1"/>
        <v>77</v>
      </c>
      <c r="K17" s="614">
        <f t="shared" si="1"/>
        <v>12785</v>
      </c>
      <c r="L17" s="614">
        <f t="shared" si="1"/>
        <v>12</v>
      </c>
      <c r="M17" s="614">
        <f t="shared" si="1"/>
        <v>0</v>
      </c>
      <c r="N17" s="614">
        <f t="shared" si="1"/>
        <v>0</v>
      </c>
      <c r="O17" s="614">
        <f t="shared" si="1"/>
        <v>0</v>
      </c>
      <c r="P17" s="296">
        <f t="shared" si="2"/>
        <v>13340</v>
      </c>
      <c r="Q17" s="365"/>
    </row>
    <row r="18" spans="1:256" s="366" customFormat="1" ht="17.100000000000001" customHeight="1" thickBot="1" x14ac:dyDescent="0.4">
      <c r="A18" s="301">
        <v>10</v>
      </c>
      <c r="B18" s="358"/>
      <c r="C18" s="621"/>
      <c r="D18" s="1446" t="s">
        <v>860</v>
      </c>
      <c r="E18" s="1244"/>
      <c r="F18" s="1244"/>
      <c r="G18" s="1245"/>
      <c r="H18" s="624"/>
      <c r="I18" s="1447">
        <f t="shared" si="1"/>
        <v>466</v>
      </c>
      <c r="J18" s="1447">
        <f t="shared" si="1"/>
        <v>77</v>
      </c>
      <c r="K18" s="1447">
        <f t="shared" si="1"/>
        <v>12785</v>
      </c>
      <c r="L18" s="1447">
        <f t="shared" si="1"/>
        <v>14</v>
      </c>
      <c r="M18" s="1447">
        <f t="shared" si="1"/>
        <v>0</v>
      </c>
      <c r="N18" s="1447">
        <f t="shared" si="1"/>
        <v>0</v>
      </c>
      <c r="O18" s="1447">
        <f t="shared" si="1"/>
        <v>0</v>
      </c>
      <c r="P18" s="1448">
        <f t="shared" si="2"/>
        <v>13342</v>
      </c>
      <c r="Q18" s="1246"/>
    </row>
    <row r="19" spans="1:256" s="366" customFormat="1" ht="24.95" customHeight="1" thickTop="1" x14ac:dyDescent="0.35">
      <c r="A19" s="301">
        <v>11</v>
      </c>
      <c r="B19" s="358"/>
      <c r="C19" s="400">
        <v>2</v>
      </c>
      <c r="D19" s="408" t="s">
        <v>507</v>
      </c>
      <c r="E19" s="401"/>
      <c r="F19" s="402"/>
      <c r="G19" s="403"/>
      <c r="H19" s="372" t="s">
        <v>24</v>
      </c>
      <c r="I19" s="404"/>
      <c r="J19" s="405"/>
      <c r="K19" s="406"/>
      <c r="L19" s="405"/>
      <c r="M19" s="405"/>
      <c r="N19" s="405"/>
      <c r="O19" s="405"/>
      <c r="P19" s="407"/>
      <c r="Q19" s="410"/>
    </row>
    <row r="20" spans="1:256" s="287" customFormat="1" ht="22.5" customHeight="1" x14ac:dyDescent="0.35">
      <c r="A20" s="301">
        <v>12</v>
      </c>
      <c r="B20" s="295"/>
      <c r="C20" s="191"/>
      <c r="D20" s="394" t="s">
        <v>414</v>
      </c>
      <c r="E20" s="183">
        <f>F20+G20+P22+Q21</f>
        <v>183569</v>
      </c>
      <c r="F20" s="291"/>
      <c r="G20" s="184">
        <v>104642</v>
      </c>
      <c r="H20" s="373"/>
      <c r="I20" s="370"/>
      <c r="J20" s="288"/>
      <c r="K20" s="288"/>
      <c r="L20" s="288"/>
      <c r="M20" s="288"/>
      <c r="N20" s="288"/>
      <c r="O20" s="288"/>
      <c r="P20" s="296"/>
      <c r="Q20" s="292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s="366" customFormat="1" ht="18" customHeight="1" x14ac:dyDescent="0.35">
      <c r="A21" s="301">
        <v>13</v>
      </c>
      <c r="B21" s="358"/>
      <c r="C21" s="191"/>
      <c r="D21" s="360" t="s">
        <v>268</v>
      </c>
      <c r="E21" s="183"/>
      <c r="F21" s="362"/>
      <c r="G21" s="184"/>
      <c r="H21" s="374"/>
      <c r="I21" s="388">
        <v>104</v>
      </c>
      <c r="J21" s="384">
        <v>48</v>
      </c>
      <c r="K21" s="384">
        <v>78775</v>
      </c>
      <c r="L21" s="384"/>
      <c r="M21" s="364"/>
      <c r="N21" s="364"/>
      <c r="O21" s="364"/>
      <c r="P21" s="357">
        <f>SUM(I21:O21)</f>
        <v>78927</v>
      </c>
      <c r="Q21" s="365"/>
    </row>
    <row r="22" spans="1:256" s="366" customFormat="1" ht="18" customHeight="1" x14ac:dyDescent="0.35">
      <c r="A22" s="301">
        <v>14</v>
      </c>
      <c r="B22" s="358"/>
      <c r="C22" s="191"/>
      <c r="D22" s="225" t="s">
        <v>796</v>
      </c>
      <c r="E22" s="183"/>
      <c r="F22" s="362"/>
      <c r="G22" s="184"/>
      <c r="H22" s="374"/>
      <c r="I22" s="370">
        <v>104</v>
      </c>
      <c r="J22" s="288">
        <v>48</v>
      </c>
      <c r="K22" s="288">
        <v>78775</v>
      </c>
      <c r="L22" s="288"/>
      <c r="M22" s="632"/>
      <c r="N22" s="632"/>
      <c r="O22" s="632"/>
      <c r="P22" s="296">
        <f t="shared" ref="P22:P23" si="3">SUM(I22:O22)</f>
        <v>78927</v>
      </c>
      <c r="Q22" s="365"/>
    </row>
    <row r="23" spans="1:256" s="366" customFormat="1" ht="18" customHeight="1" x14ac:dyDescent="0.35">
      <c r="A23" s="301">
        <v>15</v>
      </c>
      <c r="B23" s="358"/>
      <c r="C23" s="191"/>
      <c r="D23" s="187" t="s">
        <v>860</v>
      </c>
      <c r="E23" s="183"/>
      <c r="F23" s="362"/>
      <c r="G23" s="184"/>
      <c r="H23" s="374"/>
      <c r="I23" s="1198">
        <v>104</v>
      </c>
      <c r="J23" s="1194">
        <v>48</v>
      </c>
      <c r="K23" s="1194">
        <v>78774</v>
      </c>
      <c r="L23" s="1194"/>
      <c r="M23" s="1194"/>
      <c r="N23" s="1194"/>
      <c r="O23" s="1194"/>
      <c r="P23" s="1192">
        <f t="shared" si="3"/>
        <v>78926</v>
      </c>
      <c r="Q23" s="365"/>
    </row>
    <row r="24" spans="1:256" s="366" customFormat="1" ht="20.100000000000001" customHeight="1" x14ac:dyDescent="0.35">
      <c r="A24" s="301">
        <v>16</v>
      </c>
      <c r="B24" s="358"/>
      <c r="C24" s="191"/>
      <c r="D24" s="290" t="s">
        <v>569</v>
      </c>
      <c r="E24" s="183">
        <f>F24+G24+P26</f>
        <v>74663</v>
      </c>
      <c r="F24" s="362"/>
      <c r="G24" s="184">
        <v>55997</v>
      </c>
      <c r="H24" s="374"/>
      <c r="I24" s="388"/>
      <c r="J24" s="384"/>
      <c r="K24" s="384"/>
      <c r="L24" s="384"/>
      <c r="M24" s="364"/>
      <c r="N24" s="364"/>
      <c r="O24" s="364"/>
      <c r="P24" s="357"/>
      <c r="Q24" s="365"/>
    </row>
    <row r="25" spans="1:256" s="366" customFormat="1" ht="18" customHeight="1" x14ac:dyDescent="0.35">
      <c r="A25" s="301">
        <v>17</v>
      </c>
      <c r="B25" s="358"/>
      <c r="C25" s="191"/>
      <c r="D25" s="360" t="s">
        <v>268</v>
      </c>
      <c r="E25" s="183"/>
      <c r="F25" s="362"/>
      <c r="G25" s="184"/>
      <c r="H25" s="374"/>
      <c r="I25" s="388"/>
      <c r="J25" s="384"/>
      <c r="K25" s="384"/>
      <c r="L25" s="384"/>
      <c r="M25" s="384">
        <v>18666</v>
      </c>
      <c r="N25" s="364"/>
      <c r="O25" s="364"/>
      <c r="P25" s="357">
        <f>SUM(I25:O25)</f>
        <v>18666</v>
      </c>
      <c r="Q25" s="365"/>
    </row>
    <row r="26" spans="1:256" s="366" customFormat="1" ht="18" customHeight="1" x14ac:dyDescent="0.35">
      <c r="A26" s="301">
        <v>18</v>
      </c>
      <c r="B26" s="358"/>
      <c r="C26" s="191"/>
      <c r="D26" s="225" t="s">
        <v>796</v>
      </c>
      <c r="E26" s="183"/>
      <c r="F26" s="362"/>
      <c r="G26" s="184"/>
      <c r="H26" s="374"/>
      <c r="I26" s="370"/>
      <c r="J26" s="288"/>
      <c r="K26" s="288"/>
      <c r="L26" s="288"/>
      <c r="M26" s="288">
        <v>18666</v>
      </c>
      <c r="N26" s="632"/>
      <c r="O26" s="632"/>
      <c r="P26" s="296">
        <f t="shared" ref="P26:P27" si="4">SUM(I26:O26)</f>
        <v>18666</v>
      </c>
      <c r="Q26" s="365"/>
    </row>
    <row r="27" spans="1:256" s="366" customFormat="1" ht="18" customHeight="1" x14ac:dyDescent="0.35">
      <c r="A27" s="301">
        <v>19</v>
      </c>
      <c r="B27" s="358"/>
      <c r="C27" s="191"/>
      <c r="D27" s="187" t="s">
        <v>860</v>
      </c>
      <c r="E27" s="183"/>
      <c r="F27" s="362"/>
      <c r="G27" s="184"/>
      <c r="H27" s="374"/>
      <c r="I27" s="1198"/>
      <c r="J27" s="1194"/>
      <c r="K27" s="1194"/>
      <c r="L27" s="1194"/>
      <c r="M27" s="1194">
        <v>18666</v>
      </c>
      <c r="N27" s="1194"/>
      <c r="O27" s="1194"/>
      <c r="P27" s="1192">
        <f t="shared" si="4"/>
        <v>18666</v>
      </c>
      <c r="Q27" s="365"/>
    </row>
    <row r="28" spans="1:256" s="366" customFormat="1" ht="20.100000000000001" customHeight="1" x14ac:dyDescent="0.35">
      <c r="A28" s="301">
        <v>20</v>
      </c>
      <c r="B28" s="358"/>
      <c r="C28" s="191"/>
      <c r="D28" s="290" t="s">
        <v>570</v>
      </c>
      <c r="E28" s="183">
        <f>F28+G28+P30</f>
        <v>47371</v>
      </c>
      <c r="F28" s="362"/>
      <c r="G28" s="184">
        <v>22225</v>
      </c>
      <c r="H28" s="374"/>
      <c r="I28" s="388"/>
      <c r="J28" s="384"/>
      <c r="K28" s="384"/>
      <c r="L28" s="384"/>
      <c r="M28" s="384"/>
      <c r="N28" s="364"/>
      <c r="O28" s="364"/>
      <c r="P28" s="357"/>
      <c r="Q28" s="365"/>
    </row>
    <row r="29" spans="1:256" s="366" customFormat="1" ht="18" customHeight="1" x14ac:dyDescent="0.35">
      <c r="A29" s="301">
        <v>21</v>
      </c>
      <c r="B29" s="358"/>
      <c r="C29" s="191"/>
      <c r="D29" s="360" t="s">
        <v>268</v>
      </c>
      <c r="E29" s="183"/>
      <c r="F29" s="362"/>
      <c r="G29" s="184"/>
      <c r="H29" s="374"/>
      <c r="I29" s="388"/>
      <c r="J29" s="384"/>
      <c r="K29" s="384"/>
      <c r="L29" s="384"/>
      <c r="M29" s="384">
        <v>25146</v>
      </c>
      <c r="N29" s="364"/>
      <c r="O29" s="364"/>
      <c r="P29" s="357">
        <f>SUM(I29:O29)</f>
        <v>25146</v>
      </c>
      <c r="Q29" s="365"/>
    </row>
    <row r="30" spans="1:256" s="366" customFormat="1" ht="18" customHeight="1" x14ac:dyDescent="0.35">
      <c r="A30" s="301">
        <v>22</v>
      </c>
      <c r="B30" s="358"/>
      <c r="C30" s="191"/>
      <c r="D30" s="225" t="s">
        <v>796</v>
      </c>
      <c r="E30" s="183"/>
      <c r="F30" s="362"/>
      <c r="G30" s="184"/>
      <c r="H30" s="374"/>
      <c r="I30" s="614"/>
      <c r="J30" s="632"/>
      <c r="K30" s="632"/>
      <c r="L30" s="632"/>
      <c r="M30" s="288">
        <v>25146</v>
      </c>
      <c r="N30" s="632"/>
      <c r="O30" s="632"/>
      <c r="P30" s="296">
        <f t="shared" ref="P30:P31" si="5">SUM(I30:O30)</f>
        <v>25146</v>
      </c>
      <c r="Q30" s="365"/>
    </row>
    <row r="31" spans="1:256" s="366" customFormat="1" ht="18" customHeight="1" x14ac:dyDescent="0.35">
      <c r="A31" s="301">
        <v>23</v>
      </c>
      <c r="B31" s="358"/>
      <c r="C31" s="191"/>
      <c r="D31" s="187" t="s">
        <v>860</v>
      </c>
      <c r="E31" s="183"/>
      <c r="F31" s="362"/>
      <c r="G31" s="184"/>
      <c r="H31" s="374"/>
      <c r="I31" s="1198"/>
      <c r="J31" s="1194"/>
      <c r="K31" s="1194"/>
      <c r="L31" s="1194"/>
      <c r="M31" s="1194">
        <v>25146</v>
      </c>
      <c r="N31" s="1194"/>
      <c r="O31" s="1194"/>
      <c r="P31" s="1192">
        <f t="shared" si="5"/>
        <v>25146</v>
      </c>
      <c r="Q31" s="365"/>
    </row>
    <row r="32" spans="1:256" s="366" customFormat="1" ht="20.100000000000001" customHeight="1" x14ac:dyDescent="0.35">
      <c r="A32" s="301">
        <v>24</v>
      </c>
      <c r="B32" s="358"/>
      <c r="C32" s="191"/>
      <c r="D32" s="290" t="s">
        <v>571</v>
      </c>
      <c r="E32" s="183">
        <f>F32+G32+P34</f>
        <v>50248</v>
      </c>
      <c r="F32" s="362"/>
      <c r="G32" s="184">
        <v>6920</v>
      </c>
      <c r="H32" s="374"/>
      <c r="I32" s="388"/>
      <c r="J32" s="384"/>
      <c r="K32" s="384"/>
      <c r="L32" s="384"/>
      <c r="M32" s="384"/>
      <c r="N32" s="364"/>
      <c r="O32" s="364"/>
      <c r="P32" s="357"/>
      <c r="Q32" s="365"/>
    </row>
    <row r="33" spans="1:256" s="366" customFormat="1" ht="18" customHeight="1" x14ac:dyDescent="0.35">
      <c r="A33" s="301">
        <v>25</v>
      </c>
      <c r="B33" s="358"/>
      <c r="C33" s="191"/>
      <c r="D33" s="360" t="s">
        <v>268</v>
      </c>
      <c r="E33" s="183"/>
      <c r="F33" s="362"/>
      <c r="G33" s="184"/>
      <c r="H33" s="374"/>
      <c r="I33" s="388"/>
      <c r="J33" s="384"/>
      <c r="K33" s="384"/>
      <c r="L33" s="384"/>
      <c r="M33" s="384">
        <v>43328</v>
      </c>
      <c r="N33" s="364"/>
      <c r="O33" s="364"/>
      <c r="P33" s="357">
        <f>SUM(I33:O33)</f>
        <v>43328</v>
      </c>
      <c r="Q33" s="365"/>
    </row>
    <row r="34" spans="1:256" s="366" customFormat="1" ht="18" customHeight="1" x14ac:dyDescent="0.35">
      <c r="A34" s="301">
        <v>26</v>
      </c>
      <c r="B34" s="358"/>
      <c r="C34" s="191"/>
      <c r="D34" s="225" t="s">
        <v>796</v>
      </c>
      <c r="E34" s="183"/>
      <c r="F34" s="362"/>
      <c r="G34" s="184"/>
      <c r="H34" s="374"/>
      <c r="I34" s="370"/>
      <c r="J34" s="288"/>
      <c r="K34" s="288"/>
      <c r="L34" s="288"/>
      <c r="M34" s="288">
        <v>43328</v>
      </c>
      <c r="N34" s="632"/>
      <c r="O34" s="632"/>
      <c r="P34" s="296">
        <f t="shared" ref="P34:P35" si="6">SUM(I34:O34)</f>
        <v>43328</v>
      </c>
      <c r="Q34" s="365"/>
    </row>
    <row r="35" spans="1:256" s="366" customFormat="1" ht="18" customHeight="1" x14ac:dyDescent="0.35">
      <c r="A35" s="301">
        <v>27</v>
      </c>
      <c r="B35" s="358"/>
      <c r="C35" s="191"/>
      <c r="D35" s="187" t="s">
        <v>860</v>
      </c>
      <c r="E35" s="183"/>
      <c r="F35" s="362"/>
      <c r="G35" s="184"/>
      <c r="H35" s="374"/>
      <c r="I35" s="1198"/>
      <c r="J35" s="1194"/>
      <c r="K35" s="1194"/>
      <c r="L35" s="1194"/>
      <c r="M35" s="1194">
        <v>43329</v>
      </c>
      <c r="N35" s="1194"/>
      <c r="O35" s="1194"/>
      <c r="P35" s="1192">
        <f t="shared" si="6"/>
        <v>43329</v>
      </c>
      <c r="Q35" s="365"/>
    </row>
    <row r="36" spans="1:256" s="366" customFormat="1" ht="20.100000000000001" customHeight="1" x14ac:dyDescent="0.35">
      <c r="A36" s="301">
        <v>28</v>
      </c>
      <c r="B36" s="358"/>
      <c r="C36" s="191"/>
      <c r="D36" s="290" t="s">
        <v>572</v>
      </c>
      <c r="E36" s="183">
        <f>F36+G36+P38</f>
        <v>38100</v>
      </c>
      <c r="F36" s="291"/>
      <c r="G36" s="184">
        <v>19050</v>
      </c>
      <c r="H36" s="374"/>
      <c r="I36" s="371"/>
      <c r="J36" s="364"/>
      <c r="K36" s="384"/>
      <c r="L36" s="384"/>
      <c r="M36" s="384"/>
      <c r="N36" s="364"/>
      <c r="O36" s="364"/>
      <c r="P36" s="357"/>
      <c r="Q36" s="365"/>
    </row>
    <row r="37" spans="1:256" s="366" customFormat="1" ht="18" customHeight="1" x14ac:dyDescent="0.35">
      <c r="A37" s="301">
        <v>29</v>
      </c>
      <c r="B37" s="358"/>
      <c r="C37" s="412"/>
      <c r="D37" s="413" t="s">
        <v>268</v>
      </c>
      <c r="E37" s="420"/>
      <c r="F37" s="529"/>
      <c r="G37" s="421"/>
      <c r="H37" s="414"/>
      <c r="I37" s="415"/>
      <c r="J37" s="416"/>
      <c r="K37" s="417"/>
      <c r="L37" s="417"/>
      <c r="M37" s="417">
        <v>19050</v>
      </c>
      <c r="N37" s="417"/>
      <c r="O37" s="416"/>
      <c r="P37" s="418">
        <f>SUM(I37:O37)</f>
        <v>19050</v>
      </c>
      <c r="Q37" s="409"/>
    </row>
    <row r="38" spans="1:256" s="366" customFormat="1" ht="18" customHeight="1" x14ac:dyDescent="0.35">
      <c r="A38" s="301">
        <v>30</v>
      </c>
      <c r="B38" s="358"/>
      <c r="C38" s="191"/>
      <c r="D38" s="225" t="s">
        <v>796</v>
      </c>
      <c r="E38" s="183"/>
      <c r="F38" s="362"/>
      <c r="G38" s="184"/>
      <c r="H38" s="374"/>
      <c r="I38" s="614"/>
      <c r="J38" s="614"/>
      <c r="K38" s="614"/>
      <c r="L38" s="614"/>
      <c r="M38" s="370">
        <v>19050</v>
      </c>
      <c r="N38" s="614"/>
      <c r="O38" s="614"/>
      <c r="P38" s="296">
        <f t="shared" ref="P38:P39" si="7">SUM(I38:O38)</f>
        <v>19050</v>
      </c>
      <c r="Q38" s="365"/>
    </row>
    <row r="39" spans="1:256" s="366" customFormat="1" ht="18" customHeight="1" thickBot="1" x14ac:dyDescent="0.4">
      <c r="A39" s="301">
        <v>31</v>
      </c>
      <c r="B39" s="358"/>
      <c r="C39" s="191"/>
      <c r="D39" s="187" t="s">
        <v>860</v>
      </c>
      <c r="E39" s="183"/>
      <c r="F39" s="362"/>
      <c r="G39" s="184"/>
      <c r="H39" s="374"/>
      <c r="I39" s="1198"/>
      <c r="J39" s="1198"/>
      <c r="K39" s="1198"/>
      <c r="L39" s="1198"/>
      <c r="M39" s="1198">
        <v>19050</v>
      </c>
      <c r="N39" s="1198"/>
      <c r="O39" s="1198"/>
      <c r="P39" s="1192">
        <f t="shared" si="7"/>
        <v>19050</v>
      </c>
      <c r="Q39" s="365"/>
    </row>
    <row r="40" spans="1:256" s="366" customFormat="1" ht="24.95" customHeight="1" thickTop="1" x14ac:dyDescent="0.35">
      <c r="A40" s="301">
        <v>32</v>
      </c>
      <c r="B40" s="358"/>
      <c r="C40" s="1236"/>
      <c r="D40" s="1237" t="s">
        <v>586</v>
      </c>
      <c r="E40" s="1253">
        <f>E36+E20+E24+E28+E32</f>
        <v>393951</v>
      </c>
      <c r="F40" s="1253">
        <f>F36+F20+F24+F28+F32</f>
        <v>0</v>
      </c>
      <c r="G40" s="1253">
        <f>G36+G20+G24+G28+G32</f>
        <v>208834</v>
      </c>
      <c r="H40" s="1296"/>
      <c r="I40" s="1240"/>
      <c r="J40" s="1240"/>
      <c r="K40" s="1240"/>
      <c r="L40" s="1240"/>
      <c r="M40" s="1240"/>
      <c r="N40" s="1240"/>
      <c r="O40" s="1240"/>
      <c r="P40" s="1240"/>
      <c r="Q40" s="1241"/>
    </row>
    <row r="41" spans="1:256" s="366" customFormat="1" ht="17.100000000000001" customHeight="1" x14ac:dyDescent="0.35">
      <c r="A41" s="301">
        <v>33</v>
      </c>
      <c r="B41" s="358"/>
      <c r="C41" s="191"/>
      <c r="D41" s="413" t="s">
        <v>268</v>
      </c>
      <c r="E41" s="555"/>
      <c r="F41" s="555"/>
      <c r="G41" s="612"/>
      <c r="H41" s="374"/>
      <c r="I41" s="1248">
        <f t="shared" ref="I41:O43" si="8">I37+I33+I29+I25+I21</f>
        <v>104</v>
      </c>
      <c r="J41" s="1248">
        <f t="shared" si="8"/>
        <v>48</v>
      </c>
      <c r="K41" s="1248">
        <f t="shared" si="8"/>
        <v>78775</v>
      </c>
      <c r="L41" s="1248">
        <f t="shared" si="8"/>
        <v>0</v>
      </c>
      <c r="M41" s="1248">
        <f t="shared" si="8"/>
        <v>106190</v>
      </c>
      <c r="N41" s="1248">
        <f t="shared" si="8"/>
        <v>0</v>
      </c>
      <c r="O41" s="1248">
        <f t="shared" si="8"/>
        <v>0</v>
      </c>
      <c r="P41" s="1249">
        <f t="shared" ref="P41:P43" si="9">SUM(I41:O41)</f>
        <v>185117</v>
      </c>
      <c r="Q41" s="365"/>
    </row>
    <row r="42" spans="1:256" s="366" customFormat="1" ht="17.100000000000001" customHeight="1" x14ac:dyDescent="0.35">
      <c r="A42" s="301">
        <v>34</v>
      </c>
      <c r="B42" s="358"/>
      <c r="C42" s="191"/>
      <c r="D42" s="225" t="s">
        <v>796</v>
      </c>
      <c r="E42" s="555"/>
      <c r="F42" s="555"/>
      <c r="G42" s="612"/>
      <c r="H42" s="374"/>
      <c r="I42" s="614">
        <f t="shared" si="8"/>
        <v>104</v>
      </c>
      <c r="J42" s="614">
        <f t="shared" si="8"/>
        <v>48</v>
      </c>
      <c r="K42" s="614">
        <f t="shared" si="8"/>
        <v>78775</v>
      </c>
      <c r="L42" s="614">
        <f t="shared" si="8"/>
        <v>0</v>
      </c>
      <c r="M42" s="614">
        <f t="shared" si="8"/>
        <v>106190</v>
      </c>
      <c r="N42" s="614">
        <f t="shared" si="8"/>
        <v>0</v>
      </c>
      <c r="O42" s="614">
        <f t="shared" si="8"/>
        <v>0</v>
      </c>
      <c r="P42" s="296">
        <f t="shared" si="9"/>
        <v>185117</v>
      </c>
      <c r="Q42" s="365"/>
    </row>
    <row r="43" spans="1:256" s="366" customFormat="1" ht="17.100000000000001" customHeight="1" thickBot="1" x14ac:dyDescent="0.4">
      <c r="A43" s="301">
        <v>35</v>
      </c>
      <c r="B43" s="358"/>
      <c r="C43" s="621"/>
      <c r="D43" s="1446" t="s">
        <v>860</v>
      </c>
      <c r="E43" s="622"/>
      <c r="F43" s="622"/>
      <c r="G43" s="623"/>
      <c r="H43" s="1297"/>
      <c r="I43" s="1447">
        <f t="shared" si="8"/>
        <v>104</v>
      </c>
      <c r="J43" s="1447">
        <f t="shared" si="8"/>
        <v>48</v>
      </c>
      <c r="K43" s="1447">
        <f t="shared" si="8"/>
        <v>78774</v>
      </c>
      <c r="L43" s="1447">
        <f t="shared" si="8"/>
        <v>0</v>
      </c>
      <c r="M43" s="1447">
        <f t="shared" si="8"/>
        <v>106191</v>
      </c>
      <c r="N43" s="1447">
        <f t="shared" si="8"/>
        <v>0</v>
      </c>
      <c r="O43" s="1447">
        <f t="shared" si="8"/>
        <v>0</v>
      </c>
      <c r="P43" s="1448">
        <f t="shared" si="9"/>
        <v>185117</v>
      </c>
      <c r="Q43" s="1246"/>
    </row>
    <row r="44" spans="1:256" s="287" customFormat="1" ht="22.5" customHeight="1" thickTop="1" x14ac:dyDescent="0.35">
      <c r="A44" s="301">
        <v>36</v>
      </c>
      <c r="B44" s="295"/>
      <c r="C44" s="400">
        <v>3</v>
      </c>
      <c r="D44" s="408" t="s">
        <v>510</v>
      </c>
      <c r="E44" s="181"/>
      <c r="F44" s="179"/>
      <c r="G44" s="180"/>
      <c r="H44" s="372" t="s">
        <v>24</v>
      </c>
      <c r="I44" s="530"/>
      <c r="J44" s="531"/>
      <c r="K44" s="531"/>
      <c r="L44" s="531"/>
      <c r="M44" s="531"/>
      <c r="N44" s="531"/>
      <c r="O44" s="531"/>
      <c r="P44" s="532"/>
      <c r="Q44" s="289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4"/>
      <c r="EW44" s="174"/>
      <c r="EX44" s="174"/>
      <c r="EY44" s="174"/>
      <c r="EZ44" s="174"/>
      <c r="FA44" s="174"/>
      <c r="FB44" s="174"/>
      <c r="FC44" s="174"/>
      <c r="FD44" s="174"/>
      <c r="FE44" s="174"/>
      <c r="FF44" s="174"/>
      <c r="FG44" s="174"/>
      <c r="FH44" s="174"/>
      <c r="FI44" s="174"/>
      <c r="FJ44" s="174"/>
      <c r="FK44" s="174"/>
      <c r="FL44" s="174"/>
      <c r="FM44" s="174"/>
      <c r="FN44" s="174"/>
      <c r="FO44" s="174"/>
      <c r="FP44" s="174"/>
      <c r="FQ44" s="174"/>
      <c r="FR44" s="174"/>
      <c r="FS44" s="174"/>
      <c r="FT44" s="174"/>
      <c r="FU44" s="174"/>
      <c r="FV44" s="174"/>
      <c r="FW44" s="174"/>
      <c r="FX44" s="174"/>
      <c r="FY44" s="174"/>
      <c r="FZ44" s="174"/>
      <c r="GA44" s="174"/>
      <c r="GB44" s="174"/>
      <c r="GC44" s="174"/>
      <c r="GD44" s="174"/>
      <c r="GE44" s="174"/>
      <c r="GF44" s="174"/>
      <c r="GG44" s="174"/>
      <c r="GH44" s="174"/>
      <c r="GI44" s="174"/>
      <c r="GJ44" s="174"/>
      <c r="GK44" s="174"/>
      <c r="GL44" s="174"/>
      <c r="GM44" s="174"/>
      <c r="GN44" s="174"/>
      <c r="GO44" s="174"/>
      <c r="GP44" s="174"/>
      <c r="GQ44" s="174"/>
      <c r="GR44" s="174"/>
      <c r="GS44" s="174"/>
      <c r="GT44" s="174"/>
      <c r="GU44" s="174"/>
      <c r="GV44" s="174"/>
      <c r="GW44" s="174"/>
      <c r="GX44" s="174"/>
      <c r="GY44" s="174"/>
      <c r="GZ44" s="174"/>
      <c r="HA44" s="174"/>
      <c r="HB44" s="174"/>
      <c r="HC44" s="174"/>
      <c r="HD44" s="174"/>
      <c r="HE44" s="174"/>
      <c r="HF44" s="174"/>
      <c r="HG44" s="174"/>
      <c r="HH44" s="174"/>
      <c r="HI44" s="174"/>
      <c r="HJ44" s="174"/>
      <c r="HK44" s="174"/>
      <c r="HL44" s="174"/>
      <c r="HM44" s="174"/>
      <c r="HN44" s="174"/>
      <c r="HO44" s="174"/>
      <c r="HP44" s="174"/>
      <c r="HQ44" s="174"/>
      <c r="HR44" s="174"/>
      <c r="HS44" s="174"/>
      <c r="HT44" s="174"/>
      <c r="HU44" s="174"/>
      <c r="HV44" s="174"/>
      <c r="HW44" s="174"/>
      <c r="HX44" s="174"/>
      <c r="HY44" s="174"/>
      <c r="HZ44" s="174"/>
      <c r="IA44" s="174"/>
      <c r="IB44" s="174"/>
      <c r="IC44" s="174"/>
      <c r="ID44" s="174"/>
      <c r="IE44" s="174"/>
      <c r="IF44" s="174"/>
      <c r="IG44" s="174"/>
      <c r="IH44" s="174"/>
      <c r="II44" s="174"/>
      <c r="IJ44" s="174"/>
      <c r="IK44" s="174"/>
      <c r="IL44" s="174"/>
      <c r="IM44" s="174"/>
      <c r="IN44" s="174"/>
      <c r="IO44" s="174"/>
      <c r="IP44" s="174"/>
      <c r="IQ44" s="174"/>
      <c r="IR44" s="174"/>
      <c r="IS44" s="174"/>
      <c r="IT44" s="174"/>
      <c r="IU44" s="174"/>
      <c r="IV44" s="174"/>
    </row>
    <row r="45" spans="1:256" s="287" customFormat="1" ht="22.5" customHeight="1" x14ac:dyDescent="0.35">
      <c r="A45" s="301">
        <v>37</v>
      </c>
      <c r="B45" s="295"/>
      <c r="C45" s="191"/>
      <c r="D45" s="176" t="s">
        <v>414</v>
      </c>
      <c r="E45" s="183">
        <f>F45+G45+P47+Q46+7325</f>
        <v>49992</v>
      </c>
      <c r="F45" s="291"/>
      <c r="G45" s="184">
        <v>12966</v>
      </c>
      <c r="H45" s="373"/>
      <c r="I45" s="370"/>
      <c r="J45" s="288"/>
      <c r="K45" s="288"/>
      <c r="L45" s="288"/>
      <c r="M45" s="288"/>
      <c r="N45" s="288"/>
      <c r="O45" s="288"/>
      <c r="P45" s="296"/>
      <c r="Q45" s="292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4"/>
      <c r="EW45" s="174"/>
      <c r="EX45" s="174"/>
      <c r="EY45" s="174"/>
      <c r="EZ45" s="174"/>
      <c r="FA45" s="174"/>
      <c r="FB45" s="174"/>
      <c r="FC45" s="174"/>
      <c r="FD45" s="174"/>
      <c r="FE45" s="174"/>
      <c r="FF45" s="174"/>
      <c r="FG45" s="174"/>
      <c r="FH45" s="174"/>
      <c r="FI45" s="174"/>
      <c r="FJ45" s="174"/>
      <c r="FK45" s="174"/>
      <c r="FL45" s="174"/>
      <c r="FM45" s="174"/>
      <c r="FN45" s="174"/>
      <c r="FO45" s="174"/>
      <c r="FP45" s="174"/>
      <c r="FQ45" s="174"/>
      <c r="FR45" s="174"/>
      <c r="FS45" s="174"/>
      <c r="FT45" s="174"/>
      <c r="FU45" s="174"/>
      <c r="FV45" s="174"/>
      <c r="FW45" s="174"/>
      <c r="FX45" s="174"/>
      <c r="FY45" s="174"/>
      <c r="FZ45" s="174"/>
      <c r="GA45" s="174"/>
      <c r="GB45" s="174"/>
      <c r="GC45" s="174"/>
      <c r="GD45" s="174"/>
      <c r="GE45" s="174"/>
      <c r="GF45" s="174"/>
      <c r="GG45" s="174"/>
      <c r="GH45" s="174"/>
      <c r="GI45" s="174"/>
      <c r="GJ45" s="174"/>
      <c r="GK45" s="174"/>
      <c r="GL45" s="174"/>
      <c r="GM45" s="174"/>
      <c r="GN45" s="174"/>
      <c r="GO45" s="174"/>
      <c r="GP45" s="174"/>
      <c r="GQ45" s="174"/>
      <c r="GR45" s="174"/>
      <c r="GS45" s="174"/>
      <c r="GT45" s="174"/>
      <c r="GU45" s="174"/>
      <c r="GV45" s="174"/>
      <c r="GW45" s="174"/>
      <c r="GX45" s="174"/>
      <c r="GY45" s="174"/>
      <c r="GZ45" s="174"/>
      <c r="HA45" s="174"/>
      <c r="HB45" s="174"/>
      <c r="HC45" s="174"/>
      <c r="HD45" s="174"/>
      <c r="HE45" s="174"/>
      <c r="HF45" s="174"/>
      <c r="HG45" s="174"/>
      <c r="HH45" s="174"/>
      <c r="HI45" s="174"/>
      <c r="HJ45" s="174"/>
      <c r="HK45" s="174"/>
      <c r="HL45" s="174"/>
      <c r="HM45" s="174"/>
      <c r="HN45" s="174"/>
      <c r="HO45" s="174"/>
      <c r="HP45" s="174"/>
      <c r="HQ45" s="174"/>
      <c r="HR45" s="174"/>
      <c r="HS45" s="174"/>
      <c r="HT45" s="174"/>
      <c r="HU45" s="174"/>
      <c r="HV45" s="174"/>
      <c r="HW45" s="174"/>
      <c r="HX45" s="174"/>
      <c r="HY45" s="174"/>
      <c r="HZ45" s="174"/>
      <c r="IA45" s="174"/>
      <c r="IB45" s="174"/>
      <c r="IC45" s="174"/>
      <c r="ID45" s="174"/>
      <c r="IE45" s="174"/>
      <c r="IF45" s="174"/>
      <c r="IG45" s="174"/>
      <c r="IH45" s="174"/>
      <c r="II45" s="174"/>
      <c r="IJ45" s="174"/>
      <c r="IK45" s="174"/>
      <c r="IL45" s="174"/>
      <c r="IM45" s="174"/>
      <c r="IN45" s="174"/>
      <c r="IO45" s="174"/>
      <c r="IP45" s="174"/>
      <c r="IQ45" s="174"/>
      <c r="IR45" s="174"/>
      <c r="IS45" s="174"/>
      <c r="IT45" s="174"/>
      <c r="IU45" s="174"/>
      <c r="IV45" s="174"/>
    </row>
    <row r="46" spans="1:256" s="287" customFormat="1" ht="18" customHeight="1" x14ac:dyDescent="0.35">
      <c r="A46" s="301">
        <v>38</v>
      </c>
      <c r="B46" s="295"/>
      <c r="C46" s="175"/>
      <c r="D46" s="360" t="s">
        <v>268</v>
      </c>
      <c r="E46" s="183"/>
      <c r="F46" s="291"/>
      <c r="G46" s="184"/>
      <c r="H46" s="373"/>
      <c r="I46" s="370"/>
      <c r="J46" s="288"/>
      <c r="K46" s="384">
        <v>29701</v>
      </c>
      <c r="L46" s="288"/>
      <c r="M46" s="384"/>
      <c r="N46" s="288"/>
      <c r="O46" s="288"/>
      <c r="P46" s="357">
        <f>SUM(I46:O46)</f>
        <v>29701</v>
      </c>
      <c r="Q46" s="292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4"/>
      <c r="DK46" s="174"/>
      <c r="DL46" s="174"/>
      <c r="DM46" s="174"/>
      <c r="DN46" s="174"/>
      <c r="DO46" s="174"/>
      <c r="DP46" s="174"/>
      <c r="DQ46" s="174"/>
      <c r="DR46" s="174"/>
      <c r="DS46" s="174"/>
      <c r="DT46" s="174"/>
      <c r="DU46" s="174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4"/>
      <c r="EG46" s="174"/>
      <c r="EH46" s="174"/>
      <c r="EI46" s="174"/>
      <c r="EJ46" s="174"/>
      <c r="EK46" s="174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  <c r="EV46" s="174"/>
      <c r="EW46" s="174"/>
      <c r="EX46" s="174"/>
      <c r="EY46" s="174"/>
      <c r="EZ46" s="174"/>
      <c r="FA46" s="174"/>
      <c r="FB46" s="174"/>
      <c r="FC46" s="174"/>
      <c r="FD46" s="174"/>
      <c r="FE46" s="174"/>
      <c r="FF46" s="174"/>
      <c r="FG46" s="174"/>
      <c r="FH46" s="174"/>
      <c r="FI46" s="174"/>
      <c r="FJ46" s="174"/>
      <c r="FK46" s="174"/>
      <c r="FL46" s="174"/>
      <c r="FM46" s="174"/>
      <c r="FN46" s="174"/>
      <c r="FO46" s="174"/>
      <c r="FP46" s="174"/>
      <c r="FQ46" s="174"/>
      <c r="FR46" s="174"/>
      <c r="FS46" s="174"/>
      <c r="FT46" s="174"/>
      <c r="FU46" s="174"/>
      <c r="FV46" s="174"/>
      <c r="FW46" s="174"/>
      <c r="FX46" s="174"/>
      <c r="FY46" s="174"/>
      <c r="FZ46" s="174"/>
      <c r="GA46" s="174"/>
      <c r="GB46" s="174"/>
      <c r="GC46" s="174"/>
      <c r="GD46" s="174"/>
      <c r="GE46" s="174"/>
      <c r="GF46" s="174"/>
      <c r="GG46" s="174"/>
      <c r="GH46" s="174"/>
      <c r="GI46" s="174"/>
      <c r="GJ46" s="174"/>
      <c r="GK46" s="174"/>
      <c r="GL46" s="174"/>
      <c r="GM46" s="174"/>
      <c r="GN46" s="174"/>
      <c r="GO46" s="174"/>
      <c r="GP46" s="174"/>
      <c r="GQ46" s="174"/>
      <c r="GR46" s="174"/>
      <c r="GS46" s="174"/>
      <c r="GT46" s="174"/>
      <c r="GU46" s="174"/>
      <c r="GV46" s="174"/>
      <c r="GW46" s="174"/>
      <c r="GX46" s="174"/>
      <c r="GY46" s="174"/>
      <c r="GZ46" s="174"/>
      <c r="HA46" s="174"/>
      <c r="HB46" s="174"/>
      <c r="HC46" s="174"/>
      <c r="HD46" s="174"/>
      <c r="HE46" s="174"/>
      <c r="HF46" s="174"/>
      <c r="HG46" s="174"/>
      <c r="HH46" s="174"/>
      <c r="HI46" s="174"/>
      <c r="HJ46" s="174"/>
      <c r="HK46" s="174"/>
      <c r="HL46" s="174"/>
      <c r="HM46" s="174"/>
      <c r="HN46" s="174"/>
      <c r="HO46" s="174"/>
      <c r="HP46" s="174"/>
      <c r="HQ46" s="174"/>
      <c r="HR46" s="174"/>
      <c r="HS46" s="174"/>
      <c r="HT46" s="174"/>
      <c r="HU46" s="174"/>
      <c r="HV46" s="174"/>
      <c r="HW46" s="174"/>
      <c r="HX46" s="174"/>
      <c r="HY46" s="174"/>
      <c r="HZ46" s="174"/>
      <c r="IA46" s="174"/>
      <c r="IB46" s="174"/>
      <c r="IC46" s="174"/>
      <c r="ID46" s="174"/>
      <c r="IE46" s="174"/>
      <c r="IF46" s="174"/>
      <c r="IG46" s="174"/>
      <c r="IH46" s="174"/>
      <c r="II46" s="174"/>
      <c r="IJ46" s="174"/>
      <c r="IK46" s="174"/>
      <c r="IL46" s="174"/>
      <c r="IM46" s="174"/>
      <c r="IN46" s="174"/>
      <c r="IO46" s="174"/>
      <c r="IP46" s="174"/>
      <c r="IQ46" s="174"/>
      <c r="IR46" s="174"/>
      <c r="IS46" s="174"/>
      <c r="IT46" s="174"/>
      <c r="IU46" s="174"/>
      <c r="IV46" s="174"/>
    </row>
    <row r="47" spans="1:256" s="287" customFormat="1" ht="18" customHeight="1" x14ac:dyDescent="0.35">
      <c r="A47" s="301">
        <v>39</v>
      </c>
      <c r="B47" s="295"/>
      <c r="C47" s="175"/>
      <c r="D47" s="225" t="s">
        <v>796</v>
      </c>
      <c r="E47" s="183"/>
      <c r="F47" s="291"/>
      <c r="G47" s="184"/>
      <c r="H47" s="373"/>
      <c r="I47" s="370"/>
      <c r="J47" s="288"/>
      <c r="K47" s="288">
        <v>29701</v>
      </c>
      <c r="L47" s="288"/>
      <c r="M47" s="288"/>
      <c r="N47" s="288"/>
      <c r="O47" s="288"/>
      <c r="P47" s="296">
        <f t="shared" ref="P47:P48" si="10">SUM(I47:O47)</f>
        <v>29701</v>
      </c>
      <c r="Q47" s="292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74"/>
      <c r="EE47" s="174"/>
      <c r="EF47" s="174"/>
      <c r="EG47" s="174"/>
      <c r="EH47" s="174"/>
      <c r="EI47" s="174"/>
      <c r="EJ47" s="174"/>
      <c r="EK47" s="174"/>
      <c r="EL47" s="174"/>
      <c r="EM47" s="174"/>
      <c r="EN47" s="174"/>
      <c r="EO47" s="174"/>
      <c r="EP47" s="174"/>
      <c r="EQ47" s="174"/>
      <c r="ER47" s="174"/>
      <c r="ES47" s="174"/>
      <c r="ET47" s="174"/>
      <c r="EU47" s="174"/>
      <c r="EV47" s="174"/>
      <c r="EW47" s="174"/>
      <c r="EX47" s="174"/>
      <c r="EY47" s="174"/>
      <c r="EZ47" s="174"/>
      <c r="FA47" s="174"/>
      <c r="FB47" s="174"/>
      <c r="FC47" s="174"/>
      <c r="FD47" s="174"/>
      <c r="FE47" s="174"/>
      <c r="FF47" s="174"/>
      <c r="FG47" s="174"/>
      <c r="FH47" s="174"/>
      <c r="FI47" s="174"/>
      <c r="FJ47" s="174"/>
      <c r="FK47" s="174"/>
      <c r="FL47" s="174"/>
      <c r="FM47" s="174"/>
      <c r="FN47" s="174"/>
      <c r="FO47" s="174"/>
      <c r="FP47" s="174"/>
      <c r="FQ47" s="174"/>
      <c r="FR47" s="174"/>
      <c r="FS47" s="174"/>
      <c r="FT47" s="174"/>
      <c r="FU47" s="174"/>
      <c r="FV47" s="174"/>
      <c r="FW47" s="174"/>
      <c r="FX47" s="174"/>
      <c r="FY47" s="174"/>
      <c r="FZ47" s="174"/>
      <c r="GA47" s="174"/>
      <c r="GB47" s="174"/>
      <c r="GC47" s="174"/>
      <c r="GD47" s="174"/>
      <c r="GE47" s="174"/>
      <c r="GF47" s="174"/>
      <c r="GG47" s="174"/>
      <c r="GH47" s="174"/>
      <c r="GI47" s="174"/>
      <c r="GJ47" s="174"/>
      <c r="GK47" s="174"/>
      <c r="GL47" s="174"/>
      <c r="GM47" s="174"/>
      <c r="GN47" s="174"/>
      <c r="GO47" s="174"/>
      <c r="GP47" s="174"/>
      <c r="GQ47" s="174"/>
      <c r="GR47" s="174"/>
      <c r="GS47" s="174"/>
      <c r="GT47" s="174"/>
      <c r="GU47" s="174"/>
      <c r="GV47" s="174"/>
      <c r="GW47" s="174"/>
      <c r="GX47" s="174"/>
      <c r="GY47" s="174"/>
      <c r="GZ47" s="174"/>
      <c r="HA47" s="174"/>
      <c r="HB47" s="174"/>
      <c r="HC47" s="174"/>
      <c r="HD47" s="174"/>
      <c r="HE47" s="174"/>
      <c r="HF47" s="174"/>
      <c r="HG47" s="174"/>
      <c r="HH47" s="174"/>
      <c r="HI47" s="174"/>
      <c r="HJ47" s="174"/>
      <c r="HK47" s="174"/>
      <c r="HL47" s="174"/>
      <c r="HM47" s="174"/>
      <c r="HN47" s="174"/>
      <c r="HO47" s="174"/>
      <c r="HP47" s="174"/>
      <c r="HQ47" s="174"/>
      <c r="HR47" s="174"/>
      <c r="HS47" s="174"/>
      <c r="HT47" s="174"/>
      <c r="HU47" s="174"/>
      <c r="HV47" s="174"/>
      <c r="HW47" s="174"/>
      <c r="HX47" s="174"/>
      <c r="HY47" s="174"/>
      <c r="HZ47" s="174"/>
      <c r="IA47" s="174"/>
      <c r="IB47" s="174"/>
      <c r="IC47" s="174"/>
      <c r="ID47" s="174"/>
      <c r="IE47" s="174"/>
      <c r="IF47" s="174"/>
      <c r="IG47" s="174"/>
      <c r="IH47" s="174"/>
      <c r="II47" s="174"/>
      <c r="IJ47" s="174"/>
      <c r="IK47" s="174"/>
      <c r="IL47" s="174"/>
      <c r="IM47" s="174"/>
      <c r="IN47" s="174"/>
      <c r="IO47" s="174"/>
      <c r="IP47" s="174"/>
      <c r="IQ47" s="174"/>
      <c r="IR47" s="174"/>
      <c r="IS47" s="174"/>
      <c r="IT47" s="174"/>
      <c r="IU47" s="174"/>
      <c r="IV47" s="174"/>
    </row>
    <row r="48" spans="1:256" s="287" customFormat="1" ht="18" customHeight="1" x14ac:dyDescent="0.35">
      <c r="A48" s="301">
        <v>40</v>
      </c>
      <c r="B48" s="295"/>
      <c r="C48" s="175"/>
      <c r="D48" s="187" t="s">
        <v>860</v>
      </c>
      <c r="E48" s="183"/>
      <c r="F48" s="291"/>
      <c r="G48" s="184"/>
      <c r="H48" s="373"/>
      <c r="I48" s="1198"/>
      <c r="J48" s="1194"/>
      <c r="K48" s="1194">
        <v>526</v>
      </c>
      <c r="L48" s="1194"/>
      <c r="M48" s="1194"/>
      <c r="N48" s="1194"/>
      <c r="O48" s="1194"/>
      <c r="P48" s="1191">
        <f t="shared" si="10"/>
        <v>526</v>
      </c>
      <c r="Q48" s="292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4"/>
      <c r="FE48" s="174"/>
      <c r="FF48" s="174"/>
      <c r="FG48" s="174"/>
      <c r="FH48" s="174"/>
      <c r="FI48" s="174"/>
      <c r="FJ48" s="174"/>
      <c r="FK48" s="174"/>
      <c r="FL48" s="174"/>
      <c r="FM48" s="174"/>
      <c r="FN48" s="174"/>
      <c r="FO48" s="174"/>
      <c r="FP48" s="174"/>
      <c r="FQ48" s="174"/>
      <c r="FR48" s="174"/>
      <c r="FS48" s="174"/>
      <c r="FT48" s="174"/>
      <c r="FU48" s="174"/>
      <c r="FV48" s="174"/>
      <c r="FW48" s="174"/>
      <c r="FX48" s="174"/>
      <c r="FY48" s="174"/>
      <c r="FZ48" s="174"/>
      <c r="GA48" s="174"/>
      <c r="GB48" s="174"/>
      <c r="GC48" s="174"/>
      <c r="GD48" s="174"/>
      <c r="GE48" s="174"/>
      <c r="GF48" s="174"/>
      <c r="GG48" s="174"/>
      <c r="GH48" s="174"/>
      <c r="GI48" s="174"/>
      <c r="GJ48" s="174"/>
      <c r="GK48" s="174"/>
      <c r="GL48" s="174"/>
      <c r="GM48" s="174"/>
      <c r="GN48" s="174"/>
      <c r="GO48" s="174"/>
      <c r="GP48" s="174"/>
      <c r="GQ48" s="174"/>
      <c r="GR48" s="174"/>
      <c r="GS48" s="174"/>
      <c r="GT48" s="174"/>
      <c r="GU48" s="174"/>
      <c r="GV48" s="174"/>
      <c r="GW48" s="174"/>
      <c r="GX48" s="174"/>
      <c r="GY48" s="174"/>
      <c r="GZ48" s="174"/>
      <c r="HA48" s="174"/>
      <c r="HB48" s="174"/>
      <c r="HC48" s="174"/>
      <c r="HD48" s="174"/>
      <c r="HE48" s="174"/>
      <c r="HF48" s="174"/>
      <c r="HG48" s="174"/>
      <c r="HH48" s="174"/>
      <c r="HI48" s="174"/>
      <c r="HJ48" s="174"/>
      <c r="HK48" s="174"/>
      <c r="HL48" s="174"/>
      <c r="HM48" s="174"/>
      <c r="HN48" s="174"/>
      <c r="HO48" s="174"/>
      <c r="HP48" s="174"/>
      <c r="HQ48" s="174"/>
      <c r="HR48" s="174"/>
      <c r="HS48" s="174"/>
      <c r="HT48" s="174"/>
      <c r="HU48" s="174"/>
      <c r="HV48" s="174"/>
      <c r="HW48" s="174"/>
      <c r="HX48" s="174"/>
      <c r="HY48" s="174"/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  <c r="IL48" s="174"/>
      <c r="IM48" s="174"/>
      <c r="IN48" s="174"/>
      <c r="IO48" s="174"/>
      <c r="IP48" s="174"/>
      <c r="IQ48" s="174"/>
      <c r="IR48" s="174"/>
      <c r="IS48" s="174"/>
      <c r="IT48" s="174"/>
      <c r="IU48" s="174"/>
      <c r="IV48" s="174"/>
    </row>
    <row r="49" spans="1:256" s="287" customFormat="1" ht="20.100000000000001" customHeight="1" x14ac:dyDescent="0.35">
      <c r="A49" s="301">
        <v>41</v>
      </c>
      <c r="B49" s="295"/>
      <c r="C49" s="175"/>
      <c r="D49" s="176" t="s">
        <v>573</v>
      </c>
      <c r="E49" s="183">
        <f>F49+G49+P51+Q50</f>
        <v>32400</v>
      </c>
      <c r="F49" s="291"/>
      <c r="G49" s="184">
        <v>1715</v>
      </c>
      <c r="H49" s="373"/>
      <c r="I49" s="370"/>
      <c r="J49" s="288"/>
      <c r="K49" s="288"/>
      <c r="L49" s="288"/>
      <c r="M49" s="384"/>
      <c r="N49" s="288"/>
      <c r="O49" s="288"/>
      <c r="P49" s="357"/>
      <c r="Q49" s="292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4"/>
      <c r="EH49" s="174"/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4"/>
      <c r="EX49" s="174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4"/>
      <c r="FK49" s="174"/>
      <c r="FL49" s="174"/>
      <c r="FM49" s="174"/>
      <c r="FN49" s="174"/>
      <c r="FO49" s="174"/>
      <c r="FP49" s="174"/>
      <c r="FQ49" s="174"/>
      <c r="FR49" s="174"/>
      <c r="FS49" s="174"/>
      <c r="FT49" s="174"/>
      <c r="FU49" s="174"/>
      <c r="FV49" s="174"/>
      <c r="FW49" s="174"/>
      <c r="FX49" s="174"/>
      <c r="FY49" s="174"/>
      <c r="FZ49" s="174"/>
      <c r="GA49" s="174"/>
      <c r="GB49" s="174"/>
      <c r="GC49" s="174"/>
      <c r="GD49" s="174"/>
      <c r="GE49" s="174"/>
      <c r="GF49" s="174"/>
      <c r="GG49" s="174"/>
      <c r="GH49" s="174"/>
      <c r="GI49" s="174"/>
      <c r="GJ49" s="174"/>
      <c r="GK49" s="174"/>
      <c r="GL49" s="174"/>
      <c r="GM49" s="174"/>
      <c r="GN49" s="174"/>
      <c r="GO49" s="174"/>
      <c r="GP49" s="174"/>
      <c r="GQ49" s="174"/>
      <c r="GR49" s="174"/>
      <c r="GS49" s="174"/>
      <c r="GT49" s="174"/>
      <c r="GU49" s="174"/>
      <c r="GV49" s="174"/>
      <c r="GW49" s="174"/>
      <c r="GX49" s="174"/>
      <c r="GY49" s="174"/>
      <c r="GZ49" s="174"/>
      <c r="HA49" s="174"/>
      <c r="HB49" s="174"/>
      <c r="HC49" s="174"/>
      <c r="HD49" s="174"/>
      <c r="HE49" s="174"/>
      <c r="HF49" s="174"/>
      <c r="HG49" s="174"/>
      <c r="HH49" s="174"/>
      <c r="HI49" s="174"/>
      <c r="HJ49" s="174"/>
      <c r="HK49" s="174"/>
      <c r="HL49" s="174"/>
      <c r="HM49" s="174"/>
      <c r="HN49" s="174"/>
      <c r="HO49" s="174"/>
      <c r="HP49" s="174"/>
      <c r="HQ49" s="174"/>
      <c r="HR49" s="174"/>
      <c r="HS49" s="174"/>
      <c r="HT49" s="174"/>
      <c r="HU49" s="174"/>
      <c r="HV49" s="174"/>
      <c r="HW49" s="174"/>
      <c r="HX49" s="174"/>
      <c r="HY49" s="174"/>
      <c r="HZ49" s="174"/>
      <c r="IA49" s="174"/>
      <c r="IB49" s="174"/>
      <c r="IC49" s="174"/>
      <c r="ID49" s="174"/>
      <c r="IE49" s="174"/>
      <c r="IF49" s="174"/>
      <c r="IG49" s="174"/>
      <c r="IH49" s="174"/>
      <c r="II49" s="174"/>
      <c r="IJ49" s="174"/>
      <c r="IK49" s="174"/>
      <c r="IL49" s="174"/>
      <c r="IM49" s="174"/>
      <c r="IN49" s="174"/>
      <c r="IO49" s="174"/>
      <c r="IP49" s="174"/>
      <c r="IQ49" s="174"/>
      <c r="IR49" s="174"/>
      <c r="IS49" s="174"/>
      <c r="IT49" s="174"/>
      <c r="IU49" s="174"/>
      <c r="IV49" s="174"/>
    </row>
    <row r="50" spans="1:256" s="287" customFormat="1" ht="18" customHeight="1" x14ac:dyDescent="0.35">
      <c r="A50" s="301">
        <v>42</v>
      </c>
      <c r="B50" s="295"/>
      <c r="C50" s="175"/>
      <c r="D50" s="360" t="s">
        <v>268</v>
      </c>
      <c r="E50" s="183"/>
      <c r="F50" s="291"/>
      <c r="G50" s="184"/>
      <c r="H50" s="373"/>
      <c r="I50" s="370"/>
      <c r="J50" s="288"/>
      <c r="K50" s="288"/>
      <c r="L50" s="288"/>
      <c r="M50" s="384">
        <v>30685</v>
      </c>
      <c r="N50" s="288"/>
      <c r="O50" s="288"/>
      <c r="P50" s="357">
        <f>SUM(I50:O50)</f>
        <v>30685</v>
      </c>
      <c r="Q50" s="292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B50" s="174"/>
      <c r="EC50" s="174"/>
      <c r="ED50" s="174"/>
      <c r="EE50" s="174"/>
      <c r="EF50" s="174"/>
      <c r="EG50" s="174"/>
      <c r="EH50" s="174"/>
      <c r="EI50" s="174"/>
      <c r="EJ50" s="174"/>
      <c r="EK50" s="174"/>
      <c r="EL50" s="174"/>
      <c r="EM50" s="174"/>
      <c r="EN50" s="174"/>
      <c r="EO50" s="174"/>
      <c r="EP50" s="174"/>
      <c r="EQ50" s="174"/>
      <c r="ER50" s="174"/>
      <c r="ES50" s="174"/>
      <c r="ET50" s="174"/>
      <c r="EU50" s="174"/>
      <c r="EV50" s="174"/>
      <c r="EW50" s="174"/>
      <c r="EX50" s="174"/>
      <c r="EY50" s="174"/>
      <c r="EZ50" s="174"/>
      <c r="FA50" s="174"/>
      <c r="FB50" s="174"/>
      <c r="FC50" s="174"/>
      <c r="FD50" s="174"/>
      <c r="FE50" s="174"/>
      <c r="FF50" s="174"/>
      <c r="FG50" s="174"/>
      <c r="FH50" s="174"/>
      <c r="FI50" s="174"/>
      <c r="FJ50" s="174"/>
      <c r="FK50" s="174"/>
      <c r="FL50" s="174"/>
      <c r="FM50" s="174"/>
      <c r="FN50" s="174"/>
      <c r="FO50" s="174"/>
      <c r="FP50" s="174"/>
      <c r="FQ50" s="174"/>
      <c r="FR50" s="174"/>
      <c r="FS50" s="174"/>
      <c r="FT50" s="174"/>
      <c r="FU50" s="174"/>
      <c r="FV50" s="174"/>
      <c r="FW50" s="174"/>
      <c r="FX50" s="174"/>
      <c r="FY50" s="174"/>
      <c r="FZ50" s="174"/>
      <c r="GA50" s="174"/>
      <c r="GB50" s="174"/>
      <c r="GC50" s="174"/>
      <c r="GD50" s="174"/>
      <c r="GE50" s="174"/>
      <c r="GF50" s="174"/>
      <c r="GG50" s="174"/>
      <c r="GH50" s="174"/>
      <c r="GI50" s="174"/>
      <c r="GJ50" s="174"/>
      <c r="GK50" s="174"/>
      <c r="GL50" s="174"/>
      <c r="GM50" s="174"/>
      <c r="GN50" s="174"/>
      <c r="GO50" s="174"/>
      <c r="GP50" s="174"/>
      <c r="GQ50" s="174"/>
      <c r="GR50" s="174"/>
      <c r="GS50" s="174"/>
      <c r="GT50" s="174"/>
      <c r="GU50" s="174"/>
      <c r="GV50" s="174"/>
      <c r="GW50" s="174"/>
      <c r="GX50" s="174"/>
      <c r="GY50" s="174"/>
      <c r="GZ50" s="174"/>
      <c r="HA50" s="174"/>
      <c r="HB50" s="174"/>
      <c r="HC50" s="174"/>
      <c r="HD50" s="174"/>
      <c r="HE50" s="174"/>
      <c r="HF50" s="174"/>
      <c r="HG50" s="174"/>
      <c r="HH50" s="174"/>
      <c r="HI50" s="174"/>
      <c r="HJ50" s="174"/>
      <c r="HK50" s="174"/>
      <c r="HL50" s="174"/>
      <c r="HM50" s="174"/>
      <c r="HN50" s="174"/>
      <c r="HO50" s="174"/>
      <c r="HP50" s="174"/>
      <c r="HQ50" s="174"/>
      <c r="HR50" s="174"/>
      <c r="HS50" s="174"/>
      <c r="HT50" s="174"/>
      <c r="HU50" s="174"/>
      <c r="HV50" s="174"/>
      <c r="HW50" s="174"/>
      <c r="HX50" s="174"/>
      <c r="HY50" s="174"/>
      <c r="HZ50" s="174"/>
      <c r="IA50" s="174"/>
      <c r="IB50" s="174"/>
      <c r="IC50" s="174"/>
      <c r="ID50" s="174"/>
      <c r="IE50" s="174"/>
      <c r="IF50" s="174"/>
      <c r="IG50" s="174"/>
      <c r="IH50" s="174"/>
      <c r="II50" s="174"/>
      <c r="IJ50" s="174"/>
      <c r="IK50" s="174"/>
      <c r="IL50" s="174"/>
      <c r="IM50" s="174"/>
      <c r="IN50" s="174"/>
      <c r="IO50" s="174"/>
      <c r="IP50" s="174"/>
      <c r="IQ50" s="174"/>
      <c r="IR50" s="174"/>
      <c r="IS50" s="174"/>
      <c r="IT50" s="174"/>
      <c r="IU50" s="174"/>
      <c r="IV50" s="174"/>
    </row>
    <row r="51" spans="1:256" s="287" customFormat="1" ht="18" customHeight="1" x14ac:dyDescent="0.35">
      <c r="A51" s="301">
        <v>43</v>
      </c>
      <c r="B51" s="295"/>
      <c r="C51" s="175"/>
      <c r="D51" s="225" t="s">
        <v>796</v>
      </c>
      <c r="E51" s="183"/>
      <c r="F51" s="291"/>
      <c r="G51" s="184"/>
      <c r="H51" s="373"/>
      <c r="I51" s="370"/>
      <c r="J51" s="288"/>
      <c r="K51" s="288"/>
      <c r="L51" s="288"/>
      <c r="M51" s="288">
        <v>30685</v>
      </c>
      <c r="N51" s="288"/>
      <c r="O51" s="288"/>
      <c r="P51" s="296">
        <f t="shared" ref="P51:P52" si="11">SUM(I51:O51)</f>
        <v>30685</v>
      </c>
      <c r="Q51" s="292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4"/>
      <c r="DK51" s="174"/>
      <c r="DL51" s="174"/>
      <c r="DM51" s="174"/>
      <c r="DN51" s="174"/>
      <c r="DO51" s="174"/>
      <c r="DP51" s="174"/>
      <c r="DQ51" s="174"/>
      <c r="DR51" s="174"/>
      <c r="DS51" s="174"/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74"/>
      <c r="EE51" s="174"/>
      <c r="EF51" s="174"/>
      <c r="EG51" s="174"/>
      <c r="EH51" s="174"/>
      <c r="EI51" s="174"/>
      <c r="EJ51" s="174"/>
      <c r="EK51" s="174"/>
      <c r="EL51" s="174"/>
      <c r="EM51" s="174"/>
      <c r="EN51" s="174"/>
      <c r="EO51" s="174"/>
      <c r="EP51" s="174"/>
      <c r="EQ51" s="174"/>
      <c r="ER51" s="174"/>
      <c r="ES51" s="174"/>
      <c r="ET51" s="174"/>
      <c r="EU51" s="174"/>
      <c r="EV51" s="174"/>
      <c r="EW51" s="174"/>
      <c r="EX51" s="174"/>
      <c r="EY51" s="174"/>
      <c r="EZ51" s="174"/>
      <c r="FA51" s="174"/>
      <c r="FB51" s="174"/>
      <c r="FC51" s="174"/>
      <c r="FD51" s="174"/>
      <c r="FE51" s="174"/>
      <c r="FF51" s="174"/>
      <c r="FG51" s="174"/>
      <c r="FH51" s="174"/>
      <c r="FI51" s="174"/>
      <c r="FJ51" s="174"/>
      <c r="FK51" s="174"/>
      <c r="FL51" s="174"/>
      <c r="FM51" s="174"/>
      <c r="FN51" s="174"/>
      <c r="FO51" s="174"/>
      <c r="FP51" s="174"/>
      <c r="FQ51" s="174"/>
      <c r="FR51" s="174"/>
      <c r="FS51" s="174"/>
      <c r="FT51" s="174"/>
      <c r="FU51" s="174"/>
      <c r="FV51" s="174"/>
      <c r="FW51" s="174"/>
      <c r="FX51" s="174"/>
      <c r="FY51" s="174"/>
      <c r="FZ51" s="174"/>
      <c r="GA51" s="174"/>
      <c r="GB51" s="174"/>
      <c r="GC51" s="174"/>
      <c r="GD51" s="174"/>
      <c r="GE51" s="174"/>
      <c r="GF51" s="174"/>
      <c r="GG51" s="174"/>
      <c r="GH51" s="174"/>
      <c r="GI51" s="174"/>
      <c r="GJ51" s="174"/>
      <c r="GK51" s="174"/>
      <c r="GL51" s="174"/>
      <c r="GM51" s="174"/>
      <c r="GN51" s="174"/>
      <c r="GO51" s="174"/>
      <c r="GP51" s="174"/>
      <c r="GQ51" s="174"/>
      <c r="GR51" s="174"/>
      <c r="GS51" s="174"/>
      <c r="GT51" s="174"/>
      <c r="GU51" s="174"/>
      <c r="GV51" s="174"/>
      <c r="GW51" s="174"/>
      <c r="GX51" s="174"/>
      <c r="GY51" s="174"/>
      <c r="GZ51" s="174"/>
      <c r="HA51" s="174"/>
      <c r="HB51" s="174"/>
      <c r="HC51" s="174"/>
      <c r="HD51" s="174"/>
      <c r="HE51" s="174"/>
      <c r="HF51" s="174"/>
      <c r="HG51" s="174"/>
      <c r="HH51" s="174"/>
      <c r="HI51" s="174"/>
      <c r="HJ51" s="174"/>
      <c r="HK51" s="174"/>
      <c r="HL51" s="174"/>
      <c r="HM51" s="174"/>
      <c r="HN51" s="174"/>
      <c r="HO51" s="174"/>
      <c r="HP51" s="174"/>
      <c r="HQ51" s="174"/>
      <c r="HR51" s="174"/>
      <c r="HS51" s="174"/>
      <c r="HT51" s="174"/>
      <c r="HU51" s="174"/>
      <c r="HV51" s="174"/>
      <c r="HW51" s="174"/>
      <c r="HX51" s="174"/>
      <c r="HY51" s="174"/>
      <c r="HZ51" s="174"/>
      <c r="IA51" s="174"/>
      <c r="IB51" s="174"/>
      <c r="IC51" s="174"/>
      <c r="ID51" s="174"/>
      <c r="IE51" s="174"/>
      <c r="IF51" s="174"/>
      <c r="IG51" s="174"/>
      <c r="IH51" s="174"/>
      <c r="II51" s="174"/>
      <c r="IJ51" s="174"/>
      <c r="IK51" s="174"/>
      <c r="IL51" s="174"/>
      <c r="IM51" s="174"/>
      <c r="IN51" s="174"/>
      <c r="IO51" s="174"/>
      <c r="IP51" s="174"/>
      <c r="IQ51" s="174"/>
      <c r="IR51" s="174"/>
      <c r="IS51" s="174"/>
      <c r="IT51" s="174"/>
      <c r="IU51" s="174"/>
      <c r="IV51" s="174"/>
    </row>
    <row r="52" spans="1:256" s="287" customFormat="1" ht="18" customHeight="1" x14ac:dyDescent="0.35">
      <c r="A52" s="301">
        <v>44</v>
      </c>
      <c r="B52" s="295"/>
      <c r="C52" s="175"/>
      <c r="D52" s="187" t="s">
        <v>860</v>
      </c>
      <c r="E52" s="183"/>
      <c r="F52" s="291"/>
      <c r="G52" s="184"/>
      <c r="H52" s="373"/>
      <c r="I52" s="1198"/>
      <c r="J52" s="1194"/>
      <c r="K52" s="1194"/>
      <c r="L52" s="1194"/>
      <c r="M52" s="1194">
        <v>28130</v>
      </c>
      <c r="N52" s="1194"/>
      <c r="O52" s="1194"/>
      <c r="P52" s="1191">
        <f t="shared" si="11"/>
        <v>28130</v>
      </c>
      <c r="Q52" s="292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4"/>
      <c r="DT52" s="174"/>
      <c r="DU52" s="174"/>
      <c r="DV52" s="174"/>
      <c r="DW52" s="174"/>
      <c r="DX52" s="174"/>
      <c r="DY52" s="174"/>
      <c r="DZ52" s="174"/>
      <c r="EA52" s="174"/>
      <c r="EB52" s="174"/>
      <c r="EC52" s="174"/>
      <c r="ED52" s="174"/>
      <c r="EE52" s="174"/>
      <c r="EF52" s="174"/>
      <c r="EG52" s="174"/>
      <c r="EH52" s="174"/>
      <c r="EI52" s="174"/>
      <c r="EJ52" s="174"/>
      <c r="EK52" s="174"/>
      <c r="EL52" s="174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  <c r="FB52" s="174"/>
      <c r="FC52" s="174"/>
      <c r="FD52" s="174"/>
      <c r="FE52" s="174"/>
      <c r="FF52" s="174"/>
      <c r="FG52" s="174"/>
      <c r="FH52" s="174"/>
      <c r="FI52" s="174"/>
      <c r="FJ52" s="174"/>
      <c r="FK52" s="174"/>
      <c r="FL52" s="174"/>
      <c r="FM52" s="174"/>
      <c r="FN52" s="174"/>
      <c r="FO52" s="174"/>
      <c r="FP52" s="174"/>
      <c r="FQ52" s="174"/>
      <c r="FR52" s="174"/>
      <c r="FS52" s="174"/>
      <c r="FT52" s="174"/>
      <c r="FU52" s="174"/>
      <c r="FV52" s="174"/>
      <c r="FW52" s="174"/>
      <c r="FX52" s="174"/>
      <c r="FY52" s="174"/>
      <c r="FZ52" s="174"/>
      <c r="GA52" s="174"/>
      <c r="GB52" s="174"/>
      <c r="GC52" s="174"/>
      <c r="GD52" s="174"/>
      <c r="GE52" s="174"/>
      <c r="GF52" s="174"/>
      <c r="GG52" s="174"/>
      <c r="GH52" s="174"/>
      <c r="GI52" s="174"/>
      <c r="GJ52" s="174"/>
      <c r="GK52" s="174"/>
      <c r="GL52" s="174"/>
      <c r="GM52" s="174"/>
      <c r="GN52" s="174"/>
      <c r="GO52" s="174"/>
      <c r="GP52" s="174"/>
      <c r="GQ52" s="174"/>
      <c r="GR52" s="174"/>
      <c r="GS52" s="174"/>
      <c r="GT52" s="174"/>
      <c r="GU52" s="174"/>
      <c r="GV52" s="174"/>
      <c r="GW52" s="174"/>
      <c r="GX52" s="174"/>
      <c r="GY52" s="174"/>
      <c r="GZ52" s="174"/>
      <c r="HA52" s="174"/>
      <c r="HB52" s="174"/>
      <c r="HC52" s="174"/>
      <c r="HD52" s="174"/>
      <c r="HE52" s="174"/>
      <c r="HF52" s="174"/>
      <c r="HG52" s="174"/>
      <c r="HH52" s="174"/>
      <c r="HI52" s="174"/>
      <c r="HJ52" s="174"/>
      <c r="HK52" s="174"/>
      <c r="HL52" s="174"/>
      <c r="HM52" s="174"/>
      <c r="HN52" s="174"/>
      <c r="HO52" s="174"/>
      <c r="HP52" s="174"/>
      <c r="HQ52" s="174"/>
      <c r="HR52" s="174"/>
      <c r="HS52" s="174"/>
      <c r="HT52" s="174"/>
      <c r="HU52" s="174"/>
      <c r="HV52" s="174"/>
      <c r="HW52" s="174"/>
      <c r="HX52" s="174"/>
      <c r="HY52" s="174"/>
      <c r="HZ52" s="174"/>
      <c r="IA52" s="174"/>
      <c r="IB52" s="174"/>
      <c r="IC52" s="174"/>
      <c r="ID52" s="174"/>
      <c r="IE52" s="174"/>
      <c r="IF52" s="174"/>
      <c r="IG52" s="174"/>
      <c r="IH52" s="174"/>
      <c r="II52" s="174"/>
      <c r="IJ52" s="174"/>
      <c r="IK52" s="174"/>
      <c r="IL52" s="174"/>
      <c r="IM52" s="174"/>
      <c r="IN52" s="174"/>
      <c r="IO52" s="174"/>
      <c r="IP52" s="174"/>
      <c r="IQ52" s="174"/>
      <c r="IR52" s="174"/>
      <c r="IS52" s="174"/>
      <c r="IT52" s="174"/>
      <c r="IU52" s="174"/>
      <c r="IV52" s="174"/>
    </row>
    <row r="53" spans="1:256" s="287" customFormat="1" ht="20.100000000000001" customHeight="1" x14ac:dyDescent="0.35">
      <c r="A53" s="301">
        <v>45</v>
      </c>
      <c r="B53" s="295"/>
      <c r="C53" s="175"/>
      <c r="D53" s="176" t="s">
        <v>574</v>
      </c>
      <c r="E53" s="183">
        <f>F53+G53+P55+Q54</f>
        <v>1729000</v>
      </c>
      <c r="F53" s="291"/>
      <c r="G53" s="184">
        <v>20955</v>
      </c>
      <c r="H53" s="373"/>
      <c r="I53" s="370"/>
      <c r="J53" s="288"/>
      <c r="K53" s="288"/>
      <c r="L53" s="288"/>
      <c r="M53" s="384"/>
      <c r="N53" s="288"/>
      <c r="O53" s="288"/>
      <c r="P53" s="357"/>
      <c r="Q53" s="292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74"/>
      <c r="EE53" s="174"/>
      <c r="EF53" s="174"/>
      <c r="EG53" s="174"/>
      <c r="EH53" s="174"/>
      <c r="EI53" s="174"/>
      <c r="EJ53" s="174"/>
      <c r="EK53" s="174"/>
      <c r="EL53" s="174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  <c r="FB53" s="174"/>
      <c r="FC53" s="174"/>
      <c r="FD53" s="174"/>
      <c r="FE53" s="174"/>
      <c r="FF53" s="174"/>
      <c r="FG53" s="174"/>
      <c r="FH53" s="174"/>
      <c r="FI53" s="174"/>
      <c r="FJ53" s="174"/>
      <c r="FK53" s="174"/>
      <c r="FL53" s="174"/>
      <c r="FM53" s="174"/>
      <c r="FN53" s="174"/>
      <c r="FO53" s="174"/>
      <c r="FP53" s="174"/>
      <c r="FQ53" s="174"/>
      <c r="FR53" s="174"/>
      <c r="FS53" s="174"/>
      <c r="FT53" s="174"/>
      <c r="FU53" s="174"/>
      <c r="FV53" s="174"/>
      <c r="FW53" s="174"/>
      <c r="FX53" s="174"/>
      <c r="FY53" s="174"/>
      <c r="FZ53" s="174"/>
      <c r="GA53" s="174"/>
      <c r="GB53" s="174"/>
      <c r="GC53" s="174"/>
      <c r="GD53" s="174"/>
      <c r="GE53" s="174"/>
      <c r="GF53" s="174"/>
      <c r="GG53" s="174"/>
      <c r="GH53" s="174"/>
      <c r="GI53" s="174"/>
      <c r="GJ53" s="174"/>
      <c r="GK53" s="174"/>
      <c r="GL53" s="174"/>
      <c r="GM53" s="174"/>
      <c r="GN53" s="174"/>
      <c r="GO53" s="174"/>
      <c r="GP53" s="174"/>
      <c r="GQ53" s="174"/>
      <c r="GR53" s="174"/>
      <c r="GS53" s="174"/>
      <c r="GT53" s="174"/>
      <c r="GU53" s="174"/>
      <c r="GV53" s="174"/>
      <c r="GW53" s="174"/>
      <c r="GX53" s="174"/>
      <c r="GY53" s="174"/>
      <c r="GZ53" s="174"/>
      <c r="HA53" s="174"/>
      <c r="HB53" s="174"/>
      <c r="HC53" s="174"/>
      <c r="HD53" s="174"/>
      <c r="HE53" s="174"/>
      <c r="HF53" s="174"/>
      <c r="HG53" s="174"/>
      <c r="HH53" s="174"/>
      <c r="HI53" s="174"/>
      <c r="HJ53" s="174"/>
      <c r="HK53" s="174"/>
      <c r="HL53" s="174"/>
      <c r="HM53" s="174"/>
      <c r="HN53" s="174"/>
      <c r="HO53" s="174"/>
      <c r="HP53" s="174"/>
      <c r="HQ53" s="174"/>
      <c r="HR53" s="174"/>
      <c r="HS53" s="174"/>
      <c r="HT53" s="174"/>
      <c r="HU53" s="174"/>
      <c r="HV53" s="174"/>
      <c r="HW53" s="174"/>
      <c r="HX53" s="174"/>
      <c r="HY53" s="174"/>
      <c r="HZ53" s="174"/>
      <c r="IA53" s="174"/>
      <c r="IB53" s="174"/>
      <c r="IC53" s="174"/>
      <c r="ID53" s="174"/>
      <c r="IE53" s="174"/>
      <c r="IF53" s="174"/>
      <c r="IG53" s="174"/>
      <c r="IH53" s="174"/>
      <c r="II53" s="174"/>
      <c r="IJ53" s="174"/>
      <c r="IK53" s="174"/>
      <c r="IL53" s="174"/>
      <c r="IM53" s="174"/>
      <c r="IN53" s="174"/>
      <c r="IO53" s="174"/>
      <c r="IP53" s="174"/>
      <c r="IQ53" s="174"/>
      <c r="IR53" s="174"/>
      <c r="IS53" s="174"/>
      <c r="IT53" s="174"/>
      <c r="IU53" s="174"/>
      <c r="IV53" s="174"/>
    </row>
    <row r="54" spans="1:256" s="287" customFormat="1" ht="18" customHeight="1" x14ac:dyDescent="0.35">
      <c r="A54" s="301">
        <v>46</v>
      </c>
      <c r="B54" s="295"/>
      <c r="C54" s="175"/>
      <c r="D54" s="360" t="s">
        <v>268</v>
      </c>
      <c r="E54" s="183"/>
      <c r="F54" s="291"/>
      <c r="G54" s="184"/>
      <c r="H54" s="373"/>
      <c r="I54" s="370"/>
      <c r="J54" s="288"/>
      <c r="K54" s="288"/>
      <c r="L54" s="288"/>
      <c r="M54" s="384">
        <v>1708045</v>
      </c>
      <c r="N54" s="288"/>
      <c r="O54" s="288"/>
      <c r="P54" s="357">
        <f>SUM(I54:O54)</f>
        <v>1708045</v>
      </c>
      <c r="Q54" s="292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4"/>
      <c r="DK54" s="174"/>
      <c r="DL54" s="174"/>
      <c r="DM54" s="174"/>
      <c r="DN54" s="174"/>
      <c r="DO54" s="174"/>
      <c r="DP54" s="174"/>
      <c r="DQ54" s="174"/>
      <c r="DR54" s="174"/>
      <c r="DS54" s="174"/>
      <c r="DT54" s="174"/>
      <c r="DU54" s="174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74"/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  <c r="FB54" s="174"/>
      <c r="FC54" s="174"/>
      <c r="FD54" s="174"/>
      <c r="FE54" s="174"/>
      <c r="FF54" s="174"/>
      <c r="FG54" s="174"/>
      <c r="FH54" s="174"/>
      <c r="FI54" s="174"/>
      <c r="FJ54" s="174"/>
      <c r="FK54" s="174"/>
      <c r="FL54" s="174"/>
      <c r="FM54" s="174"/>
      <c r="FN54" s="174"/>
      <c r="FO54" s="174"/>
      <c r="FP54" s="174"/>
      <c r="FQ54" s="174"/>
      <c r="FR54" s="174"/>
      <c r="FS54" s="174"/>
      <c r="FT54" s="174"/>
      <c r="FU54" s="174"/>
      <c r="FV54" s="174"/>
      <c r="FW54" s="174"/>
      <c r="FX54" s="174"/>
      <c r="FY54" s="174"/>
      <c r="FZ54" s="174"/>
      <c r="GA54" s="174"/>
      <c r="GB54" s="174"/>
      <c r="GC54" s="174"/>
      <c r="GD54" s="174"/>
      <c r="GE54" s="174"/>
      <c r="GF54" s="174"/>
      <c r="GG54" s="174"/>
      <c r="GH54" s="174"/>
      <c r="GI54" s="174"/>
      <c r="GJ54" s="174"/>
      <c r="GK54" s="174"/>
      <c r="GL54" s="174"/>
      <c r="GM54" s="174"/>
      <c r="GN54" s="174"/>
      <c r="GO54" s="174"/>
      <c r="GP54" s="174"/>
      <c r="GQ54" s="174"/>
      <c r="GR54" s="174"/>
      <c r="GS54" s="174"/>
      <c r="GT54" s="174"/>
      <c r="GU54" s="174"/>
      <c r="GV54" s="174"/>
      <c r="GW54" s="174"/>
      <c r="GX54" s="174"/>
      <c r="GY54" s="174"/>
      <c r="GZ54" s="174"/>
      <c r="HA54" s="174"/>
      <c r="HB54" s="174"/>
      <c r="HC54" s="174"/>
      <c r="HD54" s="174"/>
      <c r="HE54" s="174"/>
      <c r="HF54" s="174"/>
      <c r="HG54" s="174"/>
      <c r="HH54" s="174"/>
      <c r="HI54" s="174"/>
      <c r="HJ54" s="174"/>
      <c r="HK54" s="174"/>
      <c r="HL54" s="174"/>
      <c r="HM54" s="174"/>
      <c r="HN54" s="174"/>
      <c r="HO54" s="174"/>
      <c r="HP54" s="174"/>
      <c r="HQ54" s="174"/>
      <c r="HR54" s="174"/>
      <c r="HS54" s="174"/>
      <c r="HT54" s="174"/>
      <c r="HU54" s="174"/>
      <c r="HV54" s="174"/>
      <c r="HW54" s="174"/>
      <c r="HX54" s="174"/>
      <c r="HY54" s="174"/>
      <c r="HZ54" s="174"/>
      <c r="IA54" s="174"/>
      <c r="IB54" s="174"/>
      <c r="IC54" s="174"/>
      <c r="ID54" s="174"/>
      <c r="IE54" s="174"/>
      <c r="IF54" s="174"/>
      <c r="IG54" s="174"/>
      <c r="IH54" s="174"/>
      <c r="II54" s="174"/>
      <c r="IJ54" s="174"/>
      <c r="IK54" s="174"/>
      <c r="IL54" s="174"/>
      <c r="IM54" s="174"/>
      <c r="IN54" s="174"/>
      <c r="IO54" s="174"/>
      <c r="IP54" s="174"/>
      <c r="IQ54" s="174"/>
      <c r="IR54" s="174"/>
      <c r="IS54" s="174"/>
      <c r="IT54" s="174"/>
      <c r="IU54" s="174"/>
      <c r="IV54" s="174"/>
    </row>
    <row r="55" spans="1:256" s="287" customFormat="1" ht="18" customHeight="1" x14ac:dyDescent="0.35">
      <c r="A55" s="301">
        <v>47</v>
      </c>
      <c r="B55" s="295"/>
      <c r="C55" s="175"/>
      <c r="D55" s="225" t="s">
        <v>796</v>
      </c>
      <c r="E55" s="183"/>
      <c r="F55" s="291"/>
      <c r="G55" s="184"/>
      <c r="H55" s="373"/>
      <c r="I55" s="370"/>
      <c r="J55" s="288"/>
      <c r="K55" s="288"/>
      <c r="L55" s="288"/>
      <c r="M55" s="288">
        <v>1708045</v>
      </c>
      <c r="N55" s="288"/>
      <c r="O55" s="288"/>
      <c r="P55" s="296">
        <f t="shared" ref="P55:P56" si="12">SUM(I55:O55)</f>
        <v>1708045</v>
      </c>
      <c r="Q55" s="292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  <c r="FB55" s="174"/>
      <c r="FC55" s="174"/>
      <c r="FD55" s="174"/>
      <c r="FE55" s="174"/>
      <c r="FF55" s="174"/>
      <c r="FG55" s="174"/>
      <c r="FH55" s="174"/>
      <c r="FI55" s="174"/>
      <c r="FJ55" s="174"/>
      <c r="FK55" s="174"/>
      <c r="FL55" s="174"/>
      <c r="FM55" s="174"/>
      <c r="FN55" s="174"/>
      <c r="FO55" s="174"/>
      <c r="FP55" s="174"/>
      <c r="FQ55" s="174"/>
      <c r="FR55" s="174"/>
      <c r="FS55" s="174"/>
      <c r="FT55" s="174"/>
      <c r="FU55" s="174"/>
      <c r="FV55" s="174"/>
      <c r="FW55" s="174"/>
      <c r="FX55" s="174"/>
      <c r="FY55" s="174"/>
      <c r="FZ55" s="174"/>
      <c r="GA55" s="174"/>
      <c r="GB55" s="174"/>
      <c r="GC55" s="174"/>
      <c r="GD55" s="174"/>
      <c r="GE55" s="174"/>
      <c r="GF55" s="174"/>
      <c r="GG55" s="174"/>
      <c r="GH55" s="174"/>
      <c r="GI55" s="174"/>
      <c r="GJ55" s="174"/>
      <c r="GK55" s="174"/>
      <c r="GL55" s="174"/>
      <c r="GM55" s="174"/>
      <c r="GN55" s="174"/>
      <c r="GO55" s="174"/>
      <c r="GP55" s="174"/>
      <c r="GQ55" s="174"/>
      <c r="GR55" s="174"/>
      <c r="GS55" s="174"/>
      <c r="GT55" s="174"/>
      <c r="GU55" s="174"/>
      <c r="GV55" s="174"/>
      <c r="GW55" s="174"/>
      <c r="GX55" s="174"/>
      <c r="GY55" s="174"/>
      <c r="GZ55" s="174"/>
      <c r="HA55" s="174"/>
      <c r="HB55" s="174"/>
      <c r="HC55" s="174"/>
      <c r="HD55" s="174"/>
      <c r="HE55" s="174"/>
      <c r="HF55" s="174"/>
      <c r="HG55" s="174"/>
      <c r="HH55" s="174"/>
      <c r="HI55" s="174"/>
      <c r="HJ55" s="174"/>
      <c r="HK55" s="174"/>
      <c r="HL55" s="174"/>
      <c r="HM55" s="174"/>
      <c r="HN55" s="174"/>
      <c r="HO55" s="174"/>
      <c r="HP55" s="174"/>
      <c r="HQ55" s="174"/>
      <c r="HR55" s="174"/>
      <c r="HS55" s="174"/>
      <c r="HT55" s="174"/>
      <c r="HU55" s="174"/>
      <c r="HV55" s="174"/>
      <c r="HW55" s="174"/>
      <c r="HX55" s="174"/>
      <c r="HY55" s="174"/>
      <c r="HZ55" s="174"/>
      <c r="IA55" s="174"/>
      <c r="IB55" s="174"/>
      <c r="IC55" s="174"/>
      <c r="ID55" s="174"/>
      <c r="IE55" s="174"/>
      <c r="IF55" s="174"/>
      <c r="IG55" s="174"/>
      <c r="IH55" s="174"/>
      <c r="II55" s="174"/>
      <c r="IJ55" s="174"/>
      <c r="IK55" s="174"/>
      <c r="IL55" s="174"/>
      <c r="IM55" s="174"/>
      <c r="IN55" s="174"/>
      <c r="IO55" s="174"/>
      <c r="IP55" s="174"/>
      <c r="IQ55" s="174"/>
      <c r="IR55" s="174"/>
      <c r="IS55" s="174"/>
      <c r="IT55" s="174"/>
      <c r="IU55" s="174"/>
      <c r="IV55" s="174"/>
    </row>
    <row r="56" spans="1:256" s="287" customFormat="1" ht="18" customHeight="1" x14ac:dyDescent="0.35">
      <c r="A56" s="301">
        <v>48</v>
      </c>
      <c r="B56" s="295"/>
      <c r="C56" s="175"/>
      <c r="D56" s="187" t="s">
        <v>860</v>
      </c>
      <c r="E56" s="183"/>
      <c r="F56" s="291"/>
      <c r="G56" s="184"/>
      <c r="H56" s="373"/>
      <c r="I56" s="1198"/>
      <c r="J56" s="1194"/>
      <c r="K56" s="1194"/>
      <c r="L56" s="1194"/>
      <c r="M56" s="1194"/>
      <c r="N56" s="1194"/>
      <c r="O56" s="1194"/>
      <c r="P56" s="1191">
        <f t="shared" si="12"/>
        <v>0</v>
      </c>
      <c r="Q56" s="292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  <c r="EN56" s="174"/>
      <c r="EO56" s="174"/>
      <c r="EP56" s="174"/>
      <c r="EQ56" s="174"/>
      <c r="ER56" s="174"/>
      <c r="ES56" s="174"/>
      <c r="ET56" s="174"/>
      <c r="EU56" s="174"/>
      <c r="EV56" s="174"/>
      <c r="EW56" s="174"/>
      <c r="EX56" s="174"/>
      <c r="EY56" s="174"/>
      <c r="EZ56" s="174"/>
      <c r="FA56" s="174"/>
      <c r="FB56" s="174"/>
      <c r="FC56" s="174"/>
      <c r="FD56" s="174"/>
      <c r="FE56" s="174"/>
      <c r="FF56" s="174"/>
      <c r="FG56" s="174"/>
      <c r="FH56" s="174"/>
      <c r="FI56" s="174"/>
      <c r="FJ56" s="174"/>
      <c r="FK56" s="174"/>
      <c r="FL56" s="174"/>
      <c r="FM56" s="174"/>
      <c r="FN56" s="174"/>
      <c r="FO56" s="174"/>
      <c r="FP56" s="174"/>
      <c r="FQ56" s="174"/>
      <c r="FR56" s="174"/>
      <c r="FS56" s="174"/>
      <c r="FT56" s="174"/>
      <c r="FU56" s="174"/>
      <c r="FV56" s="174"/>
      <c r="FW56" s="174"/>
      <c r="FX56" s="174"/>
      <c r="FY56" s="174"/>
      <c r="FZ56" s="174"/>
      <c r="GA56" s="174"/>
      <c r="GB56" s="174"/>
      <c r="GC56" s="174"/>
      <c r="GD56" s="174"/>
      <c r="GE56" s="174"/>
      <c r="GF56" s="174"/>
      <c r="GG56" s="174"/>
      <c r="GH56" s="174"/>
      <c r="GI56" s="174"/>
      <c r="GJ56" s="174"/>
      <c r="GK56" s="174"/>
      <c r="GL56" s="174"/>
      <c r="GM56" s="174"/>
      <c r="GN56" s="174"/>
      <c r="GO56" s="174"/>
      <c r="GP56" s="174"/>
      <c r="GQ56" s="174"/>
      <c r="GR56" s="174"/>
      <c r="GS56" s="174"/>
      <c r="GT56" s="174"/>
      <c r="GU56" s="174"/>
      <c r="GV56" s="174"/>
      <c r="GW56" s="174"/>
      <c r="GX56" s="174"/>
      <c r="GY56" s="174"/>
      <c r="GZ56" s="174"/>
      <c r="HA56" s="174"/>
      <c r="HB56" s="174"/>
      <c r="HC56" s="174"/>
      <c r="HD56" s="174"/>
      <c r="HE56" s="174"/>
      <c r="HF56" s="174"/>
      <c r="HG56" s="174"/>
      <c r="HH56" s="174"/>
      <c r="HI56" s="174"/>
      <c r="HJ56" s="174"/>
      <c r="HK56" s="174"/>
      <c r="HL56" s="174"/>
      <c r="HM56" s="174"/>
      <c r="HN56" s="174"/>
      <c r="HO56" s="174"/>
      <c r="HP56" s="174"/>
      <c r="HQ56" s="174"/>
      <c r="HR56" s="174"/>
      <c r="HS56" s="174"/>
      <c r="HT56" s="174"/>
      <c r="HU56" s="174"/>
      <c r="HV56" s="174"/>
      <c r="HW56" s="174"/>
      <c r="HX56" s="174"/>
      <c r="HY56" s="174"/>
      <c r="HZ56" s="174"/>
      <c r="IA56" s="174"/>
      <c r="IB56" s="174"/>
      <c r="IC56" s="174"/>
      <c r="ID56" s="174"/>
      <c r="IE56" s="174"/>
      <c r="IF56" s="174"/>
      <c r="IG56" s="174"/>
      <c r="IH56" s="174"/>
      <c r="II56" s="174"/>
      <c r="IJ56" s="174"/>
      <c r="IK56" s="174"/>
      <c r="IL56" s="174"/>
      <c r="IM56" s="174"/>
      <c r="IN56" s="174"/>
      <c r="IO56" s="174"/>
      <c r="IP56" s="174"/>
      <c r="IQ56" s="174"/>
      <c r="IR56" s="174"/>
      <c r="IS56" s="174"/>
      <c r="IT56" s="174"/>
      <c r="IU56" s="174"/>
      <c r="IV56" s="174"/>
    </row>
    <row r="57" spans="1:256" s="366" customFormat="1" ht="20.100000000000001" customHeight="1" x14ac:dyDescent="0.35">
      <c r="A57" s="301">
        <v>49</v>
      </c>
      <c r="B57" s="358"/>
      <c r="C57" s="191"/>
      <c r="D57" s="176" t="s">
        <v>575</v>
      </c>
      <c r="E57" s="183">
        <f>F57+G57+P59+Q58</f>
        <v>183275</v>
      </c>
      <c r="F57" s="362"/>
      <c r="G57" s="363"/>
      <c r="H57" s="374"/>
      <c r="I57" s="371"/>
      <c r="J57" s="364"/>
      <c r="K57" s="364"/>
      <c r="L57" s="364"/>
      <c r="M57" s="384"/>
      <c r="N57" s="364"/>
      <c r="O57" s="364"/>
      <c r="P57" s="357"/>
      <c r="Q57" s="365"/>
    </row>
    <row r="58" spans="1:256" s="287" customFormat="1" ht="18" customHeight="1" x14ac:dyDescent="0.35">
      <c r="A58" s="301">
        <v>50</v>
      </c>
      <c r="B58" s="295"/>
      <c r="C58" s="412"/>
      <c r="D58" s="413" t="s">
        <v>268</v>
      </c>
      <c r="E58" s="183"/>
      <c r="F58" s="183"/>
      <c r="G58" s="184"/>
      <c r="H58" s="373"/>
      <c r="I58" s="1201"/>
      <c r="J58" s="183"/>
      <c r="K58" s="183"/>
      <c r="L58" s="183"/>
      <c r="M58" s="384">
        <v>183275</v>
      </c>
      <c r="N58" s="183"/>
      <c r="O58" s="183"/>
      <c r="P58" s="357">
        <f>SUM(I58:O58)</f>
        <v>183275</v>
      </c>
      <c r="Q58" s="292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  <c r="EN58" s="174"/>
      <c r="EO58" s="174"/>
      <c r="EP58" s="174"/>
      <c r="EQ58" s="174"/>
      <c r="ER58" s="174"/>
      <c r="ES58" s="174"/>
      <c r="ET58" s="174"/>
      <c r="EU58" s="174"/>
      <c r="EV58" s="174"/>
      <c r="EW58" s="174"/>
      <c r="EX58" s="174"/>
      <c r="EY58" s="174"/>
      <c r="EZ58" s="174"/>
      <c r="FA58" s="174"/>
      <c r="FB58" s="174"/>
      <c r="FC58" s="174"/>
      <c r="FD58" s="174"/>
      <c r="FE58" s="174"/>
      <c r="FF58" s="174"/>
      <c r="FG58" s="174"/>
      <c r="FH58" s="174"/>
      <c r="FI58" s="174"/>
      <c r="FJ58" s="174"/>
      <c r="FK58" s="174"/>
      <c r="FL58" s="174"/>
      <c r="FM58" s="174"/>
      <c r="FN58" s="174"/>
      <c r="FO58" s="174"/>
      <c r="FP58" s="174"/>
      <c r="FQ58" s="174"/>
      <c r="FR58" s="174"/>
      <c r="FS58" s="174"/>
      <c r="FT58" s="174"/>
      <c r="FU58" s="174"/>
      <c r="FV58" s="174"/>
      <c r="FW58" s="174"/>
      <c r="FX58" s="174"/>
      <c r="FY58" s="174"/>
      <c r="FZ58" s="174"/>
      <c r="GA58" s="174"/>
      <c r="GB58" s="174"/>
      <c r="GC58" s="174"/>
      <c r="GD58" s="174"/>
      <c r="GE58" s="174"/>
      <c r="GF58" s="174"/>
      <c r="GG58" s="174"/>
      <c r="GH58" s="174"/>
      <c r="GI58" s="174"/>
      <c r="GJ58" s="174"/>
      <c r="GK58" s="174"/>
      <c r="GL58" s="174"/>
      <c r="GM58" s="174"/>
      <c r="GN58" s="174"/>
      <c r="GO58" s="174"/>
      <c r="GP58" s="174"/>
      <c r="GQ58" s="174"/>
      <c r="GR58" s="174"/>
      <c r="GS58" s="174"/>
      <c r="GT58" s="174"/>
      <c r="GU58" s="174"/>
      <c r="GV58" s="174"/>
      <c r="GW58" s="174"/>
      <c r="GX58" s="174"/>
      <c r="GY58" s="174"/>
      <c r="GZ58" s="174"/>
      <c r="HA58" s="174"/>
      <c r="HB58" s="174"/>
      <c r="HC58" s="174"/>
      <c r="HD58" s="174"/>
      <c r="HE58" s="174"/>
      <c r="HF58" s="174"/>
      <c r="HG58" s="174"/>
      <c r="HH58" s="174"/>
      <c r="HI58" s="174"/>
      <c r="HJ58" s="174"/>
      <c r="HK58" s="174"/>
      <c r="HL58" s="174"/>
      <c r="HM58" s="174"/>
      <c r="HN58" s="174"/>
      <c r="HO58" s="174"/>
      <c r="HP58" s="174"/>
      <c r="HQ58" s="174"/>
      <c r="HR58" s="174"/>
      <c r="HS58" s="174"/>
      <c r="HT58" s="174"/>
      <c r="HU58" s="174"/>
      <c r="HV58" s="174"/>
      <c r="HW58" s="174"/>
      <c r="HX58" s="174"/>
      <c r="HY58" s="174"/>
      <c r="HZ58" s="174"/>
      <c r="IA58" s="174"/>
      <c r="IB58" s="174"/>
      <c r="IC58" s="174"/>
      <c r="ID58" s="174"/>
      <c r="IE58" s="174"/>
      <c r="IF58" s="174"/>
      <c r="IG58" s="174"/>
      <c r="IH58" s="174"/>
      <c r="II58" s="174"/>
      <c r="IJ58" s="174"/>
      <c r="IK58" s="174"/>
      <c r="IL58" s="174"/>
      <c r="IM58" s="174"/>
      <c r="IN58" s="174"/>
      <c r="IO58" s="174"/>
      <c r="IP58" s="174"/>
      <c r="IQ58" s="174"/>
      <c r="IR58" s="174"/>
      <c r="IS58" s="174"/>
      <c r="IT58" s="174"/>
      <c r="IU58" s="174"/>
      <c r="IV58" s="174"/>
    </row>
    <row r="59" spans="1:256" s="287" customFormat="1" ht="18" customHeight="1" x14ac:dyDescent="0.35">
      <c r="A59" s="301">
        <v>51</v>
      </c>
      <c r="B59" s="554"/>
      <c r="C59" s="191"/>
      <c r="D59" s="225" t="s">
        <v>796</v>
      </c>
      <c r="E59" s="183"/>
      <c r="F59" s="183"/>
      <c r="G59" s="184"/>
      <c r="H59" s="373"/>
      <c r="I59" s="1201"/>
      <c r="J59" s="183"/>
      <c r="K59" s="183"/>
      <c r="L59" s="183"/>
      <c r="M59" s="288">
        <v>183275</v>
      </c>
      <c r="N59" s="183"/>
      <c r="O59" s="183"/>
      <c r="P59" s="296">
        <f t="shared" ref="P59:P60" si="13">SUM(I59:O59)</f>
        <v>183275</v>
      </c>
      <c r="Q59" s="292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74"/>
      <c r="DY59" s="174"/>
      <c r="DZ59" s="174"/>
      <c r="EA59" s="174"/>
      <c r="EB59" s="174"/>
      <c r="EC59" s="174"/>
      <c r="ED59" s="174"/>
      <c r="EE59" s="174"/>
      <c r="EF59" s="174"/>
      <c r="EG59" s="174"/>
      <c r="EH59" s="174"/>
      <c r="EI59" s="174"/>
      <c r="EJ59" s="174"/>
      <c r="EK59" s="174"/>
      <c r="EL59" s="174"/>
      <c r="EM59" s="174"/>
      <c r="EN59" s="174"/>
      <c r="EO59" s="174"/>
      <c r="EP59" s="174"/>
      <c r="EQ59" s="174"/>
      <c r="ER59" s="174"/>
      <c r="ES59" s="174"/>
      <c r="ET59" s="174"/>
      <c r="EU59" s="174"/>
      <c r="EV59" s="174"/>
      <c r="EW59" s="174"/>
      <c r="EX59" s="174"/>
      <c r="EY59" s="174"/>
      <c r="EZ59" s="174"/>
      <c r="FA59" s="174"/>
      <c r="FB59" s="174"/>
      <c r="FC59" s="174"/>
      <c r="FD59" s="174"/>
      <c r="FE59" s="174"/>
      <c r="FF59" s="174"/>
      <c r="FG59" s="174"/>
      <c r="FH59" s="174"/>
      <c r="FI59" s="174"/>
      <c r="FJ59" s="174"/>
      <c r="FK59" s="174"/>
      <c r="FL59" s="174"/>
      <c r="FM59" s="174"/>
      <c r="FN59" s="174"/>
      <c r="FO59" s="174"/>
      <c r="FP59" s="174"/>
      <c r="FQ59" s="174"/>
      <c r="FR59" s="174"/>
      <c r="FS59" s="174"/>
      <c r="FT59" s="174"/>
      <c r="FU59" s="174"/>
      <c r="FV59" s="174"/>
      <c r="FW59" s="174"/>
      <c r="FX59" s="174"/>
      <c r="FY59" s="174"/>
      <c r="FZ59" s="174"/>
      <c r="GA59" s="174"/>
      <c r="GB59" s="174"/>
      <c r="GC59" s="174"/>
      <c r="GD59" s="174"/>
      <c r="GE59" s="174"/>
      <c r="GF59" s="174"/>
      <c r="GG59" s="174"/>
      <c r="GH59" s="174"/>
      <c r="GI59" s="174"/>
      <c r="GJ59" s="174"/>
      <c r="GK59" s="174"/>
      <c r="GL59" s="174"/>
      <c r="GM59" s="174"/>
      <c r="GN59" s="174"/>
      <c r="GO59" s="174"/>
      <c r="GP59" s="174"/>
      <c r="GQ59" s="174"/>
      <c r="GR59" s="174"/>
      <c r="GS59" s="174"/>
      <c r="GT59" s="174"/>
      <c r="GU59" s="174"/>
      <c r="GV59" s="174"/>
      <c r="GW59" s="174"/>
      <c r="GX59" s="174"/>
      <c r="GY59" s="174"/>
      <c r="GZ59" s="174"/>
      <c r="HA59" s="174"/>
      <c r="HB59" s="174"/>
      <c r="HC59" s="174"/>
      <c r="HD59" s="174"/>
      <c r="HE59" s="174"/>
      <c r="HF59" s="174"/>
      <c r="HG59" s="174"/>
      <c r="HH59" s="174"/>
      <c r="HI59" s="174"/>
      <c r="HJ59" s="174"/>
      <c r="HK59" s="174"/>
      <c r="HL59" s="174"/>
      <c r="HM59" s="174"/>
      <c r="HN59" s="174"/>
      <c r="HO59" s="174"/>
      <c r="HP59" s="174"/>
      <c r="HQ59" s="174"/>
      <c r="HR59" s="174"/>
      <c r="HS59" s="174"/>
      <c r="HT59" s="174"/>
      <c r="HU59" s="174"/>
      <c r="HV59" s="174"/>
      <c r="HW59" s="174"/>
      <c r="HX59" s="174"/>
      <c r="HY59" s="174"/>
      <c r="HZ59" s="174"/>
      <c r="IA59" s="174"/>
      <c r="IB59" s="174"/>
      <c r="IC59" s="174"/>
      <c r="ID59" s="174"/>
      <c r="IE59" s="174"/>
      <c r="IF59" s="174"/>
      <c r="IG59" s="174"/>
      <c r="IH59" s="174"/>
      <c r="II59" s="174"/>
      <c r="IJ59" s="174"/>
      <c r="IK59" s="174"/>
      <c r="IL59" s="174"/>
      <c r="IM59" s="174"/>
      <c r="IN59" s="174"/>
      <c r="IO59" s="174"/>
      <c r="IP59" s="174"/>
      <c r="IQ59" s="174"/>
      <c r="IR59" s="174"/>
      <c r="IS59" s="174"/>
      <c r="IT59" s="174"/>
      <c r="IU59" s="174"/>
      <c r="IV59" s="174"/>
    </row>
    <row r="60" spans="1:256" s="287" customFormat="1" ht="18" customHeight="1" thickBot="1" x14ac:dyDescent="0.4">
      <c r="A60" s="301">
        <v>52</v>
      </c>
      <c r="B60" s="554"/>
      <c r="C60" s="191"/>
      <c r="D60" s="187" t="s">
        <v>860</v>
      </c>
      <c r="E60" s="183"/>
      <c r="F60" s="183"/>
      <c r="G60" s="184"/>
      <c r="H60" s="373"/>
      <c r="I60" s="1199"/>
      <c r="J60" s="1190"/>
      <c r="K60" s="1190"/>
      <c r="L60" s="1190"/>
      <c r="M60" s="1194">
        <v>84352</v>
      </c>
      <c r="N60" s="1190"/>
      <c r="O60" s="1190"/>
      <c r="P60" s="1191">
        <f t="shared" si="13"/>
        <v>84352</v>
      </c>
      <c r="Q60" s="292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4"/>
      <c r="FH60" s="174"/>
      <c r="FI60" s="174"/>
      <c r="FJ60" s="174"/>
      <c r="FK60" s="174"/>
      <c r="FL60" s="174"/>
      <c r="FM60" s="174"/>
      <c r="FN60" s="174"/>
      <c r="FO60" s="174"/>
      <c r="FP60" s="174"/>
      <c r="FQ60" s="174"/>
      <c r="FR60" s="174"/>
      <c r="FS60" s="174"/>
      <c r="FT60" s="174"/>
      <c r="FU60" s="174"/>
      <c r="FV60" s="174"/>
      <c r="FW60" s="174"/>
      <c r="FX60" s="174"/>
      <c r="FY60" s="174"/>
      <c r="FZ60" s="174"/>
      <c r="GA60" s="174"/>
      <c r="GB60" s="174"/>
      <c r="GC60" s="174"/>
      <c r="GD60" s="174"/>
      <c r="GE60" s="174"/>
      <c r="GF60" s="174"/>
      <c r="GG60" s="174"/>
      <c r="GH60" s="174"/>
      <c r="GI60" s="174"/>
      <c r="GJ60" s="174"/>
      <c r="GK60" s="174"/>
      <c r="GL60" s="174"/>
      <c r="GM60" s="174"/>
      <c r="GN60" s="174"/>
      <c r="GO60" s="174"/>
      <c r="GP60" s="174"/>
      <c r="GQ60" s="174"/>
      <c r="GR60" s="174"/>
      <c r="GS60" s="174"/>
      <c r="GT60" s="174"/>
      <c r="GU60" s="174"/>
      <c r="GV60" s="174"/>
      <c r="GW60" s="174"/>
      <c r="GX60" s="174"/>
      <c r="GY60" s="174"/>
      <c r="GZ60" s="174"/>
      <c r="HA60" s="174"/>
      <c r="HB60" s="174"/>
      <c r="HC60" s="174"/>
      <c r="HD60" s="174"/>
      <c r="HE60" s="174"/>
      <c r="HF60" s="174"/>
      <c r="HG60" s="174"/>
      <c r="HH60" s="174"/>
      <c r="HI60" s="174"/>
      <c r="HJ60" s="174"/>
      <c r="HK60" s="174"/>
      <c r="HL60" s="174"/>
      <c r="HM60" s="174"/>
      <c r="HN60" s="174"/>
      <c r="HO60" s="174"/>
      <c r="HP60" s="174"/>
      <c r="HQ60" s="174"/>
      <c r="HR60" s="174"/>
      <c r="HS60" s="174"/>
      <c r="HT60" s="174"/>
      <c r="HU60" s="174"/>
      <c r="HV60" s="174"/>
      <c r="HW60" s="174"/>
      <c r="HX60" s="174"/>
      <c r="HY60" s="174"/>
      <c r="HZ60" s="174"/>
      <c r="IA60" s="174"/>
      <c r="IB60" s="174"/>
      <c r="IC60" s="174"/>
      <c r="ID60" s="174"/>
      <c r="IE60" s="174"/>
      <c r="IF60" s="174"/>
      <c r="IG60" s="174"/>
      <c r="IH60" s="174"/>
      <c r="II60" s="174"/>
      <c r="IJ60" s="174"/>
      <c r="IK60" s="174"/>
      <c r="IL60" s="174"/>
      <c r="IM60" s="174"/>
      <c r="IN60" s="174"/>
      <c r="IO60" s="174"/>
      <c r="IP60" s="174"/>
      <c r="IQ60" s="174"/>
      <c r="IR60" s="174"/>
      <c r="IS60" s="174"/>
      <c r="IT60" s="174"/>
      <c r="IU60" s="174"/>
      <c r="IV60" s="174"/>
    </row>
    <row r="61" spans="1:256" s="287" customFormat="1" ht="24.95" customHeight="1" thickTop="1" x14ac:dyDescent="0.35">
      <c r="A61" s="301">
        <v>53</v>
      </c>
      <c r="B61" s="554"/>
      <c r="C61" s="1236"/>
      <c r="D61" s="1237" t="s">
        <v>585</v>
      </c>
      <c r="E61" s="1253">
        <f>SUM(E45:E60)</f>
        <v>1994667</v>
      </c>
      <c r="F61" s="1253">
        <f>SUM(F45:F60)</f>
        <v>0</v>
      </c>
      <c r="G61" s="1253">
        <f>SUM(G45:G60)</f>
        <v>35636</v>
      </c>
      <c r="H61" s="1254"/>
      <c r="I61" s="1253"/>
      <c r="J61" s="1253"/>
      <c r="K61" s="1253"/>
      <c r="L61" s="1253"/>
      <c r="M61" s="1253"/>
      <c r="N61" s="1253"/>
      <c r="O61" s="1253"/>
      <c r="P61" s="1253"/>
      <c r="Q61" s="1255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4"/>
      <c r="EX61" s="174"/>
      <c r="EY61" s="174"/>
      <c r="EZ61" s="174"/>
      <c r="FA61" s="174"/>
      <c r="FB61" s="174"/>
      <c r="FC61" s="174"/>
      <c r="FD61" s="174"/>
      <c r="FE61" s="174"/>
      <c r="FF61" s="174"/>
      <c r="FG61" s="174"/>
      <c r="FH61" s="174"/>
      <c r="FI61" s="174"/>
      <c r="FJ61" s="174"/>
      <c r="FK61" s="174"/>
      <c r="FL61" s="174"/>
      <c r="FM61" s="174"/>
      <c r="FN61" s="174"/>
      <c r="FO61" s="174"/>
      <c r="FP61" s="174"/>
      <c r="FQ61" s="174"/>
      <c r="FR61" s="174"/>
      <c r="FS61" s="174"/>
      <c r="FT61" s="174"/>
      <c r="FU61" s="174"/>
      <c r="FV61" s="174"/>
      <c r="FW61" s="174"/>
      <c r="FX61" s="174"/>
      <c r="FY61" s="174"/>
      <c r="FZ61" s="174"/>
      <c r="GA61" s="174"/>
      <c r="GB61" s="174"/>
      <c r="GC61" s="174"/>
      <c r="GD61" s="174"/>
      <c r="GE61" s="174"/>
      <c r="GF61" s="174"/>
      <c r="GG61" s="174"/>
      <c r="GH61" s="174"/>
      <c r="GI61" s="174"/>
      <c r="GJ61" s="174"/>
      <c r="GK61" s="174"/>
      <c r="GL61" s="174"/>
      <c r="GM61" s="174"/>
      <c r="GN61" s="174"/>
      <c r="GO61" s="174"/>
      <c r="GP61" s="174"/>
      <c r="GQ61" s="174"/>
      <c r="GR61" s="174"/>
      <c r="GS61" s="174"/>
      <c r="GT61" s="174"/>
      <c r="GU61" s="174"/>
      <c r="GV61" s="174"/>
      <c r="GW61" s="174"/>
      <c r="GX61" s="174"/>
      <c r="GY61" s="174"/>
      <c r="GZ61" s="174"/>
      <c r="HA61" s="174"/>
      <c r="HB61" s="174"/>
      <c r="HC61" s="174"/>
      <c r="HD61" s="174"/>
      <c r="HE61" s="174"/>
      <c r="HF61" s="174"/>
      <c r="HG61" s="174"/>
      <c r="HH61" s="174"/>
      <c r="HI61" s="174"/>
      <c r="HJ61" s="174"/>
      <c r="HK61" s="174"/>
      <c r="HL61" s="174"/>
      <c r="HM61" s="174"/>
      <c r="HN61" s="174"/>
      <c r="HO61" s="174"/>
      <c r="HP61" s="174"/>
      <c r="HQ61" s="174"/>
      <c r="HR61" s="174"/>
      <c r="HS61" s="174"/>
      <c r="HT61" s="174"/>
      <c r="HU61" s="174"/>
      <c r="HV61" s="174"/>
      <c r="HW61" s="174"/>
      <c r="HX61" s="174"/>
      <c r="HY61" s="174"/>
      <c r="HZ61" s="174"/>
      <c r="IA61" s="174"/>
      <c r="IB61" s="174"/>
      <c r="IC61" s="174"/>
      <c r="ID61" s="174"/>
      <c r="IE61" s="174"/>
      <c r="IF61" s="174"/>
      <c r="IG61" s="174"/>
      <c r="IH61" s="174"/>
      <c r="II61" s="174"/>
      <c r="IJ61" s="174"/>
      <c r="IK61" s="174"/>
      <c r="IL61" s="174"/>
      <c r="IM61" s="174"/>
      <c r="IN61" s="174"/>
      <c r="IO61" s="174"/>
      <c r="IP61" s="174"/>
      <c r="IQ61" s="174"/>
      <c r="IR61" s="174"/>
      <c r="IS61" s="174"/>
      <c r="IT61" s="174"/>
      <c r="IU61" s="174"/>
      <c r="IV61" s="174"/>
    </row>
    <row r="62" spans="1:256" s="1257" customFormat="1" ht="17.100000000000001" customHeight="1" x14ac:dyDescent="0.35">
      <c r="A62" s="301">
        <v>54</v>
      </c>
      <c r="B62" s="295"/>
      <c r="C62" s="191"/>
      <c r="D62" s="413" t="s">
        <v>268</v>
      </c>
      <c r="E62" s="555"/>
      <c r="F62" s="555"/>
      <c r="G62" s="300"/>
      <c r="H62" s="557"/>
      <c r="I62" s="1261">
        <f t="shared" ref="I62:O64" si="14">I58+I54+I50+I46</f>
        <v>0</v>
      </c>
      <c r="J62" s="1261">
        <f t="shared" si="14"/>
        <v>0</v>
      </c>
      <c r="K62" s="1261">
        <f t="shared" si="14"/>
        <v>29701</v>
      </c>
      <c r="L62" s="1261">
        <f t="shared" si="14"/>
        <v>0</v>
      </c>
      <c r="M62" s="1261">
        <f t="shared" si="14"/>
        <v>1922005</v>
      </c>
      <c r="N62" s="1261">
        <f t="shared" si="14"/>
        <v>0</v>
      </c>
      <c r="O62" s="1261">
        <f t="shared" si="14"/>
        <v>0</v>
      </c>
      <c r="P62" s="1262">
        <f t="shared" ref="P62:P64" si="15">SUM(I62:O62)</f>
        <v>1951706</v>
      </c>
      <c r="Q62" s="1293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260"/>
      <c r="BJ62" s="1256"/>
      <c r="BK62" s="1256"/>
      <c r="BL62" s="1256"/>
      <c r="BM62" s="1256"/>
      <c r="BN62" s="1256"/>
      <c r="BO62" s="1256"/>
      <c r="BP62" s="1256"/>
      <c r="BQ62" s="1256"/>
      <c r="BR62" s="1256"/>
      <c r="BS62" s="1256"/>
      <c r="BT62" s="1256"/>
      <c r="BU62" s="1256"/>
      <c r="BV62" s="1256"/>
      <c r="BW62" s="1256"/>
      <c r="BX62" s="1256"/>
      <c r="BY62" s="1256"/>
      <c r="BZ62" s="1256"/>
      <c r="CA62" s="1256"/>
      <c r="CB62" s="1256"/>
      <c r="CC62" s="1256"/>
      <c r="CD62" s="1256"/>
      <c r="CE62" s="1256"/>
      <c r="CF62" s="1256"/>
      <c r="CG62" s="1256"/>
      <c r="CH62" s="1256"/>
      <c r="CI62" s="1256"/>
      <c r="CJ62" s="1256"/>
      <c r="CK62" s="1256"/>
      <c r="CL62" s="1256"/>
      <c r="CM62" s="1256"/>
      <c r="CN62" s="1256"/>
      <c r="CO62" s="1256"/>
      <c r="CP62" s="1256"/>
      <c r="CQ62" s="1256"/>
      <c r="CR62" s="1256"/>
      <c r="CS62" s="1256"/>
      <c r="CT62" s="1256"/>
      <c r="CU62" s="1256"/>
      <c r="CV62" s="1256"/>
      <c r="CW62" s="1256"/>
      <c r="CX62" s="1256"/>
      <c r="CY62" s="1256"/>
      <c r="CZ62" s="1256"/>
      <c r="DA62" s="1256"/>
      <c r="DB62" s="1256"/>
      <c r="DC62" s="1256"/>
      <c r="DD62" s="1256"/>
      <c r="DE62" s="1256"/>
      <c r="DF62" s="1256"/>
      <c r="DG62" s="1256"/>
      <c r="DH62" s="1256"/>
      <c r="DI62" s="1256"/>
      <c r="DJ62" s="1256"/>
      <c r="DK62" s="1256"/>
      <c r="DL62" s="1256"/>
      <c r="DM62" s="1256"/>
      <c r="DN62" s="1256"/>
      <c r="DO62" s="1256"/>
      <c r="DP62" s="1256"/>
      <c r="DQ62" s="1256"/>
      <c r="DR62" s="1256"/>
      <c r="DS62" s="1256"/>
      <c r="DT62" s="1256"/>
      <c r="DU62" s="1256"/>
      <c r="DV62" s="1256"/>
      <c r="DW62" s="1256"/>
      <c r="DX62" s="1256"/>
      <c r="DY62" s="1256"/>
      <c r="DZ62" s="1256"/>
      <c r="EA62" s="1256"/>
      <c r="EB62" s="1256"/>
      <c r="EC62" s="1256"/>
      <c r="ED62" s="1256"/>
      <c r="EE62" s="1256"/>
      <c r="EF62" s="1256"/>
      <c r="EG62" s="1256"/>
      <c r="EH62" s="1256"/>
      <c r="EI62" s="1256"/>
      <c r="EJ62" s="1256"/>
      <c r="EK62" s="1256"/>
      <c r="EL62" s="1256"/>
      <c r="EM62" s="1256"/>
      <c r="EN62" s="1256"/>
      <c r="EO62" s="1256"/>
      <c r="EP62" s="1256"/>
      <c r="EQ62" s="1256"/>
      <c r="ER62" s="1256"/>
      <c r="ES62" s="1256"/>
      <c r="ET62" s="1256"/>
      <c r="EU62" s="1256"/>
      <c r="EV62" s="1256"/>
      <c r="EW62" s="1256"/>
      <c r="EX62" s="1256"/>
      <c r="EY62" s="1256"/>
      <c r="EZ62" s="1256"/>
      <c r="FA62" s="1256"/>
      <c r="FB62" s="1256"/>
      <c r="FC62" s="1256"/>
      <c r="FD62" s="1256"/>
      <c r="FE62" s="1256"/>
      <c r="FF62" s="1256"/>
      <c r="FG62" s="1256"/>
      <c r="FH62" s="1256"/>
      <c r="FI62" s="1256"/>
      <c r="FJ62" s="1256"/>
      <c r="FK62" s="1256"/>
      <c r="FL62" s="1256"/>
      <c r="FM62" s="1256"/>
      <c r="FN62" s="1256"/>
      <c r="FO62" s="1256"/>
      <c r="FP62" s="1256"/>
      <c r="FQ62" s="1256"/>
      <c r="FR62" s="1256"/>
      <c r="FS62" s="1256"/>
      <c r="FT62" s="1256"/>
      <c r="FU62" s="1256"/>
      <c r="FV62" s="1256"/>
      <c r="FW62" s="1256"/>
      <c r="FX62" s="1256"/>
      <c r="FY62" s="1256"/>
      <c r="FZ62" s="1256"/>
      <c r="GA62" s="1256"/>
      <c r="GB62" s="1256"/>
      <c r="GC62" s="1256"/>
      <c r="GD62" s="1256"/>
      <c r="GE62" s="1256"/>
      <c r="GF62" s="1256"/>
      <c r="GG62" s="1256"/>
      <c r="GH62" s="1256"/>
      <c r="GI62" s="1256"/>
      <c r="GJ62" s="1256"/>
      <c r="GK62" s="1256"/>
      <c r="GL62" s="1256"/>
      <c r="GM62" s="1256"/>
      <c r="GN62" s="1256"/>
      <c r="GO62" s="1256"/>
      <c r="GP62" s="1256"/>
      <c r="GQ62" s="1256"/>
      <c r="GR62" s="1256"/>
      <c r="GS62" s="1256"/>
      <c r="GT62" s="1256"/>
      <c r="GU62" s="1256"/>
      <c r="GV62" s="1256"/>
      <c r="GW62" s="1256"/>
      <c r="GX62" s="1256"/>
      <c r="GY62" s="1256"/>
      <c r="GZ62" s="1256"/>
      <c r="HA62" s="1256"/>
      <c r="HB62" s="1256"/>
      <c r="HC62" s="1256"/>
      <c r="HD62" s="1256"/>
      <c r="HE62" s="1256"/>
      <c r="HF62" s="1256"/>
      <c r="HG62" s="1256"/>
      <c r="HH62" s="1256"/>
      <c r="HI62" s="1256"/>
      <c r="HJ62" s="1256"/>
      <c r="HK62" s="1256"/>
      <c r="HL62" s="1256"/>
      <c r="HM62" s="1256"/>
      <c r="HN62" s="1256"/>
      <c r="HO62" s="1256"/>
      <c r="HP62" s="1256"/>
      <c r="HQ62" s="1256"/>
      <c r="HR62" s="1256"/>
      <c r="HS62" s="1256"/>
      <c r="HT62" s="1256"/>
      <c r="HU62" s="1256"/>
      <c r="HV62" s="1256"/>
      <c r="HW62" s="1256"/>
      <c r="HX62" s="1256"/>
      <c r="HY62" s="1256"/>
      <c r="HZ62" s="1256"/>
      <c r="IA62" s="1256"/>
      <c r="IB62" s="1256"/>
      <c r="IC62" s="1256"/>
      <c r="ID62" s="1256"/>
      <c r="IE62" s="1256"/>
      <c r="IF62" s="1256"/>
      <c r="IG62" s="1256"/>
      <c r="IH62" s="1256"/>
      <c r="II62" s="1256"/>
      <c r="IJ62" s="1256"/>
      <c r="IK62" s="1256"/>
      <c r="IL62" s="1256"/>
      <c r="IM62" s="1256"/>
      <c r="IN62" s="1256"/>
      <c r="IO62" s="1256"/>
      <c r="IP62" s="1256"/>
      <c r="IQ62" s="1256"/>
      <c r="IR62" s="1256"/>
      <c r="IS62" s="1256"/>
      <c r="IT62" s="1256"/>
      <c r="IU62" s="1256"/>
      <c r="IV62" s="1256"/>
    </row>
    <row r="63" spans="1:256" s="1257" customFormat="1" ht="17.100000000000001" customHeight="1" x14ac:dyDescent="0.35">
      <c r="A63" s="301">
        <v>55</v>
      </c>
      <c r="B63" s="295"/>
      <c r="C63" s="191"/>
      <c r="D63" s="225" t="s">
        <v>796</v>
      </c>
      <c r="E63" s="555"/>
      <c r="F63" s="555"/>
      <c r="G63" s="300"/>
      <c r="H63" s="557"/>
      <c r="I63" s="555">
        <f t="shared" si="14"/>
        <v>0</v>
      </c>
      <c r="J63" s="555">
        <f t="shared" si="14"/>
        <v>0</v>
      </c>
      <c r="K63" s="555">
        <f t="shared" si="14"/>
        <v>29701</v>
      </c>
      <c r="L63" s="555">
        <f t="shared" si="14"/>
        <v>0</v>
      </c>
      <c r="M63" s="555">
        <f t="shared" si="14"/>
        <v>1922005</v>
      </c>
      <c r="N63" s="555">
        <f t="shared" si="14"/>
        <v>0</v>
      </c>
      <c r="O63" s="555">
        <f t="shared" si="14"/>
        <v>0</v>
      </c>
      <c r="P63" s="300">
        <f t="shared" si="15"/>
        <v>1951706</v>
      </c>
      <c r="Q63" s="556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260"/>
      <c r="BJ63" s="1256"/>
      <c r="BK63" s="1256"/>
      <c r="BL63" s="1256"/>
      <c r="BM63" s="1256"/>
      <c r="BN63" s="1256"/>
      <c r="BO63" s="1256"/>
      <c r="BP63" s="1256"/>
      <c r="BQ63" s="1256"/>
      <c r="BR63" s="1256"/>
      <c r="BS63" s="1256"/>
      <c r="BT63" s="1256"/>
      <c r="BU63" s="1256"/>
      <c r="BV63" s="1256"/>
      <c r="BW63" s="1256"/>
      <c r="BX63" s="1256"/>
      <c r="BY63" s="1256"/>
      <c r="BZ63" s="1256"/>
      <c r="CA63" s="1256"/>
      <c r="CB63" s="1256"/>
      <c r="CC63" s="1256"/>
      <c r="CD63" s="1256"/>
      <c r="CE63" s="1256"/>
      <c r="CF63" s="1256"/>
      <c r="CG63" s="1256"/>
      <c r="CH63" s="1256"/>
      <c r="CI63" s="1256"/>
      <c r="CJ63" s="1256"/>
      <c r="CK63" s="1256"/>
      <c r="CL63" s="1256"/>
      <c r="CM63" s="1256"/>
      <c r="CN63" s="1256"/>
      <c r="CO63" s="1256"/>
      <c r="CP63" s="1256"/>
      <c r="CQ63" s="1256"/>
      <c r="CR63" s="1256"/>
      <c r="CS63" s="1256"/>
      <c r="CT63" s="1256"/>
      <c r="CU63" s="1256"/>
      <c r="CV63" s="1256"/>
      <c r="CW63" s="1256"/>
      <c r="CX63" s="1256"/>
      <c r="CY63" s="1256"/>
      <c r="CZ63" s="1256"/>
      <c r="DA63" s="1256"/>
      <c r="DB63" s="1256"/>
      <c r="DC63" s="1256"/>
      <c r="DD63" s="1256"/>
      <c r="DE63" s="1256"/>
      <c r="DF63" s="1256"/>
      <c r="DG63" s="1256"/>
      <c r="DH63" s="1256"/>
      <c r="DI63" s="1256"/>
      <c r="DJ63" s="1256"/>
      <c r="DK63" s="1256"/>
      <c r="DL63" s="1256"/>
      <c r="DM63" s="1256"/>
      <c r="DN63" s="1256"/>
      <c r="DO63" s="1256"/>
      <c r="DP63" s="1256"/>
      <c r="DQ63" s="1256"/>
      <c r="DR63" s="1256"/>
      <c r="DS63" s="1256"/>
      <c r="DT63" s="1256"/>
      <c r="DU63" s="1256"/>
      <c r="DV63" s="1256"/>
      <c r="DW63" s="1256"/>
      <c r="DX63" s="1256"/>
      <c r="DY63" s="1256"/>
      <c r="DZ63" s="1256"/>
      <c r="EA63" s="1256"/>
      <c r="EB63" s="1256"/>
      <c r="EC63" s="1256"/>
      <c r="ED63" s="1256"/>
      <c r="EE63" s="1256"/>
      <c r="EF63" s="1256"/>
      <c r="EG63" s="1256"/>
      <c r="EH63" s="1256"/>
      <c r="EI63" s="1256"/>
      <c r="EJ63" s="1256"/>
      <c r="EK63" s="1256"/>
      <c r="EL63" s="1256"/>
      <c r="EM63" s="1256"/>
      <c r="EN63" s="1256"/>
      <c r="EO63" s="1256"/>
      <c r="EP63" s="1256"/>
      <c r="EQ63" s="1256"/>
      <c r="ER63" s="1256"/>
      <c r="ES63" s="1256"/>
      <c r="ET63" s="1256"/>
      <c r="EU63" s="1256"/>
      <c r="EV63" s="1256"/>
      <c r="EW63" s="1256"/>
      <c r="EX63" s="1256"/>
      <c r="EY63" s="1256"/>
      <c r="EZ63" s="1256"/>
      <c r="FA63" s="1256"/>
      <c r="FB63" s="1256"/>
      <c r="FC63" s="1256"/>
      <c r="FD63" s="1256"/>
      <c r="FE63" s="1256"/>
      <c r="FF63" s="1256"/>
      <c r="FG63" s="1256"/>
      <c r="FH63" s="1256"/>
      <c r="FI63" s="1256"/>
      <c r="FJ63" s="1256"/>
      <c r="FK63" s="1256"/>
      <c r="FL63" s="1256"/>
      <c r="FM63" s="1256"/>
      <c r="FN63" s="1256"/>
      <c r="FO63" s="1256"/>
      <c r="FP63" s="1256"/>
      <c r="FQ63" s="1256"/>
      <c r="FR63" s="1256"/>
      <c r="FS63" s="1256"/>
      <c r="FT63" s="1256"/>
      <c r="FU63" s="1256"/>
      <c r="FV63" s="1256"/>
      <c r="FW63" s="1256"/>
      <c r="FX63" s="1256"/>
      <c r="FY63" s="1256"/>
      <c r="FZ63" s="1256"/>
      <c r="GA63" s="1256"/>
      <c r="GB63" s="1256"/>
      <c r="GC63" s="1256"/>
      <c r="GD63" s="1256"/>
      <c r="GE63" s="1256"/>
      <c r="GF63" s="1256"/>
      <c r="GG63" s="1256"/>
      <c r="GH63" s="1256"/>
      <c r="GI63" s="1256"/>
      <c r="GJ63" s="1256"/>
      <c r="GK63" s="1256"/>
      <c r="GL63" s="1256"/>
      <c r="GM63" s="1256"/>
      <c r="GN63" s="1256"/>
      <c r="GO63" s="1256"/>
      <c r="GP63" s="1256"/>
      <c r="GQ63" s="1256"/>
      <c r="GR63" s="1256"/>
      <c r="GS63" s="1256"/>
      <c r="GT63" s="1256"/>
      <c r="GU63" s="1256"/>
      <c r="GV63" s="1256"/>
      <c r="GW63" s="1256"/>
      <c r="GX63" s="1256"/>
      <c r="GY63" s="1256"/>
      <c r="GZ63" s="1256"/>
      <c r="HA63" s="1256"/>
      <c r="HB63" s="1256"/>
      <c r="HC63" s="1256"/>
      <c r="HD63" s="1256"/>
      <c r="HE63" s="1256"/>
      <c r="HF63" s="1256"/>
      <c r="HG63" s="1256"/>
      <c r="HH63" s="1256"/>
      <c r="HI63" s="1256"/>
      <c r="HJ63" s="1256"/>
      <c r="HK63" s="1256"/>
      <c r="HL63" s="1256"/>
      <c r="HM63" s="1256"/>
      <c r="HN63" s="1256"/>
      <c r="HO63" s="1256"/>
      <c r="HP63" s="1256"/>
      <c r="HQ63" s="1256"/>
      <c r="HR63" s="1256"/>
      <c r="HS63" s="1256"/>
      <c r="HT63" s="1256"/>
      <c r="HU63" s="1256"/>
      <c r="HV63" s="1256"/>
      <c r="HW63" s="1256"/>
      <c r="HX63" s="1256"/>
      <c r="HY63" s="1256"/>
      <c r="HZ63" s="1256"/>
      <c r="IA63" s="1256"/>
      <c r="IB63" s="1256"/>
      <c r="IC63" s="1256"/>
      <c r="ID63" s="1256"/>
      <c r="IE63" s="1256"/>
      <c r="IF63" s="1256"/>
      <c r="IG63" s="1256"/>
      <c r="IH63" s="1256"/>
      <c r="II63" s="1256"/>
      <c r="IJ63" s="1256"/>
      <c r="IK63" s="1256"/>
      <c r="IL63" s="1256"/>
      <c r="IM63" s="1256"/>
      <c r="IN63" s="1256"/>
      <c r="IO63" s="1256"/>
      <c r="IP63" s="1256"/>
      <c r="IQ63" s="1256"/>
      <c r="IR63" s="1256"/>
      <c r="IS63" s="1256"/>
      <c r="IT63" s="1256"/>
      <c r="IU63" s="1256"/>
      <c r="IV63" s="1256"/>
    </row>
    <row r="64" spans="1:256" s="1257" customFormat="1" ht="17.100000000000001" customHeight="1" thickBot="1" x14ac:dyDescent="0.4">
      <c r="A64" s="301">
        <v>56</v>
      </c>
      <c r="B64" s="295"/>
      <c r="C64" s="621"/>
      <c r="D64" s="1446" t="s">
        <v>860</v>
      </c>
      <c r="E64" s="622"/>
      <c r="F64" s="622"/>
      <c r="G64" s="1258"/>
      <c r="H64" s="1259"/>
      <c r="I64" s="1449">
        <f t="shared" si="14"/>
        <v>0</v>
      </c>
      <c r="J64" s="1449">
        <f t="shared" si="14"/>
        <v>0</v>
      </c>
      <c r="K64" s="1449">
        <f t="shared" si="14"/>
        <v>526</v>
      </c>
      <c r="L64" s="1449">
        <f t="shared" si="14"/>
        <v>0</v>
      </c>
      <c r="M64" s="1449">
        <f t="shared" si="14"/>
        <v>112482</v>
      </c>
      <c r="N64" s="1449">
        <f t="shared" si="14"/>
        <v>0</v>
      </c>
      <c r="O64" s="1449">
        <f t="shared" si="14"/>
        <v>0</v>
      </c>
      <c r="P64" s="1450">
        <f t="shared" si="15"/>
        <v>113008</v>
      </c>
      <c r="Q64" s="1269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260"/>
      <c r="BJ64" s="1256"/>
      <c r="BK64" s="1256"/>
      <c r="BL64" s="1256"/>
      <c r="BM64" s="1256"/>
      <c r="BN64" s="1256"/>
      <c r="BO64" s="1256"/>
      <c r="BP64" s="1256"/>
      <c r="BQ64" s="1256"/>
      <c r="BR64" s="1256"/>
      <c r="BS64" s="1256"/>
      <c r="BT64" s="1256"/>
      <c r="BU64" s="1256"/>
      <c r="BV64" s="1256"/>
      <c r="BW64" s="1256"/>
      <c r="BX64" s="1256"/>
      <c r="BY64" s="1256"/>
      <c r="BZ64" s="1256"/>
      <c r="CA64" s="1256"/>
      <c r="CB64" s="1256"/>
      <c r="CC64" s="1256"/>
      <c r="CD64" s="1256"/>
      <c r="CE64" s="1256"/>
      <c r="CF64" s="1256"/>
      <c r="CG64" s="1256"/>
      <c r="CH64" s="1256"/>
      <c r="CI64" s="1256"/>
      <c r="CJ64" s="1256"/>
      <c r="CK64" s="1256"/>
      <c r="CL64" s="1256"/>
      <c r="CM64" s="1256"/>
      <c r="CN64" s="1256"/>
      <c r="CO64" s="1256"/>
      <c r="CP64" s="1256"/>
      <c r="CQ64" s="1256"/>
      <c r="CR64" s="1256"/>
      <c r="CS64" s="1256"/>
      <c r="CT64" s="1256"/>
      <c r="CU64" s="1256"/>
      <c r="CV64" s="1256"/>
      <c r="CW64" s="1256"/>
      <c r="CX64" s="1256"/>
      <c r="CY64" s="1256"/>
      <c r="CZ64" s="1256"/>
      <c r="DA64" s="1256"/>
      <c r="DB64" s="1256"/>
      <c r="DC64" s="1256"/>
      <c r="DD64" s="1256"/>
      <c r="DE64" s="1256"/>
      <c r="DF64" s="1256"/>
      <c r="DG64" s="1256"/>
      <c r="DH64" s="1256"/>
      <c r="DI64" s="1256"/>
      <c r="DJ64" s="1256"/>
      <c r="DK64" s="1256"/>
      <c r="DL64" s="1256"/>
      <c r="DM64" s="1256"/>
      <c r="DN64" s="1256"/>
      <c r="DO64" s="1256"/>
      <c r="DP64" s="1256"/>
      <c r="DQ64" s="1256"/>
      <c r="DR64" s="1256"/>
      <c r="DS64" s="1256"/>
      <c r="DT64" s="1256"/>
      <c r="DU64" s="1256"/>
      <c r="DV64" s="1256"/>
      <c r="DW64" s="1256"/>
      <c r="DX64" s="1256"/>
      <c r="DY64" s="1256"/>
      <c r="DZ64" s="1256"/>
      <c r="EA64" s="1256"/>
      <c r="EB64" s="1256"/>
      <c r="EC64" s="1256"/>
      <c r="ED64" s="1256"/>
      <c r="EE64" s="1256"/>
      <c r="EF64" s="1256"/>
      <c r="EG64" s="1256"/>
      <c r="EH64" s="1256"/>
      <c r="EI64" s="1256"/>
      <c r="EJ64" s="1256"/>
      <c r="EK64" s="1256"/>
      <c r="EL64" s="1256"/>
      <c r="EM64" s="1256"/>
      <c r="EN64" s="1256"/>
      <c r="EO64" s="1256"/>
      <c r="EP64" s="1256"/>
      <c r="EQ64" s="1256"/>
      <c r="ER64" s="1256"/>
      <c r="ES64" s="1256"/>
      <c r="ET64" s="1256"/>
      <c r="EU64" s="1256"/>
      <c r="EV64" s="1256"/>
      <c r="EW64" s="1256"/>
      <c r="EX64" s="1256"/>
      <c r="EY64" s="1256"/>
      <c r="EZ64" s="1256"/>
      <c r="FA64" s="1256"/>
      <c r="FB64" s="1256"/>
      <c r="FC64" s="1256"/>
      <c r="FD64" s="1256"/>
      <c r="FE64" s="1256"/>
      <c r="FF64" s="1256"/>
      <c r="FG64" s="1256"/>
      <c r="FH64" s="1256"/>
      <c r="FI64" s="1256"/>
      <c r="FJ64" s="1256"/>
      <c r="FK64" s="1256"/>
      <c r="FL64" s="1256"/>
      <c r="FM64" s="1256"/>
      <c r="FN64" s="1256"/>
      <c r="FO64" s="1256"/>
      <c r="FP64" s="1256"/>
      <c r="FQ64" s="1256"/>
      <c r="FR64" s="1256"/>
      <c r="FS64" s="1256"/>
      <c r="FT64" s="1256"/>
      <c r="FU64" s="1256"/>
      <c r="FV64" s="1256"/>
      <c r="FW64" s="1256"/>
      <c r="FX64" s="1256"/>
      <c r="FY64" s="1256"/>
      <c r="FZ64" s="1256"/>
      <c r="GA64" s="1256"/>
      <c r="GB64" s="1256"/>
      <c r="GC64" s="1256"/>
      <c r="GD64" s="1256"/>
      <c r="GE64" s="1256"/>
      <c r="GF64" s="1256"/>
      <c r="GG64" s="1256"/>
      <c r="GH64" s="1256"/>
      <c r="GI64" s="1256"/>
      <c r="GJ64" s="1256"/>
      <c r="GK64" s="1256"/>
      <c r="GL64" s="1256"/>
      <c r="GM64" s="1256"/>
      <c r="GN64" s="1256"/>
      <c r="GO64" s="1256"/>
      <c r="GP64" s="1256"/>
      <c r="GQ64" s="1256"/>
      <c r="GR64" s="1256"/>
      <c r="GS64" s="1256"/>
      <c r="GT64" s="1256"/>
      <c r="GU64" s="1256"/>
      <c r="GV64" s="1256"/>
      <c r="GW64" s="1256"/>
      <c r="GX64" s="1256"/>
      <c r="GY64" s="1256"/>
      <c r="GZ64" s="1256"/>
      <c r="HA64" s="1256"/>
      <c r="HB64" s="1256"/>
      <c r="HC64" s="1256"/>
      <c r="HD64" s="1256"/>
      <c r="HE64" s="1256"/>
      <c r="HF64" s="1256"/>
      <c r="HG64" s="1256"/>
      <c r="HH64" s="1256"/>
      <c r="HI64" s="1256"/>
      <c r="HJ64" s="1256"/>
      <c r="HK64" s="1256"/>
      <c r="HL64" s="1256"/>
      <c r="HM64" s="1256"/>
      <c r="HN64" s="1256"/>
      <c r="HO64" s="1256"/>
      <c r="HP64" s="1256"/>
      <c r="HQ64" s="1256"/>
      <c r="HR64" s="1256"/>
      <c r="HS64" s="1256"/>
      <c r="HT64" s="1256"/>
      <c r="HU64" s="1256"/>
      <c r="HV64" s="1256"/>
      <c r="HW64" s="1256"/>
      <c r="HX64" s="1256"/>
      <c r="HY64" s="1256"/>
      <c r="HZ64" s="1256"/>
      <c r="IA64" s="1256"/>
      <c r="IB64" s="1256"/>
      <c r="IC64" s="1256"/>
      <c r="ID64" s="1256"/>
      <c r="IE64" s="1256"/>
      <c r="IF64" s="1256"/>
      <c r="IG64" s="1256"/>
      <c r="IH64" s="1256"/>
      <c r="II64" s="1256"/>
      <c r="IJ64" s="1256"/>
      <c r="IK64" s="1256"/>
      <c r="IL64" s="1256"/>
      <c r="IM64" s="1256"/>
      <c r="IN64" s="1256"/>
      <c r="IO64" s="1256"/>
      <c r="IP64" s="1256"/>
      <c r="IQ64" s="1256"/>
      <c r="IR64" s="1256"/>
      <c r="IS64" s="1256"/>
      <c r="IT64" s="1256"/>
      <c r="IU64" s="1256"/>
      <c r="IV64" s="1256"/>
    </row>
    <row r="65" spans="1:256" s="287" customFormat="1" ht="24.95" customHeight="1" thickTop="1" x14ac:dyDescent="0.35">
      <c r="A65" s="301">
        <v>57</v>
      </c>
      <c r="B65" s="285"/>
      <c r="C65" s="400">
        <v>4</v>
      </c>
      <c r="D65" s="408" t="s">
        <v>576</v>
      </c>
      <c r="E65" s="563"/>
      <c r="F65" s="563"/>
      <c r="G65" s="534"/>
      <c r="H65" s="592" t="s">
        <v>24</v>
      </c>
      <c r="I65" s="563"/>
      <c r="J65" s="563"/>
      <c r="K65" s="563"/>
      <c r="L65" s="563"/>
      <c r="M65" s="563"/>
      <c r="N65" s="563"/>
      <c r="O65" s="563"/>
      <c r="P65" s="534"/>
      <c r="Q65" s="562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  <c r="DT65" s="174"/>
      <c r="DU65" s="174"/>
      <c r="DV65" s="174"/>
      <c r="DW65" s="174"/>
      <c r="DX65" s="174"/>
      <c r="DY65" s="174"/>
      <c r="DZ65" s="174"/>
      <c r="EA65" s="174"/>
      <c r="EB65" s="174"/>
      <c r="EC65" s="174"/>
      <c r="ED65" s="174"/>
      <c r="EE65" s="174"/>
      <c r="EF65" s="174"/>
      <c r="EG65" s="174"/>
      <c r="EH65" s="174"/>
      <c r="EI65" s="174"/>
      <c r="EJ65" s="174"/>
      <c r="EK65" s="174"/>
      <c r="EL65" s="174"/>
      <c r="EM65" s="174"/>
      <c r="EN65" s="174"/>
      <c r="EO65" s="174"/>
      <c r="EP65" s="174"/>
      <c r="EQ65" s="174"/>
      <c r="ER65" s="174"/>
      <c r="ES65" s="174"/>
      <c r="ET65" s="174"/>
      <c r="EU65" s="174"/>
      <c r="EV65" s="174"/>
      <c r="EW65" s="174"/>
      <c r="EX65" s="174"/>
      <c r="EY65" s="174"/>
      <c r="EZ65" s="174"/>
      <c r="FA65" s="174"/>
      <c r="FB65" s="174"/>
      <c r="FC65" s="174"/>
      <c r="FD65" s="174"/>
      <c r="FE65" s="174"/>
      <c r="FF65" s="174"/>
      <c r="FG65" s="174"/>
      <c r="FH65" s="174"/>
      <c r="FI65" s="174"/>
      <c r="FJ65" s="174"/>
      <c r="FK65" s="174"/>
      <c r="FL65" s="174"/>
      <c r="FM65" s="174"/>
      <c r="FN65" s="174"/>
      <c r="FO65" s="174"/>
      <c r="FP65" s="174"/>
      <c r="FQ65" s="174"/>
      <c r="FR65" s="174"/>
      <c r="FS65" s="174"/>
      <c r="FT65" s="174"/>
      <c r="FU65" s="174"/>
      <c r="FV65" s="174"/>
      <c r="FW65" s="174"/>
      <c r="FX65" s="174"/>
      <c r="FY65" s="174"/>
      <c r="FZ65" s="174"/>
      <c r="GA65" s="174"/>
      <c r="GB65" s="174"/>
      <c r="GC65" s="174"/>
      <c r="GD65" s="174"/>
      <c r="GE65" s="174"/>
      <c r="GF65" s="174"/>
      <c r="GG65" s="174"/>
      <c r="GH65" s="174"/>
      <c r="GI65" s="174"/>
      <c r="GJ65" s="174"/>
      <c r="GK65" s="174"/>
      <c r="GL65" s="174"/>
      <c r="GM65" s="174"/>
      <c r="GN65" s="174"/>
      <c r="GO65" s="174"/>
      <c r="GP65" s="174"/>
      <c r="GQ65" s="174"/>
      <c r="GR65" s="174"/>
      <c r="GS65" s="174"/>
      <c r="GT65" s="174"/>
      <c r="GU65" s="174"/>
      <c r="GV65" s="174"/>
      <c r="GW65" s="174"/>
      <c r="GX65" s="174"/>
      <c r="GY65" s="174"/>
      <c r="GZ65" s="174"/>
      <c r="HA65" s="174"/>
      <c r="HB65" s="174"/>
      <c r="HC65" s="174"/>
      <c r="HD65" s="174"/>
      <c r="HE65" s="174"/>
      <c r="HF65" s="174"/>
      <c r="HG65" s="174"/>
      <c r="HH65" s="174"/>
      <c r="HI65" s="174"/>
      <c r="HJ65" s="174"/>
      <c r="HK65" s="174"/>
      <c r="HL65" s="174"/>
      <c r="HM65" s="174"/>
      <c r="HN65" s="174"/>
      <c r="HO65" s="174"/>
      <c r="HP65" s="174"/>
      <c r="HQ65" s="174"/>
      <c r="HR65" s="174"/>
      <c r="HS65" s="174"/>
      <c r="HT65" s="174"/>
      <c r="HU65" s="174"/>
      <c r="HV65" s="174"/>
      <c r="HW65" s="174"/>
      <c r="HX65" s="174"/>
      <c r="HY65" s="174"/>
      <c r="HZ65" s="174"/>
      <c r="IA65" s="174"/>
      <c r="IB65" s="174"/>
      <c r="IC65" s="174"/>
      <c r="ID65" s="174"/>
      <c r="IE65" s="174"/>
      <c r="IF65" s="174"/>
      <c r="IG65" s="174"/>
      <c r="IH65" s="174"/>
      <c r="II65" s="174"/>
      <c r="IJ65" s="174"/>
      <c r="IK65" s="174"/>
      <c r="IL65" s="174"/>
      <c r="IM65" s="174"/>
      <c r="IN65" s="174"/>
      <c r="IO65" s="174"/>
      <c r="IP65" s="174"/>
      <c r="IQ65" s="174"/>
      <c r="IR65" s="174"/>
      <c r="IS65" s="174"/>
      <c r="IT65" s="174"/>
      <c r="IU65" s="174"/>
      <c r="IV65" s="174"/>
    </row>
    <row r="66" spans="1:256" s="287" customFormat="1" ht="33.75" customHeight="1" x14ac:dyDescent="0.35">
      <c r="A66" s="301">
        <v>58</v>
      </c>
      <c r="B66" s="295"/>
      <c r="C66" s="191"/>
      <c r="D66" s="176" t="s">
        <v>577</v>
      </c>
      <c r="E66" s="420">
        <f>F66+G66+P68+Q67</f>
        <v>16788</v>
      </c>
      <c r="F66" s="552"/>
      <c r="G66" s="605">
        <v>6745</v>
      </c>
      <c r="H66" s="557"/>
      <c r="I66" s="555"/>
      <c r="J66" s="555"/>
      <c r="K66" s="555"/>
      <c r="L66" s="555"/>
      <c r="M66" s="555"/>
      <c r="N66" s="555"/>
      <c r="O66" s="555"/>
      <c r="P66" s="300"/>
      <c r="Q66" s="556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174"/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  <c r="DT66" s="174"/>
      <c r="DU66" s="174"/>
      <c r="DV66" s="174"/>
      <c r="DW66" s="174"/>
      <c r="DX66" s="174"/>
      <c r="DY66" s="174"/>
      <c r="DZ66" s="174"/>
      <c r="EA66" s="174"/>
      <c r="EB66" s="174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74"/>
      <c r="EN66" s="174"/>
      <c r="EO66" s="174"/>
      <c r="EP66" s="174"/>
      <c r="EQ66" s="174"/>
      <c r="ER66" s="174"/>
      <c r="ES66" s="174"/>
      <c r="ET66" s="174"/>
      <c r="EU66" s="174"/>
      <c r="EV66" s="174"/>
      <c r="EW66" s="174"/>
      <c r="EX66" s="174"/>
      <c r="EY66" s="174"/>
      <c r="EZ66" s="174"/>
      <c r="FA66" s="174"/>
      <c r="FB66" s="174"/>
      <c r="FC66" s="174"/>
      <c r="FD66" s="174"/>
      <c r="FE66" s="174"/>
      <c r="FF66" s="174"/>
      <c r="FG66" s="174"/>
      <c r="FH66" s="174"/>
      <c r="FI66" s="174"/>
      <c r="FJ66" s="174"/>
      <c r="FK66" s="174"/>
      <c r="FL66" s="174"/>
      <c r="FM66" s="174"/>
      <c r="FN66" s="174"/>
      <c r="FO66" s="174"/>
      <c r="FP66" s="174"/>
      <c r="FQ66" s="174"/>
      <c r="FR66" s="174"/>
      <c r="FS66" s="174"/>
      <c r="FT66" s="174"/>
      <c r="FU66" s="174"/>
      <c r="FV66" s="174"/>
      <c r="FW66" s="174"/>
      <c r="FX66" s="174"/>
      <c r="FY66" s="174"/>
      <c r="FZ66" s="174"/>
      <c r="GA66" s="174"/>
      <c r="GB66" s="174"/>
      <c r="GC66" s="174"/>
      <c r="GD66" s="174"/>
      <c r="GE66" s="174"/>
      <c r="GF66" s="174"/>
      <c r="GG66" s="174"/>
      <c r="GH66" s="174"/>
      <c r="GI66" s="174"/>
      <c r="GJ66" s="174"/>
      <c r="GK66" s="174"/>
      <c r="GL66" s="174"/>
      <c r="GM66" s="174"/>
      <c r="GN66" s="174"/>
      <c r="GO66" s="174"/>
      <c r="GP66" s="174"/>
      <c r="GQ66" s="174"/>
      <c r="GR66" s="174"/>
      <c r="GS66" s="174"/>
      <c r="GT66" s="174"/>
      <c r="GU66" s="174"/>
      <c r="GV66" s="174"/>
      <c r="GW66" s="174"/>
      <c r="GX66" s="174"/>
      <c r="GY66" s="174"/>
      <c r="GZ66" s="174"/>
      <c r="HA66" s="174"/>
      <c r="HB66" s="174"/>
      <c r="HC66" s="174"/>
      <c r="HD66" s="174"/>
      <c r="HE66" s="174"/>
      <c r="HF66" s="174"/>
      <c r="HG66" s="174"/>
      <c r="HH66" s="174"/>
      <c r="HI66" s="174"/>
      <c r="HJ66" s="174"/>
      <c r="HK66" s="174"/>
      <c r="HL66" s="174"/>
      <c r="HM66" s="174"/>
      <c r="HN66" s="174"/>
      <c r="HO66" s="174"/>
      <c r="HP66" s="174"/>
      <c r="HQ66" s="174"/>
      <c r="HR66" s="174"/>
      <c r="HS66" s="174"/>
      <c r="HT66" s="174"/>
      <c r="HU66" s="174"/>
      <c r="HV66" s="174"/>
      <c r="HW66" s="174"/>
      <c r="HX66" s="174"/>
      <c r="HY66" s="174"/>
      <c r="HZ66" s="174"/>
      <c r="IA66" s="174"/>
      <c r="IB66" s="174"/>
      <c r="IC66" s="174"/>
      <c r="ID66" s="174"/>
      <c r="IE66" s="174"/>
      <c r="IF66" s="174"/>
      <c r="IG66" s="174"/>
      <c r="IH66" s="174"/>
      <c r="II66" s="174"/>
      <c r="IJ66" s="174"/>
      <c r="IK66" s="174"/>
      <c r="IL66" s="174"/>
      <c r="IM66" s="174"/>
      <c r="IN66" s="174"/>
      <c r="IO66" s="174"/>
      <c r="IP66" s="174"/>
      <c r="IQ66" s="174"/>
      <c r="IR66" s="174"/>
      <c r="IS66" s="174"/>
      <c r="IT66" s="174"/>
      <c r="IU66" s="174"/>
      <c r="IV66" s="174"/>
    </row>
    <row r="67" spans="1:256" s="287" customFormat="1" ht="18" customHeight="1" x14ac:dyDescent="0.35">
      <c r="A67" s="301">
        <v>59</v>
      </c>
      <c r="B67" s="295"/>
      <c r="C67" s="191"/>
      <c r="D67" s="360" t="s">
        <v>268</v>
      </c>
      <c r="E67" s="420"/>
      <c r="F67" s="555"/>
      <c r="G67" s="1216"/>
      <c r="H67" s="553"/>
      <c r="I67" s="552"/>
      <c r="J67" s="552"/>
      <c r="K67" s="417">
        <v>531</v>
      </c>
      <c r="L67" s="552"/>
      <c r="M67" s="417">
        <v>9512</v>
      </c>
      <c r="N67" s="552"/>
      <c r="O67" s="552"/>
      <c r="P67" s="418">
        <f>SUM(I67:O67)</f>
        <v>10043</v>
      </c>
      <c r="Q67" s="565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174"/>
      <c r="CS67" s="174"/>
      <c r="CT67" s="174"/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74"/>
      <c r="EE67" s="174"/>
      <c r="EF67" s="174"/>
      <c r="EG67" s="174"/>
      <c r="EH67" s="174"/>
      <c r="EI67" s="174"/>
      <c r="EJ67" s="174"/>
      <c r="EK67" s="174"/>
      <c r="EL67" s="174"/>
      <c r="EM67" s="174"/>
      <c r="EN67" s="174"/>
      <c r="EO67" s="174"/>
      <c r="EP67" s="174"/>
      <c r="EQ67" s="174"/>
      <c r="ER67" s="174"/>
      <c r="ES67" s="174"/>
      <c r="ET67" s="174"/>
      <c r="EU67" s="174"/>
      <c r="EV67" s="174"/>
      <c r="EW67" s="174"/>
      <c r="EX67" s="174"/>
      <c r="EY67" s="174"/>
      <c r="EZ67" s="174"/>
      <c r="FA67" s="174"/>
      <c r="FB67" s="174"/>
      <c r="FC67" s="174"/>
      <c r="FD67" s="174"/>
      <c r="FE67" s="174"/>
      <c r="FF67" s="174"/>
      <c r="FG67" s="174"/>
      <c r="FH67" s="174"/>
      <c r="FI67" s="174"/>
      <c r="FJ67" s="174"/>
      <c r="FK67" s="174"/>
      <c r="FL67" s="174"/>
      <c r="FM67" s="174"/>
      <c r="FN67" s="174"/>
      <c r="FO67" s="174"/>
      <c r="FP67" s="174"/>
      <c r="FQ67" s="174"/>
      <c r="FR67" s="174"/>
      <c r="FS67" s="174"/>
      <c r="FT67" s="174"/>
      <c r="FU67" s="174"/>
      <c r="FV67" s="174"/>
      <c r="FW67" s="174"/>
      <c r="FX67" s="174"/>
      <c r="FY67" s="174"/>
      <c r="FZ67" s="174"/>
      <c r="GA67" s="174"/>
      <c r="GB67" s="174"/>
      <c r="GC67" s="174"/>
      <c r="GD67" s="174"/>
      <c r="GE67" s="174"/>
      <c r="GF67" s="174"/>
      <c r="GG67" s="174"/>
      <c r="GH67" s="174"/>
      <c r="GI67" s="174"/>
      <c r="GJ67" s="174"/>
      <c r="GK67" s="174"/>
      <c r="GL67" s="174"/>
      <c r="GM67" s="174"/>
      <c r="GN67" s="174"/>
      <c r="GO67" s="174"/>
      <c r="GP67" s="174"/>
      <c r="GQ67" s="174"/>
      <c r="GR67" s="174"/>
      <c r="GS67" s="174"/>
      <c r="GT67" s="174"/>
      <c r="GU67" s="174"/>
      <c r="GV67" s="174"/>
      <c r="GW67" s="174"/>
      <c r="GX67" s="174"/>
      <c r="GY67" s="174"/>
      <c r="GZ67" s="174"/>
      <c r="HA67" s="174"/>
      <c r="HB67" s="174"/>
      <c r="HC67" s="174"/>
      <c r="HD67" s="174"/>
      <c r="HE67" s="174"/>
      <c r="HF67" s="174"/>
      <c r="HG67" s="174"/>
      <c r="HH67" s="174"/>
      <c r="HI67" s="174"/>
      <c r="HJ67" s="174"/>
      <c r="HK67" s="174"/>
      <c r="HL67" s="174"/>
      <c r="HM67" s="174"/>
      <c r="HN67" s="174"/>
      <c r="HO67" s="174"/>
      <c r="HP67" s="174"/>
      <c r="HQ67" s="174"/>
      <c r="HR67" s="174"/>
      <c r="HS67" s="174"/>
      <c r="HT67" s="174"/>
      <c r="HU67" s="174"/>
      <c r="HV67" s="174"/>
      <c r="HW67" s="174"/>
      <c r="HX67" s="174"/>
      <c r="HY67" s="174"/>
      <c r="HZ67" s="174"/>
      <c r="IA67" s="174"/>
      <c r="IB67" s="174"/>
      <c r="IC67" s="174"/>
      <c r="ID67" s="174"/>
      <c r="IE67" s="174"/>
      <c r="IF67" s="174"/>
      <c r="IG67" s="174"/>
      <c r="IH67" s="174"/>
      <c r="II67" s="174"/>
      <c r="IJ67" s="174"/>
      <c r="IK67" s="174"/>
      <c r="IL67" s="174"/>
      <c r="IM67" s="174"/>
      <c r="IN67" s="174"/>
      <c r="IO67" s="174"/>
      <c r="IP67" s="174"/>
      <c r="IQ67" s="174"/>
      <c r="IR67" s="174"/>
      <c r="IS67" s="174"/>
      <c r="IT67" s="174"/>
      <c r="IU67" s="174"/>
      <c r="IV67" s="174"/>
    </row>
    <row r="68" spans="1:256" s="287" customFormat="1" ht="18" customHeight="1" x14ac:dyDescent="0.35">
      <c r="A68" s="301">
        <v>60</v>
      </c>
      <c r="B68" s="295"/>
      <c r="C68" s="191"/>
      <c r="D68" s="225" t="s">
        <v>796</v>
      </c>
      <c r="E68" s="183"/>
      <c r="F68" s="555"/>
      <c r="G68" s="1216"/>
      <c r="H68" s="557"/>
      <c r="I68" s="555"/>
      <c r="J68" s="555"/>
      <c r="K68" s="288">
        <v>445</v>
      </c>
      <c r="L68" s="183">
        <v>86</v>
      </c>
      <c r="M68" s="288">
        <v>9512</v>
      </c>
      <c r="N68" s="555"/>
      <c r="O68" s="555"/>
      <c r="P68" s="1202">
        <f t="shared" ref="P68:P69" si="16">SUM(I68:O68)</f>
        <v>10043</v>
      </c>
      <c r="Q68" s="556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4"/>
      <c r="DX68" s="174"/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4"/>
      <c r="EK68" s="174"/>
      <c r="EL68" s="174"/>
      <c r="EM68" s="174"/>
      <c r="EN68" s="174"/>
      <c r="EO68" s="174"/>
      <c r="EP68" s="174"/>
      <c r="EQ68" s="174"/>
      <c r="ER68" s="174"/>
      <c r="ES68" s="174"/>
      <c r="ET68" s="174"/>
      <c r="EU68" s="174"/>
      <c r="EV68" s="174"/>
      <c r="EW68" s="174"/>
      <c r="EX68" s="174"/>
      <c r="EY68" s="174"/>
      <c r="EZ68" s="174"/>
      <c r="FA68" s="174"/>
      <c r="FB68" s="174"/>
      <c r="FC68" s="174"/>
      <c r="FD68" s="174"/>
      <c r="FE68" s="174"/>
      <c r="FF68" s="174"/>
      <c r="FG68" s="174"/>
      <c r="FH68" s="174"/>
      <c r="FI68" s="174"/>
      <c r="FJ68" s="174"/>
      <c r="FK68" s="174"/>
      <c r="FL68" s="174"/>
      <c r="FM68" s="174"/>
      <c r="FN68" s="174"/>
      <c r="FO68" s="174"/>
      <c r="FP68" s="174"/>
      <c r="FQ68" s="174"/>
      <c r="FR68" s="174"/>
      <c r="FS68" s="174"/>
      <c r="FT68" s="174"/>
      <c r="FU68" s="174"/>
      <c r="FV68" s="174"/>
      <c r="FW68" s="174"/>
      <c r="FX68" s="174"/>
      <c r="FY68" s="174"/>
      <c r="FZ68" s="174"/>
      <c r="GA68" s="174"/>
      <c r="GB68" s="174"/>
      <c r="GC68" s="174"/>
      <c r="GD68" s="174"/>
      <c r="GE68" s="174"/>
      <c r="GF68" s="174"/>
      <c r="GG68" s="174"/>
      <c r="GH68" s="174"/>
      <c r="GI68" s="174"/>
      <c r="GJ68" s="174"/>
      <c r="GK68" s="174"/>
      <c r="GL68" s="174"/>
      <c r="GM68" s="174"/>
      <c r="GN68" s="174"/>
      <c r="GO68" s="174"/>
      <c r="GP68" s="174"/>
      <c r="GQ68" s="174"/>
      <c r="GR68" s="174"/>
      <c r="GS68" s="174"/>
      <c r="GT68" s="174"/>
      <c r="GU68" s="174"/>
      <c r="GV68" s="174"/>
      <c r="GW68" s="174"/>
      <c r="GX68" s="174"/>
      <c r="GY68" s="174"/>
      <c r="GZ68" s="174"/>
      <c r="HA68" s="174"/>
      <c r="HB68" s="174"/>
      <c r="HC68" s="174"/>
      <c r="HD68" s="174"/>
      <c r="HE68" s="174"/>
      <c r="HF68" s="174"/>
      <c r="HG68" s="174"/>
      <c r="HH68" s="174"/>
      <c r="HI68" s="174"/>
      <c r="HJ68" s="174"/>
      <c r="HK68" s="174"/>
      <c r="HL68" s="174"/>
      <c r="HM68" s="174"/>
      <c r="HN68" s="174"/>
      <c r="HO68" s="174"/>
      <c r="HP68" s="174"/>
      <c r="HQ68" s="174"/>
      <c r="HR68" s="174"/>
      <c r="HS68" s="174"/>
      <c r="HT68" s="174"/>
      <c r="HU68" s="174"/>
      <c r="HV68" s="174"/>
      <c r="HW68" s="174"/>
      <c r="HX68" s="174"/>
      <c r="HY68" s="174"/>
      <c r="HZ68" s="174"/>
      <c r="IA68" s="174"/>
      <c r="IB68" s="174"/>
      <c r="IC68" s="174"/>
      <c r="ID68" s="174"/>
      <c r="IE68" s="174"/>
      <c r="IF68" s="174"/>
      <c r="IG68" s="174"/>
      <c r="IH68" s="174"/>
      <c r="II68" s="174"/>
      <c r="IJ68" s="174"/>
      <c r="IK68" s="174"/>
      <c r="IL68" s="174"/>
      <c r="IM68" s="174"/>
      <c r="IN68" s="174"/>
      <c r="IO68" s="174"/>
      <c r="IP68" s="174"/>
      <c r="IQ68" s="174"/>
      <c r="IR68" s="174"/>
      <c r="IS68" s="174"/>
      <c r="IT68" s="174"/>
      <c r="IU68" s="174"/>
      <c r="IV68" s="174"/>
    </row>
    <row r="69" spans="1:256" s="287" customFormat="1" ht="18" customHeight="1" thickBot="1" x14ac:dyDescent="0.4">
      <c r="A69" s="301">
        <v>61</v>
      </c>
      <c r="B69" s="295"/>
      <c r="C69" s="191"/>
      <c r="D69" s="187" t="s">
        <v>860</v>
      </c>
      <c r="E69" s="183"/>
      <c r="F69" s="555"/>
      <c r="G69" s="1216"/>
      <c r="H69" s="557"/>
      <c r="I69" s="1189"/>
      <c r="J69" s="1189"/>
      <c r="K69" s="1194">
        <v>445</v>
      </c>
      <c r="L69" s="1190">
        <v>86</v>
      </c>
      <c r="M69" s="1194">
        <v>9512</v>
      </c>
      <c r="N69" s="1189"/>
      <c r="O69" s="1189"/>
      <c r="P69" s="1203">
        <f t="shared" si="16"/>
        <v>10043</v>
      </c>
      <c r="Q69" s="556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74"/>
      <c r="DT69" s="174"/>
      <c r="DU69" s="174"/>
      <c r="DV69" s="174"/>
      <c r="DW69" s="174"/>
      <c r="DX69" s="174"/>
      <c r="DY69" s="174"/>
      <c r="DZ69" s="174"/>
      <c r="EA69" s="174"/>
      <c r="EB69" s="174"/>
      <c r="EC69" s="174"/>
      <c r="ED69" s="174"/>
      <c r="EE69" s="174"/>
      <c r="EF69" s="174"/>
      <c r="EG69" s="174"/>
      <c r="EH69" s="174"/>
      <c r="EI69" s="174"/>
      <c r="EJ69" s="174"/>
      <c r="EK69" s="174"/>
      <c r="EL69" s="174"/>
      <c r="EM69" s="174"/>
      <c r="EN69" s="174"/>
      <c r="EO69" s="174"/>
      <c r="EP69" s="174"/>
      <c r="EQ69" s="174"/>
      <c r="ER69" s="174"/>
      <c r="ES69" s="174"/>
      <c r="ET69" s="174"/>
      <c r="EU69" s="174"/>
      <c r="EV69" s="174"/>
      <c r="EW69" s="174"/>
      <c r="EX69" s="174"/>
      <c r="EY69" s="174"/>
      <c r="EZ69" s="174"/>
      <c r="FA69" s="174"/>
      <c r="FB69" s="174"/>
      <c r="FC69" s="174"/>
      <c r="FD69" s="174"/>
      <c r="FE69" s="174"/>
      <c r="FF69" s="174"/>
      <c r="FG69" s="174"/>
      <c r="FH69" s="174"/>
      <c r="FI69" s="174"/>
      <c r="FJ69" s="174"/>
      <c r="FK69" s="174"/>
      <c r="FL69" s="174"/>
      <c r="FM69" s="174"/>
      <c r="FN69" s="174"/>
      <c r="FO69" s="174"/>
      <c r="FP69" s="174"/>
      <c r="FQ69" s="174"/>
      <c r="FR69" s="174"/>
      <c r="FS69" s="174"/>
      <c r="FT69" s="174"/>
      <c r="FU69" s="174"/>
      <c r="FV69" s="174"/>
      <c r="FW69" s="174"/>
      <c r="FX69" s="174"/>
      <c r="FY69" s="174"/>
      <c r="FZ69" s="174"/>
      <c r="GA69" s="174"/>
      <c r="GB69" s="174"/>
      <c r="GC69" s="174"/>
      <c r="GD69" s="174"/>
      <c r="GE69" s="174"/>
      <c r="GF69" s="174"/>
      <c r="GG69" s="174"/>
      <c r="GH69" s="174"/>
      <c r="GI69" s="174"/>
      <c r="GJ69" s="174"/>
      <c r="GK69" s="174"/>
      <c r="GL69" s="174"/>
      <c r="GM69" s="174"/>
      <c r="GN69" s="174"/>
      <c r="GO69" s="174"/>
      <c r="GP69" s="174"/>
      <c r="GQ69" s="174"/>
      <c r="GR69" s="174"/>
      <c r="GS69" s="174"/>
      <c r="GT69" s="174"/>
      <c r="GU69" s="174"/>
      <c r="GV69" s="174"/>
      <c r="GW69" s="174"/>
      <c r="GX69" s="174"/>
      <c r="GY69" s="174"/>
      <c r="GZ69" s="174"/>
      <c r="HA69" s="174"/>
      <c r="HB69" s="174"/>
      <c r="HC69" s="174"/>
      <c r="HD69" s="174"/>
      <c r="HE69" s="174"/>
      <c r="HF69" s="174"/>
      <c r="HG69" s="174"/>
      <c r="HH69" s="174"/>
      <c r="HI69" s="174"/>
      <c r="HJ69" s="174"/>
      <c r="HK69" s="174"/>
      <c r="HL69" s="174"/>
      <c r="HM69" s="174"/>
      <c r="HN69" s="174"/>
      <c r="HO69" s="174"/>
      <c r="HP69" s="174"/>
      <c r="HQ69" s="174"/>
      <c r="HR69" s="174"/>
      <c r="HS69" s="174"/>
      <c r="HT69" s="174"/>
      <c r="HU69" s="174"/>
      <c r="HV69" s="174"/>
      <c r="HW69" s="174"/>
      <c r="HX69" s="174"/>
      <c r="HY69" s="174"/>
      <c r="HZ69" s="174"/>
      <c r="IA69" s="174"/>
      <c r="IB69" s="174"/>
      <c r="IC69" s="174"/>
      <c r="ID69" s="174"/>
      <c r="IE69" s="174"/>
      <c r="IF69" s="174"/>
      <c r="IG69" s="174"/>
      <c r="IH69" s="174"/>
      <c r="II69" s="174"/>
      <c r="IJ69" s="174"/>
      <c r="IK69" s="174"/>
      <c r="IL69" s="174"/>
      <c r="IM69" s="174"/>
      <c r="IN69" s="174"/>
      <c r="IO69" s="174"/>
      <c r="IP69" s="174"/>
      <c r="IQ69" s="174"/>
      <c r="IR69" s="174"/>
      <c r="IS69" s="174"/>
      <c r="IT69" s="174"/>
      <c r="IU69" s="174"/>
      <c r="IV69" s="174"/>
    </row>
    <row r="70" spans="1:256" s="287" customFormat="1" ht="24.95" customHeight="1" thickTop="1" x14ac:dyDescent="0.35">
      <c r="A70" s="301">
        <v>62</v>
      </c>
      <c r="B70" s="554"/>
      <c r="C70" s="1236"/>
      <c r="D70" s="1237" t="s">
        <v>584</v>
      </c>
      <c r="E70" s="1253">
        <f>SUM(E66)</f>
        <v>16788</v>
      </c>
      <c r="F70" s="1253">
        <f>SUM(F66)</f>
        <v>0</v>
      </c>
      <c r="G70" s="1263">
        <f>SUM(G66)</f>
        <v>6745</v>
      </c>
      <c r="H70" s="1264"/>
      <c r="I70" s="1253"/>
      <c r="J70" s="1253"/>
      <c r="K70" s="1253"/>
      <c r="L70" s="1253"/>
      <c r="M70" s="1253"/>
      <c r="N70" s="1253"/>
      <c r="O70" s="1253"/>
      <c r="P70" s="1263">
        <f>SUM(I70:O70)</f>
        <v>0</v>
      </c>
      <c r="Q70" s="1265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4"/>
      <c r="DX70" s="174"/>
      <c r="DY70" s="174"/>
      <c r="DZ70" s="174"/>
      <c r="EA70" s="174"/>
      <c r="EB70" s="174"/>
      <c r="EC70" s="174"/>
      <c r="ED70" s="174"/>
      <c r="EE70" s="174"/>
      <c r="EF70" s="174"/>
      <c r="EG70" s="174"/>
      <c r="EH70" s="174"/>
      <c r="EI70" s="174"/>
      <c r="EJ70" s="174"/>
      <c r="EK70" s="174"/>
      <c r="EL70" s="174"/>
      <c r="EM70" s="174"/>
      <c r="EN70" s="174"/>
      <c r="EO70" s="174"/>
      <c r="EP70" s="174"/>
      <c r="EQ70" s="174"/>
      <c r="ER70" s="174"/>
      <c r="ES70" s="174"/>
      <c r="ET70" s="174"/>
      <c r="EU70" s="174"/>
      <c r="EV70" s="174"/>
      <c r="EW70" s="174"/>
      <c r="EX70" s="174"/>
      <c r="EY70" s="174"/>
      <c r="EZ70" s="174"/>
      <c r="FA70" s="174"/>
      <c r="FB70" s="174"/>
      <c r="FC70" s="174"/>
      <c r="FD70" s="174"/>
      <c r="FE70" s="174"/>
      <c r="FF70" s="174"/>
      <c r="FG70" s="174"/>
      <c r="FH70" s="174"/>
      <c r="FI70" s="174"/>
      <c r="FJ70" s="174"/>
      <c r="FK70" s="174"/>
      <c r="FL70" s="174"/>
      <c r="FM70" s="174"/>
      <c r="FN70" s="174"/>
      <c r="FO70" s="174"/>
      <c r="FP70" s="174"/>
      <c r="FQ70" s="174"/>
      <c r="FR70" s="174"/>
      <c r="FS70" s="174"/>
      <c r="FT70" s="174"/>
      <c r="FU70" s="174"/>
      <c r="FV70" s="174"/>
      <c r="FW70" s="174"/>
      <c r="FX70" s="174"/>
      <c r="FY70" s="174"/>
      <c r="FZ70" s="174"/>
      <c r="GA70" s="174"/>
      <c r="GB70" s="174"/>
      <c r="GC70" s="174"/>
      <c r="GD70" s="174"/>
      <c r="GE70" s="174"/>
      <c r="GF70" s="174"/>
      <c r="GG70" s="174"/>
      <c r="GH70" s="174"/>
      <c r="GI70" s="174"/>
      <c r="GJ70" s="174"/>
      <c r="GK70" s="174"/>
      <c r="GL70" s="174"/>
      <c r="GM70" s="174"/>
      <c r="GN70" s="174"/>
      <c r="GO70" s="174"/>
      <c r="GP70" s="174"/>
      <c r="GQ70" s="174"/>
      <c r="GR70" s="174"/>
      <c r="GS70" s="174"/>
      <c r="GT70" s="174"/>
      <c r="GU70" s="174"/>
      <c r="GV70" s="174"/>
      <c r="GW70" s="174"/>
      <c r="GX70" s="174"/>
      <c r="GY70" s="174"/>
      <c r="GZ70" s="174"/>
      <c r="HA70" s="174"/>
      <c r="HB70" s="174"/>
      <c r="HC70" s="174"/>
      <c r="HD70" s="174"/>
      <c r="HE70" s="174"/>
      <c r="HF70" s="174"/>
      <c r="HG70" s="174"/>
      <c r="HH70" s="174"/>
      <c r="HI70" s="174"/>
      <c r="HJ70" s="174"/>
      <c r="HK70" s="174"/>
      <c r="HL70" s="174"/>
      <c r="HM70" s="174"/>
      <c r="HN70" s="174"/>
      <c r="HO70" s="174"/>
      <c r="HP70" s="174"/>
      <c r="HQ70" s="174"/>
      <c r="HR70" s="174"/>
      <c r="HS70" s="174"/>
      <c r="HT70" s="174"/>
      <c r="HU70" s="174"/>
      <c r="HV70" s="174"/>
      <c r="HW70" s="174"/>
      <c r="HX70" s="174"/>
      <c r="HY70" s="174"/>
      <c r="HZ70" s="174"/>
      <c r="IA70" s="174"/>
      <c r="IB70" s="174"/>
      <c r="IC70" s="174"/>
      <c r="ID70" s="174"/>
      <c r="IE70" s="174"/>
      <c r="IF70" s="174"/>
      <c r="IG70" s="174"/>
      <c r="IH70" s="174"/>
      <c r="II70" s="174"/>
      <c r="IJ70" s="174"/>
      <c r="IK70" s="174"/>
      <c r="IL70" s="174"/>
      <c r="IM70" s="174"/>
      <c r="IN70" s="174"/>
      <c r="IO70" s="174"/>
      <c r="IP70" s="174"/>
      <c r="IQ70" s="174"/>
      <c r="IR70" s="174"/>
      <c r="IS70" s="174"/>
      <c r="IT70" s="174"/>
      <c r="IU70" s="174"/>
      <c r="IV70" s="174"/>
    </row>
    <row r="71" spans="1:256" s="1268" customFormat="1" ht="17.100000000000001" customHeight="1" x14ac:dyDescent="0.35">
      <c r="A71" s="301">
        <v>63</v>
      </c>
      <c r="B71" s="295"/>
      <c r="C71" s="191"/>
      <c r="D71" s="360" t="s">
        <v>268</v>
      </c>
      <c r="E71" s="555"/>
      <c r="F71" s="555"/>
      <c r="G71" s="300"/>
      <c r="H71" s="557"/>
      <c r="I71" s="1261">
        <f t="shared" ref="I71:O73" si="17">I67</f>
        <v>0</v>
      </c>
      <c r="J71" s="1261">
        <f t="shared" si="17"/>
        <v>0</v>
      </c>
      <c r="K71" s="1261">
        <f t="shared" si="17"/>
        <v>531</v>
      </c>
      <c r="L71" s="1261">
        <f t="shared" si="17"/>
        <v>0</v>
      </c>
      <c r="M71" s="1261">
        <f t="shared" si="17"/>
        <v>9512</v>
      </c>
      <c r="N71" s="1261">
        <f t="shared" si="17"/>
        <v>0</v>
      </c>
      <c r="O71" s="1261">
        <f t="shared" si="17"/>
        <v>0</v>
      </c>
      <c r="P71" s="1262">
        <f t="shared" ref="P71:P73" si="18">SUM(I71:O71)</f>
        <v>10043</v>
      </c>
      <c r="Q71" s="556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267"/>
      <c r="AT71" s="1267"/>
      <c r="AU71" s="1267"/>
      <c r="AV71" s="1267"/>
      <c r="AW71" s="1267"/>
      <c r="AX71" s="1267"/>
      <c r="AY71" s="1267"/>
      <c r="AZ71" s="1267"/>
      <c r="BA71" s="1267"/>
      <c r="BB71" s="1267"/>
      <c r="BC71" s="1267"/>
      <c r="BD71" s="1267"/>
      <c r="BE71" s="1267"/>
      <c r="BF71" s="1267"/>
      <c r="BG71" s="1267"/>
      <c r="BH71" s="1267"/>
      <c r="BI71" s="1267"/>
      <c r="BJ71" s="1267"/>
      <c r="BK71" s="1267"/>
      <c r="BL71" s="1267"/>
      <c r="BM71" s="1267"/>
      <c r="BN71" s="1267"/>
      <c r="BO71" s="1267"/>
      <c r="BP71" s="1267"/>
      <c r="BQ71" s="1267"/>
      <c r="BR71" s="1267"/>
      <c r="BS71" s="1267"/>
      <c r="BT71" s="1267"/>
      <c r="BU71" s="1267"/>
      <c r="BV71" s="1267"/>
      <c r="BW71" s="1267"/>
      <c r="BX71" s="1267"/>
      <c r="BY71" s="1267"/>
      <c r="BZ71" s="1267"/>
      <c r="CA71" s="1267"/>
      <c r="CB71" s="1267"/>
      <c r="CC71" s="1267"/>
      <c r="CD71" s="1267"/>
      <c r="CE71" s="1267"/>
      <c r="CF71" s="1267"/>
      <c r="CG71" s="1267"/>
      <c r="CH71" s="1267"/>
      <c r="CI71" s="1267"/>
      <c r="CJ71" s="1267"/>
      <c r="CK71" s="1267"/>
      <c r="CL71" s="1267"/>
      <c r="CM71" s="1267"/>
      <c r="CN71" s="1267"/>
      <c r="CO71" s="1267"/>
      <c r="CP71" s="1267"/>
      <c r="CQ71" s="1267"/>
      <c r="CR71" s="1267"/>
      <c r="CS71" s="1267"/>
      <c r="CT71" s="1267"/>
      <c r="CU71" s="1267"/>
      <c r="CV71" s="1267"/>
      <c r="CW71" s="1267"/>
      <c r="CX71" s="1267"/>
      <c r="CY71" s="1267"/>
      <c r="CZ71" s="1267"/>
      <c r="DA71" s="1267"/>
      <c r="DB71" s="1267"/>
      <c r="DC71" s="1267"/>
      <c r="DD71" s="1267"/>
      <c r="DE71" s="1267"/>
      <c r="DF71" s="1267"/>
      <c r="DG71" s="1267"/>
      <c r="DH71" s="1267"/>
      <c r="DI71" s="1267"/>
      <c r="DJ71" s="1267"/>
      <c r="DK71" s="1267"/>
      <c r="DL71" s="1267"/>
      <c r="DM71" s="1267"/>
      <c r="DN71" s="1267"/>
      <c r="DO71" s="1267"/>
      <c r="DP71" s="1267"/>
      <c r="DQ71" s="1267"/>
      <c r="DR71" s="1267"/>
      <c r="DS71" s="1267"/>
      <c r="DT71" s="1267"/>
      <c r="DU71" s="1267"/>
      <c r="DV71" s="1267"/>
      <c r="DW71" s="1267"/>
      <c r="DX71" s="1267"/>
      <c r="DY71" s="1267"/>
      <c r="DZ71" s="1267"/>
      <c r="EA71" s="1267"/>
      <c r="EB71" s="1267"/>
      <c r="EC71" s="1267"/>
      <c r="ED71" s="1267"/>
      <c r="EE71" s="1267"/>
      <c r="EF71" s="1267"/>
      <c r="EG71" s="1267"/>
      <c r="EH71" s="1267"/>
      <c r="EI71" s="1267"/>
      <c r="EJ71" s="1267"/>
      <c r="EK71" s="1267"/>
      <c r="EL71" s="1267"/>
      <c r="EM71" s="1267"/>
      <c r="EN71" s="1267"/>
      <c r="EO71" s="1267"/>
      <c r="EP71" s="1267"/>
      <c r="EQ71" s="1267"/>
      <c r="ER71" s="1267"/>
      <c r="ES71" s="1267"/>
      <c r="ET71" s="1267"/>
      <c r="EU71" s="1267"/>
      <c r="EV71" s="1267"/>
      <c r="EW71" s="1267"/>
      <c r="EX71" s="1267"/>
      <c r="EY71" s="1267"/>
      <c r="EZ71" s="1267"/>
      <c r="FA71" s="1267"/>
      <c r="FB71" s="1267"/>
      <c r="FC71" s="1267"/>
      <c r="FD71" s="1267"/>
      <c r="FE71" s="1267"/>
      <c r="FF71" s="1267"/>
      <c r="FG71" s="1267"/>
      <c r="FH71" s="1267"/>
      <c r="FI71" s="1267"/>
      <c r="FJ71" s="1267"/>
      <c r="FK71" s="1267"/>
      <c r="FL71" s="1267"/>
      <c r="FM71" s="1267"/>
      <c r="FN71" s="1267"/>
      <c r="FO71" s="1267"/>
      <c r="FP71" s="1267"/>
      <c r="FQ71" s="1267"/>
      <c r="FR71" s="1267"/>
      <c r="FS71" s="1267"/>
      <c r="FT71" s="1267"/>
      <c r="FU71" s="1267"/>
      <c r="FV71" s="1267"/>
      <c r="FW71" s="1267"/>
      <c r="FX71" s="1267"/>
      <c r="FY71" s="1267"/>
      <c r="FZ71" s="1267"/>
      <c r="GA71" s="1267"/>
      <c r="GB71" s="1267"/>
      <c r="GC71" s="1267"/>
      <c r="GD71" s="1267"/>
      <c r="GE71" s="1267"/>
      <c r="GF71" s="1267"/>
      <c r="GG71" s="1267"/>
      <c r="GH71" s="1267"/>
      <c r="GI71" s="1267"/>
      <c r="GJ71" s="1267"/>
      <c r="GK71" s="1267"/>
      <c r="GL71" s="1267"/>
      <c r="GM71" s="1267"/>
      <c r="GN71" s="1267"/>
      <c r="GO71" s="1267"/>
      <c r="GP71" s="1267"/>
      <c r="GQ71" s="1267"/>
      <c r="GR71" s="1267"/>
      <c r="GS71" s="1267"/>
      <c r="GT71" s="1267"/>
      <c r="GU71" s="1267"/>
      <c r="GV71" s="1267"/>
      <c r="GW71" s="1267"/>
      <c r="GX71" s="1267"/>
      <c r="GY71" s="1267"/>
      <c r="GZ71" s="1267"/>
      <c r="HA71" s="1267"/>
      <c r="HB71" s="1267"/>
      <c r="HC71" s="1267"/>
      <c r="HD71" s="1267"/>
      <c r="HE71" s="1267"/>
      <c r="HF71" s="1267"/>
      <c r="HG71" s="1267"/>
      <c r="HH71" s="1267"/>
      <c r="HI71" s="1267"/>
      <c r="HJ71" s="1267"/>
      <c r="HK71" s="1267"/>
      <c r="HL71" s="1267"/>
      <c r="HM71" s="1267"/>
      <c r="HN71" s="1267"/>
      <c r="HO71" s="1267"/>
      <c r="HP71" s="1267"/>
      <c r="HQ71" s="1267"/>
      <c r="HR71" s="1267"/>
      <c r="HS71" s="1267"/>
      <c r="HT71" s="1267"/>
      <c r="HU71" s="1267"/>
      <c r="HV71" s="1267"/>
      <c r="HW71" s="1267"/>
      <c r="HX71" s="1267"/>
      <c r="HY71" s="1267"/>
      <c r="HZ71" s="1267"/>
      <c r="IA71" s="1267"/>
      <c r="IB71" s="1267"/>
      <c r="IC71" s="1267"/>
      <c r="ID71" s="1267"/>
      <c r="IE71" s="1267"/>
      <c r="IF71" s="1267"/>
      <c r="IG71" s="1267"/>
      <c r="IH71" s="1267"/>
      <c r="II71" s="1267"/>
      <c r="IJ71" s="1267"/>
      <c r="IK71" s="1267"/>
      <c r="IL71" s="1267"/>
      <c r="IM71" s="1267"/>
      <c r="IN71" s="1267"/>
      <c r="IO71" s="1267"/>
      <c r="IP71" s="1267"/>
      <c r="IQ71" s="1267"/>
      <c r="IR71" s="1267"/>
      <c r="IS71" s="1267"/>
      <c r="IT71" s="1267"/>
      <c r="IU71" s="1267"/>
      <c r="IV71" s="1267"/>
    </row>
    <row r="72" spans="1:256" s="1268" customFormat="1" ht="17.100000000000001" customHeight="1" x14ac:dyDescent="0.35">
      <c r="A72" s="301">
        <v>64</v>
      </c>
      <c r="B72" s="295"/>
      <c r="C72" s="191"/>
      <c r="D72" s="225" t="s">
        <v>796</v>
      </c>
      <c r="E72" s="555"/>
      <c r="F72" s="555"/>
      <c r="G72" s="300"/>
      <c r="H72" s="557"/>
      <c r="I72" s="555">
        <f t="shared" si="17"/>
        <v>0</v>
      </c>
      <c r="J72" s="555">
        <f t="shared" si="17"/>
        <v>0</v>
      </c>
      <c r="K72" s="555">
        <f t="shared" si="17"/>
        <v>445</v>
      </c>
      <c r="L72" s="555">
        <f t="shared" si="17"/>
        <v>86</v>
      </c>
      <c r="M72" s="555">
        <f t="shared" si="17"/>
        <v>9512</v>
      </c>
      <c r="N72" s="555">
        <f t="shared" si="17"/>
        <v>0</v>
      </c>
      <c r="O72" s="555">
        <f t="shared" si="17"/>
        <v>0</v>
      </c>
      <c r="P72" s="300">
        <f t="shared" si="18"/>
        <v>10043</v>
      </c>
      <c r="Q72" s="556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267"/>
      <c r="AT72" s="1267"/>
      <c r="AU72" s="1267"/>
      <c r="AV72" s="1267"/>
      <c r="AW72" s="1267"/>
      <c r="AX72" s="1267"/>
      <c r="AY72" s="1267"/>
      <c r="AZ72" s="1267"/>
      <c r="BA72" s="1267"/>
      <c r="BB72" s="1267"/>
      <c r="BC72" s="1267"/>
      <c r="BD72" s="1267"/>
      <c r="BE72" s="1267"/>
      <c r="BF72" s="1267"/>
      <c r="BG72" s="1267"/>
      <c r="BH72" s="1267"/>
      <c r="BI72" s="1267"/>
      <c r="BJ72" s="1267"/>
      <c r="BK72" s="1267"/>
      <c r="BL72" s="1267"/>
      <c r="BM72" s="1267"/>
      <c r="BN72" s="1267"/>
      <c r="BO72" s="1267"/>
      <c r="BP72" s="1267"/>
      <c r="BQ72" s="1267"/>
      <c r="BR72" s="1267"/>
      <c r="BS72" s="1267"/>
      <c r="BT72" s="1267"/>
      <c r="BU72" s="1267"/>
      <c r="BV72" s="1267"/>
      <c r="BW72" s="1267"/>
      <c r="BX72" s="1267"/>
      <c r="BY72" s="1267"/>
      <c r="BZ72" s="1267"/>
      <c r="CA72" s="1267"/>
      <c r="CB72" s="1267"/>
      <c r="CC72" s="1267"/>
      <c r="CD72" s="1267"/>
      <c r="CE72" s="1267"/>
      <c r="CF72" s="1267"/>
      <c r="CG72" s="1267"/>
      <c r="CH72" s="1267"/>
      <c r="CI72" s="1267"/>
      <c r="CJ72" s="1267"/>
      <c r="CK72" s="1267"/>
      <c r="CL72" s="1267"/>
      <c r="CM72" s="1267"/>
      <c r="CN72" s="1267"/>
      <c r="CO72" s="1267"/>
      <c r="CP72" s="1267"/>
      <c r="CQ72" s="1267"/>
      <c r="CR72" s="1267"/>
      <c r="CS72" s="1267"/>
      <c r="CT72" s="1267"/>
      <c r="CU72" s="1267"/>
      <c r="CV72" s="1267"/>
      <c r="CW72" s="1267"/>
      <c r="CX72" s="1267"/>
      <c r="CY72" s="1267"/>
      <c r="CZ72" s="1267"/>
      <c r="DA72" s="1267"/>
      <c r="DB72" s="1267"/>
      <c r="DC72" s="1267"/>
      <c r="DD72" s="1267"/>
      <c r="DE72" s="1267"/>
      <c r="DF72" s="1267"/>
      <c r="DG72" s="1267"/>
      <c r="DH72" s="1267"/>
      <c r="DI72" s="1267"/>
      <c r="DJ72" s="1267"/>
      <c r="DK72" s="1267"/>
      <c r="DL72" s="1267"/>
      <c r="DM72" s="1267"/>
      <c r="DN72" s="1267"/>
      <c r="DO72" s="1267"/>
      <c r="DP72" s="1267"/>
      <c r="DQ72" s="1267"/>
      <c r="DR72" s="1267"/>
      <c r="DS72" s="1267"/>
      <c r="DT72" s="1267"/>
      <c r="DU72" s="1267"/>
      <c r="DV72" s="1267"/>
      <c r="DW72" s="1267"/>
      <c r="DX72" s="1267"/>
      <c r="DY72" s="1267"/>
      <c r="DZ72" s="1267"/>
      <c r="EA72" s="1267"/>
      <c r="EB72" s="1267"/>
      <c r="EC72" s="1267"/>
      <c r="ED72" s="1267"/>
      <c r="EE72" s="1267"/>
      <c r="EF72" s="1267"/>
      <c r="EG72" s="1267"/>
      <c r="EH72" s="1267"/>
      <c r="EI72" s="1267"/>
      <c r="EJ72" s="1267"/>
      <c r="EK72" s="1267"/>
      <c r="EL72" s="1267"/>
      <c r="EM72" s="1267"/>
      <c r="EN72" s="1267"/>
      <c r="EO72" s="1267"/>
      <c r="EP72" s="1267"/>
      <c r="EQ72" s="1267"/>
      <c r="ER72" s="1267"/>
      <c r="ES72" s="1267"/>
      <c r="ET72" s="1267"/>
      <c r="EU72" s="1267"/>
      <c r="EV72" s="1267"/>
      <c r="EW72" s="1267"/>
      <c r="EX72" s="1267"/>
      <c r="EY72" s="1267"/>
      <c r="EZ72" s="1267"/>
      <c r="FA72" s="1267"/>
      <c r="FB72" s="1267"/>
      <c r="FC72" s="1267"/>
      <c r="FD72" s="1267"/>
      <c r="FE72" s="1267"/>
      <c r="FF72" s="1267"/>
      <c r="FG72" s="1267"/>
      <c r="FH72" s="1267"/>
      <c r="FI72" s="1267"/>
      <c r="FJ72" s="1267"/>
      <c r="FK72" s="1267"/>
      <c r="FL72" s="1267"/>
      <c r="FM72" s="1267"/>
      <c r="FN72" s="1267"/>
      <c r="FO72" s="1267"/>
      <c r="FP72" s="1267"/>
      <c r="FQ72" s="1267"/>
      <c r="FR72" s="1267"/>
      <c r="FS72" s="1267"/>
      <c r="FT72" s="1267"/>
      <c r="FU72" s="1267"/>
      <c r="FV72" s="1267"/>
      <c r="FW72" s="1267"/>
      <c r="FX72" s="1267"/>
      <c r="FY72" s="1267"/>
      <c r="FZ72" s="1267"/>
      <c r="GA72" s="1267"/>
      <c r="GB72" s="1267"/>
      <c r="GC72" s="1267"/>
      <c r="GD72" s="1267"/>
      <c r="GE72" s="1267"/>
      <c r="GF72" s="1267"/>
      <c r="GG72" s="1267"/>
      <c r="GH72" s="1267"/>
      <c r="GI72" s="1267"/>
      <c r="GJ72" s="1267"/>
      <c r="GK72" s="1267"/>
      <c r="GL72" s="1267"/>
      <c r="GM72" s="1267"/>
      <c r="GN72" s="1267"/>
      <c r="GO72" s="1267"/>
      <c r="GP72" s="1267"/>
      <c r="GQ72" s="1267"/>
      <c r="GR72" s="1267"/>
      <c r="GS72" s="1267"/>
      <c r="GT72" s="1267"/>
      <c r="GU72" s="1267"/>
      <c r="GV72" s="1267"/>
      <c r="GW72" s="1267"/>
      <c r="GX72" s="1267"/>
      <c r="GY72" s="1267"/>
      <c r="GZ72" s="1267"/>
      <c r="HA72" s="1267"/>
      <c r="HB72" s="1267"/>
      <c r="HC72" s="1267"/>
      <c r="HD72" s="1267"/>
      <c r="HE72" s="1267"/>
      <c r="HF72" s="1267"/>
      <c r="HG72" s="1267"/>
      <c r="HH72" s="1267"/>
      <c r="HI72" s="1267"/>
      <c r="HJ72" s="1267"/>
      <c r="HK72" s="1267"/>
      <c r="HL72" s="1267"/>
      <c r="HM72" s="1267"/>
      <c r="HN72" s="1267"/>
      <c r="HO72" s="1267"/>
      <c r="HP72" s="1267"/>
      <c r="HQ72" s="1267"/>
      <c r="HR72" s="1267"/>
      <c r="HS72" s="1267"/>
      <c r="HT72" s="1267"/>
      <c r="HU72" s="1267"/>
      <c r="HV72" s="1267"/>
      <c r="HW72" s="1267"/>
      <c r="HX72" s="1267"/>
      <c r="HY72" s="1267"/>
      <c r="HZ72" s="1267"/>
      <c r="IA72" s="1267"/>
      <c r="IB72" s="1267"/>
      <c r="IC72" s="1267"/>
      <c r="ID72" s="1267"/>
      <c r="IE72" s="1267"/>
      <c r="IF72" s="1267"/>
      <c r="IG72" s="1267"/>
      <c r="IH72" s="1267"/>
      <c r="II72" s="1267"/>
      <c r="IJ72" s="1267"/>
      <c r="IK72" s="1267"/>
      <c r="IL72" s="1267"/>
      <c r="IM72" s="1267"/>
      <c r="IN72" s="1267"/>
      <c r="IO72" s="1267"/>
      <c r="IP72" s="1267"/>
      <c r="IQ72" s="1267"/>
      <c r="IR72" s="1267"/>
      <c r="IS72" s="1267"/>
      <c r="IT72" s="1267"/>
      <c r="IU72" s="1267"/>
      <c r="IV72" s="1267"/>
    </row>
    <row r="73" spans="1:256" s="1268" customFormat="1" ht="17.100000000000001" customHeight="1" thickBot="1" x14ac:dyDescent="0.4">
      <c r="A73" s="301">
        <v>65</v>
      </c>
      <c r="B73" s="295"/>
      <c r="C73" s="621"/>
      <c r="D73" s="1446" t="s">
        <v>860</v>
      </c>
      <c r="E73" s="622"/>
      <c r="F73" s="622"/>
      <c r="G73" s="1258"/>
      <c r="H73" s="1259"/>
      <c r="I73" s="1449">
        <f t="shared" si="17"/>
        <v>0</v>
      </c>
      <c r="J73" s="1449">
        <f t="shared" si="17"/>
        <v>0</v>
      </c>
      <c r="K73" s="1449">
        <f t="shared" si="17"/>
        <v>445</v>
      </c>
      <c r="L73" s="1449">
        <f t="shared" si="17"/>
        <v>86</v>
      </c>
      <c r="M73" s="1449">
        <f t="shared" si="17"/>
        <v>9512</v>
      </c>
      <c r="N73" s="1449">
        <f t="shared" si="17"/>
        <v>0</v>
      </c>
      <c r="O73" s="1449">
        <f t="shared" si="17"/>
        <v>0</v>
      </c>
      <c r="P73" s="1450">
        <f t="shared" si="18"/>
        <v>10043</v>
      </c>
      <c r="Q73" s="1269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267"/>
      <c r="AT73" s="1267"/>
      <c r="AU73" s="1267"/>
      <c r="AV73" s="1267"/>
      <c r="AW73" s="1267"/>
      <c r="AX73" s="1267"/>
      <c r="AY73" s="1267"/>
      <c r="AZ73" s="1267"/>
      <c r="BA73" s="1267"/>
      <c r="BB73" s="1267"/>
      <c r="BC73" s="1267"/>
      <c r="BD73" s="1267"/>
      <c r="BE73" s="1267"/>
      <c r="BF73" s="1267"/>
      <c r="BG73" s="1267"/>
      <c r="BH73" s="1267"/>
      <c r="BI73" s="1267"/>
      <c r="BJ73" s="1267"/>
      <c r="BK73" s="1267"/>
      <c r="BL73" s="1267"/>
      <c r="BM73" s="1267"/>
      <c r="BN73" s="1267"/>
      <c r="BO73" s="1267"/>
      <c r="BP73" s="1267"/>
      <c r="BQ73" s="1267"/>
      <c r="BR73" s="1267"/>
      <c r="BS73" s="1267"/>
      <c r="BT73" s="1267"/>
      <c r="BU73" s="1267"/>
      <c r="BV73" s="1267"/>
      <c r="BW73" s="1267"/>
      <c r="BX73" s="1267"/>
      <c r="BY73" s="1267"/>
      <c r="BZ73" s="1267"/>
      <c r="CA73" s="1267"/>
      <c r="CB73" s="1267"/>
      <c r="CC73" s="1267"/>
      <c r="CD73" s="1267"/>
      <c r="CE73" s="1267"/>
      <c r="CF73" s="1267"/>
      <c r="CG73" s="1267"/>
      <c r="CH73" s="1267"/>
      <c r="CI73" s="1267"/>
      <c r="CJ73" s="1267"/>
      <c r="CK73" s="1267"/>
      <c r="CL73" s="1267"/>
      <c r="CM73" s="1267"/>
      <c r="CN73" s="1267"/>
      <c r="CO73" s="1267"/>
      <c r="CP73" s="1267"/>
      <c r="CQ73" s="1267"/>
      <c r="CR73" s="1267"/>
      <c r="CS73" s="1267"/>
      <c r="CT73" s="1267"/>
      <c r="CU73" s="1267"/>
      <c r="CV73" s="1267"/>
      <c r="CW73" s="1267"/>
      <c r="CX73" s="1267"/>
      <c r="CY73" s="1267"/>
      <c r="CZ73" s="1267"/>
      <c r="DA73" s="1267"/>
      <c r="DB73" s="1267"/>
      <c r="DC73" s="1267"/>
      <c r="DD73" s="1267"/>
      <c r="DE73" s="1267"/>
      <c r="DF73" s="1267"/>
      <c r="DG73" s="1267"/>
      <c r="DH73" s="1267"/>
      <c r="DI73" s="1267"/>
      <c r="DJ73" s="1267"/>
      <c r="DK73" s="1267"/>
      <c r="DL73" s="1267"/>
      <c r="DM73" s="1267"/>
      <c r="DN73" s="1267"/>
      <c r="DO73" s="1267"/>
      <c r="DP73" s="1267"/>
      <c r="DQ73" s="1267"/>
      <c r="DR73" s="1267"/>
      <c r="DS73" s="1267"/>
      <c r="DT73" s="1267"/>
      <c r="DU73" s="1267"/>
      <c r="DV73" s="1267"/>
      <c r="DW73" s="1267"/>
      <c r="DX73" s="1267"/>
      <c r="DY73" s="1267"/>
      <c r="DZ73" s="1267"/>
      <c r="EA73" s="1267"/>
      <c r="EB73" s="1267"/>
      <c r="EC73" s="1267"/>
      <c r="ED73" s="1267"/>
      <c r="EE73" s="1267"/>
      <c r="EF73" s="1267"/>
      <c r="EG73" s="1267"/>
      <c r="EH73" s="1267"/>
      <c r="EI73" s="1267"/>
      <c r="EJ73" s="1267"/>
      <c r="EK73" s="1267"/>
      <c r="EL73" s="1267"/>
      <c r="EM73" s="1267"/>
      <c r="EN73" s="1267"/>
      <c r="EO73" s="1267"/>
      <c r="EP73" s="1267"/>
      <c r="EQ73" s="1267"/>
      <c r="ER73" s="1267"/>
      <c r="ES73" s="1267"/>
      <c r="ET73" s="1267"/>
      <c r="EU73" s="1267"/>
      <c r="EV73" s="1267"/>
      <c r="EW73" s="1267"/>
      <c r="EX73" s="1267"/>
      <c r="EY73" s="1267"/>
      <c r="EZ73" s="1267"/>
      <c r="FA73" s="1267"/>
      <c r="FB73" s="1267"/>
      <c r="FC73" s="1267"/>
      <c r="FD73" s="1267"/>
      <c r="FE73" s="1267"/>
      <c r="FF73" s="1267"/>
      <c r="FG73" s="1267"/>
      <c r="FH73" s="1267"/>
      <c r="FI73" s="1267"/>
      <c r="FJ73" s="1267"/>
      <c r="FK73" s="1267"/>
      <c r="FL73" s="1267"/>
      <c r="FM73" s="1267"/>
      <c r="FN73" s="1267"/>
      <c r="FO73" s="1267"/>
      <c r="FP73" s="1267"/>
      <c r="FQ73" s="1267"/>
      <c r="FR73" s="1267"/>
      <c r="FS73" s="1267"/>
      <c r="FT73" s="1267"/>
      <c r="FU73" s="1267"/>
      <c r="FV73" s="1267"/>
      <c r="FW73" s="1267"/>
      <c r="FX73" s="1267"/>
      <c r="FY73" s="1267"/>
      <c r="FZ73" s="1267"/>
      <c r="GA73" s="1267"/>
      <c r="GB73" s="1267"/>
      <c r="GC73" s="1267"/>
      <c r="GD73" s="1267"/>
      <c r="GE73" s="1267"/>
      <c r="GF73" s="1267"/>
      <c r="GG73" s="1267"/>
      <c r="GH73" s="1267"/>
      <c r="GI73" s="1267"/>
      <c r="GJ73" s="1267"/>
      <c r="GK73" s="1267"/>
      <c r="GL73" s="1267"/>
      <c r="GM73" s="1267"/>
      <c r="GN73" s="1267"/>
      <c r="GO73" s="1267"/>
      <c r="GP73" s="1267"/>
      <c r="GQ73" s="1267"/>
      <c r="GR73" s="1267"/>
      <c r="GS73" s="1267"/>
      <c r="GT73" s="1267"/>
      <c r="GU73" s="1267"/>
      <c r="GV73" s="1267"/>
      <c r="GW73" s="1267"/>
      <c r="GX73" s="1267"/>
      <c r="GY73" s="1267"/>
      <c r="GZ73" s="1267"/>
      <c r="HA73" s="1267"/>
      <c r="HB73" s="1267"/>
      <c r="HC73" s="1267"/>
      <c r="HD73" s="1267"/>
      <c r="HE73" s="1267"/>
      <c r="HF73" s="1267"/>
      <c r="HG73" s="1267"/>
      <c r="HH73" s="1267"/>
      <c r="HI73" s="1267"/>
      <c r="HJ73" s="1267"/>
      <c r="HK73" s="1267"/>
      <c r="HL73" s="1267"/>
      <c r="HM73" s="1267"/>
      <c r="HN73" s="1267"/>
      <c r="HO73" s="1267"/>
      <c r="HP73" s="1267"/>
      <c r="HQ73" s="1267"/>
      <c r="HR73" s="1267"/>
      <c r="HS73" s="1267"/>
      <c r="HT73" s="1267"/>
      <c r="HU73" s="1267"/>
      <c r="HV73" s="1267"/>
      <c r="HW73" s="1267"/>
      <c r="HX73" s="1267"/>
      <c r="HY73" s="1267"/>
      <c r="HZ73" s="1267"/>
      <c r="IA73" s="1267"/>
      <c r="IB73" s="1267"/>
      <c r="IC73" s="1267"/>
      <c r="ID73" s="1267"/>
      <c r="IE73" s="1267"/>
      <c r="IF73" s="1267"/>
      <c r="IG73" s="1267"/>
      <c r="IH73" s="1267"/>
      <c r="II73" s="1267"/>
      <c r="IJ73" s="1267"/>
      <c r="IK73" s="1267"/>
      <c r="IL73" s="1267"/>
      <c r="IM73" s="1267"/>
      <c r="IN73" s="1267"/>
      <c r="IO73" s="1267"/>
      <c r="IP73" s="1267"/>
      <c r="IQ73" s="1267"/>
      <c r="IR73" s="1267"/>
      <c r="IS73" s="1267"/>
      <c r="IT73" s="1267"/>
      <c r="IU73" s="1267"/>
      <c r="IV73" s="1267"/>
    </row>
    <row r="74" spans="1:256" ht="22.5" customHeight="1" thickTop="1" x14ac:dyDescent="0.35">
      <c r="A74" s="301">
        <v>66</v>
      </c>
      <c r="B74" s="1266"/>
      <c r="C74" s="400">
        <v>5</v>
      </c>
      <c r="D74" s="408" t="s">
        <v>511</v>
      </c>
      <c r="E74" s="181"/>
      <c r="F74" s="181"/>
      <c r="G74" s="560"/>
      <c r="H74" s="561" t="s">
        <v>24</v>
      </c>
      <c r="I74" s="181"/>
      <c r="J74" s="181"/>
      <c r="K74" s="181"/>
      <c r="L74" s="181"/>
      <c r="M74" s="181"/>
      <c r="N74" s="181"/>
      <c r="O74" s="181"/>
      <c r="P74" s="534"/>
      <c r="Q74" s="562"/>
    </row>
    <row r="75" spans="1:256" ht="22.5" customHeight="1" x14ac:dyDescent="0.35">
      <c r="A75" s="301">
        <v>67</v>
      </c>
      <c r="B75" s="237"/>
      <c r="C75" s="400"/>
      <c r="D75" s="394" t="s">
        <v>414</v>
      </c>
      <c r="E75" s="181">
        <f>F75+G75+P77+Q76</f>
        <v>9391</v>
      </c>
      <c r="F75" s="181"/>
      <c r="G75" s="180">
        <v>3000</v>
      </c>
      <c r="H75" s="372"/>
      <c r="I75" s="533"/>
      <c r="J75" s="181"/>
      <c r="K75" s="181"/>
      <c r="L75" s="181"/>
      <c r="M75" s="181"/>
      <c r="N75" s="181"/>
      <c r="O75" s="181"/>
      <c r="P75" s="534"/>
      <c r="Q75" s="289"/>
    </row>
    <row r="76" spans="1:256" s="287" customFormat="1" ht="18" customHeight="1" x14ac:dyDescent="0.35">
      <c r="A76" s="301">
        <v>68</v>
      </c>
      <c r="B76" s="295"/>
      <c r="C76" s="191"/>
      <c r="D76" s="367" t="s">
        <v>268</v>
      </c>
      <c r="E76" s="183"/>
      <c r="F76" s="291"/>
      <c r="G76" s="184"/>
      <c r="H76" s="373"/>
      <c r="I76" s="370"/>
      <c r="J76" s="288"/>
      <c r="K76" s="384">
        <v>5500</v>
      </c>
      <c r="L76" s="384"/>
      <c r="M76" s="384"/>
      <c r="N76" s="288"/>
      <c r="O76" s="288"/>
      <c r="P76" s="357">
        <f t="shared" ref="P76:P78" si="19">SUM(I76:O76)</f>
        <v>5500</v>
      </c>
      <c r="Q76" s="292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4"/>
      <c r="BT76" s="174"/>
      <c r="BU76" s="174"/>
      <c r="BV76" s="174"/>
      <c r="BW76" s="174"/>
      <c r="BX76" s="174"/>
      <c r="BY76" s="174"/>
      <c r="BZ76" s="174"/>
      <c r="CA76" s="174"/>
      <c r="CB76" s="174"/>
      <c r="CC76" s="174"/>
      <c r="CD76" s="174"/>
      <c r="CE76" s="174"/>
      <c r="CF76" s="174"/>
      <c r="CG76" s="174"/>
      <c r="CH76" s="174"/>
      <c r="CI76" s="174"/>
      <c r="CJ76" s="174"/>
      <c r="CK76" s="174"/>
      <c r="CL76" s="174"/>
      <c r="CM76" s="174"/>
      <c r="CN76" s="174"/>
      <c r="CO76" s="174"/>
      <c r="CP76" s="174"/>
      <c r="CQ76" s="174"/>
      <c r="CR76" s="174"/>
      <c r="CS76" s="174"/>
      <c r="CT76" s="174"/>
      <c r="CU76" s="174"/>
      <c r="CV76" s="174"/>
      <c r="CW76" s="174"/>
      <c r="CX76" s="174"/>
      <c r="CY76" s="174"/>
      <c r="CZ76" s="174"/>
      <c r="DA76" s="174"/>
      <c r="DB76" s="174"/>
      <c r="DC76" s="174"/>
      <c r="DD76" s="174"/>
      <c r="DE76" s="174"/>
      <c r="DF76" s="174"/>
      <c r="DG76" s="174"/>
      <c r="DH76" s="174"/>
      <c r="DI76" s="174"/>
      <c r="DJ76" s="174"/>
      <c r="DK76" s="174"/>
      <c r="DL76" s="174"/>
      <c r="DM76" s="174"/>
      <c r="DN76" s="174"/>
      <c r="DO76" s="174"/>
      <c r="DP76" s="174"/>
      <c r="DQ76" s="174"/>
      <c r="DR76" s="174"/>
      <c r="DS76" s="174"/>
      <c r="DT76" s="174"/>
      <c r="DU76" s="174"/>
      <c r="DV76" s="174"/>
      <c r="DW76" s="174"/>
      <c r="DX76" s="174"/>
      <c r="DY76" s="174"/>
      <c r="DZ76" s="174"/>
      <c r="EA76" s="174"/>
      <c r="EB76" s="174"/>
      <c r="EC76" s="174"/>
      <c r="ED76" s="174"/>
      <c r="EE76" s="174"/>
      <c r="EF76" s="174"/>
      <c r="EG76" s="174"/>
      <c r="EH76" s="174"/>
      <c r="EI76" s="174"/>
      <c r="EJ76" s="174"/>
      <c r="EK76" s="174"/>
      <c r="EL76" s="174"/>
      <c r="EM76" s="174"/>
      <c r="EN76" s="174"/>
      <c r="EO76" s="174"/>
      <c r="EP76" s="174"/>
      <c r="EQ76" s="174"/>
      <c r="ER76" s="174"/>
      <c r="ES76" s="174"/>
      <c r="ET76" s="174"/>
      <c r="EU76" s="174"/>
      <c r="EV76" s="174"/>
      <c r="EW76" s="174"/>
      <c r="EX76" s="174"/>
      <c r="EY76" s="174"/>
      <c r="EZ76" s="174"/>
      <c r="FA76" s="174"/>
      <c r="FB76" s="174"/>
      <c r="FC76" s="174"/>
      <c r="FD76" s="174"/>
      <c r="FE76" s="174"/>
      <c r="FF76" s="174"/>
      <c r="FG76" s="174"/>
      <c r="FH76" s="174"/>
      <c r="FI76" s="174"/>
      <c r="FJ76" s="174"/>
      <c r="FK76" s="174"/>
      <c r="FL76" s="174"/>
      <c r="FM76" s="174"/>
      <c r="FN76" s="174"/>
      <c r="FO76" s="174"/>
      <c r="FP76" s="174"/>
      <c r="FQ76" s="174"/>
      <c r="FR76" s="174"/>
      <c r="FS76" s="174"/>
      <c r="FT76" s="174"/>
      <c r="FU76" s="174"/>
      <c r="FV76" s="174"/>
      <c r="FW76" s="174"/>
      <c r="FX76" s="174"/>
      <c r="FY76" s="174"/>
      <c r="FZ76" s="174"/>
      <c r="GA76" s="174"/>
      <c r="GB76" s="174"/>
      <c r="GC76" s="174"/>
      <c r="GD76" s="174"/>
      <c r="GE76" s="174"/>
      <c r="GF76" s="174"/>
      <c r="GG76" s="174"/>
      <c r="GH76" s="174"/>
      <c r="GI76" s="174"/>
      <c r="GJ76" s="174"/>
      <c r="GK76" s="174"/>
      <c r="GL76" s="174"/>
      <c r="GM76" s="174"/>
      <c r="GN76" s="174"/>
      <c r="GO76" s="174"/>
      <c r="GP76" s="174"/>
      <c r="GQ76" s="174"/>
      <c r="GR76" s="174"/>
      <c r="GS76" s="174"/>
      <c r="GT76" s="174"/>
      <c r="GU76" s="174"/>
      <c r="GV76" s="174"/>
      <c r="GW76" s="174"/>
      <c r="GX76" s="174"/>
      <c r="GY76" s="174"/>
      <c r="GZ76" s="174"/>
      <c r="HA76" s="174"/>
      <c r="HB76" s="174"/>
      <c r="HC76" s="174"/>
      <c r="HD76" s="174"/>
      <c r="HE76" s="174"/>
      <c r="HF76" s="174"/>
      <c r="HG76" s="174"/>
      <c r="HH76" s="174"/>
      <c r="HI76" s="174"/>
      <c r="HJ76" s="174"/>
      <c r="HK76" s="174"/>
      <c r="HL76" s="174"/>
      <c r="HM76" s="174"/>
      <c r="HN76" s="174"/>
      <c r="HO76" s="174"/>
      <c r="HP76" s="174"/>
      <c r="HQ76" s="174"/>
      <c r="HR76" s="174"/>
      <c r="HS76" s="174"/>
      <c r="HT76" s="174"/>
      <c r="HU76" s="174"/>
      <c r="HV76" s="174"/>
      <c r="HW76" s="174"/>
      <c r="HX76" s="174"/>
      <c r="HY76" s="174"/>
      <c r="HZ76" s="174"/>
      <c r="IA76" s="174"/>
      <c r="IB76" s="174"/>
      <c r="IC76" s="174"/>
      <c r="ID76" s="174"/>
      <c r="IE76" s="174"/>
      <c r="IF76" s="174"/>
      <c r="IG76" s="174"/>
      <c r="IH76" s="174"/>
      <c r="II76" s="174"/>
      <c r="IJ76" s="174"/>
      <c r="IK76" s="174"/>
      <c r="IL76" s="174"/>
      <c r="IM76" s="174"/>
      <c r="IN76" s="174"/>
      <c r="IO76" s="174"/>
      <c r="IP76" s="174"/>
      <c r="IQ76" s="174"/>
      <c r="IR76" s="174"/>
      <c r="IS76" s="174"/>
      <c r="IT76" s="174"/>
      <c r="IU76" s="174"/>
      <c r="IV76" s="174"/>
    </row>
    <row r="77" spans="1:256" s="287" customFormat="1" ht="18" customHeight="1" x14ac:dyDescent="0.35">
      <c r="A77" s="301">
        <v>69</v>
      </c>
      <c r="B77" s="295"/>
      <c r="C77" s="191"/>
      <c r="D77" s="225" t="s">
        <v>796</v>
      </c>
      <c r="E77" s="183"/>
      <c r="F77" s="291"/>
      <c r="G77" s="184"/>
      <c r="H77" s="373"/>
      <c r="I77" s="370"/>
      <c r="J77" s="370"/>
      <c r="K77" s="370">
        <v>5691</v>
      </c>
      <c r="L77" s="370"/>
      <c r="M77" s="370"/>
      <c r="N77" s="370"/>
      <c r="O77" s="370">
        <v>700</v>
      </c>
      <c r="P77" s="296">
        <f t="shared" si="19"/>
        <v>6391</v>
      </c>
      <c r="Q77" s="292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74"/>
      <c r="FB77" s="174"/>
      <c r="FC77" s="174"/>
      <c r="FD77" s="174"/>
      <c r="FE77" s="174"/>
      <c r="FF77" s="174"/>
      <c r="FG77" s="174"/>
      <c r="FH77" s="174"/>
      <c r="FI77" s="174"/>
      <c r="FJ77" s="174"/>
      <c r="FK77" s="174"/>
      <c r="FL77" s="174"/>
      <c r="FM77" s="174"/>
      <c r="FN77" s="174"/>
      <c r="FO77" s="174"/>
      <c r="FP77" s="174"/>
      <c r="FQ77" s="174"/>
      <c r="FR77" s="174"/>
      <c r="FS77" s="174"/>
      <c r="FT77" s="174"/>
      <c r="FU77" s="174"/>
      <c r="FV77" s="174"/>
      <c r="FW77" s="174"/>
      <c r="FX77" s="174"/>
      <c r="FY77" s="174"/>
      <c r="FZ77" s="174"/>
      <c r="GA77" s="174"/>
      <c r="GB77" s="174"/>
      <c r="GC77" s="174"/>
      <c r="GD77" s="174"/>
      <c r="GE77" s="174"/>
      <c r="GF77" s="174"/>
      <c r="GG77" s="174"/>
      <c r="GH77" s="174"/>
      <c r="GI77" s="174"/>
      <c r="GJ77" s="174"/>
      <c r="GK77" s="174"/>
      <c r="GL77" s="174"/>
      <c r="GM77" s="174"/>
      <c r="GN77" s="174"/>
      <c r="GO77" s="174"/>
      <c r="GP77" s="174"/>
      <c r="GQ77" s="174"/>
      <c r="GR77" s="174"/>
      <c r="GS77" s="174"/>
      <c r="GT77" s="174"/>
      <c r="GU77" s="174"/>
      <c r="GV77" s="174"/>
      <c r="GW77" s="174"/>
      <c r="GX77" s="174"/>
      <c r="GY77" s="174"/>
      <c r="GZ77" s="174"/>
      <c r="HA77" s="174"/>
      <c r="HB77" s="174"/>
      <c r="HC77" s="174"/>
      <c r="HD77" s="174"/>
      <c r="HE77" s="174"/>
      <c r="HF77" s="174"/>
      <c r="HG77" s="174"/>
      <c r="HH77" s="174"/>
      <c r="HI77" s="174"/>
      <c r="HJ77" s="174"/>
      <c r="HK77" s="174"/>
      <c r="HL77" s="174"/>
      <c r="HM77" s="174"/>
      <c r="HN77" s="174"/>
      <c r="HO77" s="174"/>
      <c r="HP77" s="174"/>
      <c r="HQ77" s="174"/>
      <c r="HR77" s="174"/>
      <c r="HS77" s="174"/>
      <c r="HT77" s="174"/>
      <c r="HU77" s="174"/>
      <c r="HV77" s="174"/>
      <c r="HW77" s="174"/>
      <c r="HX77" s="174"/>
      <c r="HY77" s="174"/>
      <c r="HZ77" s="174"/>
      <c r="IA77" s="174"/>
      <c r="IB77" s="174"/>
      <c r="IC77" s="174"/>
      <c r="ID77" s="174"/>
      <c r="IE77" s="174"/>
      <c r="IF77" s="174"/>
      <c r="IG77" s="174"/>
      <c r="IH77" s="174"/>
      <c r="II77" s="174"/>
      <c r="IJ77" s="174"/>
      <c r="IK77" s="174"/>
      <c r="IL77" s="174"/>
      <c r="IM77" s="174"/>
      <c r="IN77" s="174"/>
      <c r="IO77" s="174"/>
      <c r="IP77" s="174"/>
      <c r="IQ77" s="174"/>
      <c r="IR77" s="174"/>
      <c r="IS77" s="174"/>
      <c r="IT77" s="174"/>
      <c r="IU77" s="174"/>
      <c r="IV77" s="174"/>
    </row>
    <row r="78" spans="1:256" s="287" customFormat="1" ht="18" customHeight="1" x14ac:dyDescent="0.35">
      <c r="A78" s="301">
        <v>70</v>
      </c>
      <c r="B78" s="295"/>
      <c r="C78" s="191"/>
      <c r="D78" s="187" t="s">
        <v>861</v>
      </c>
      <c r="E78" s="183"/>
      <c r="F78" s="291"/>
      <c r="G78" s="184"/>
      <c r="H78" s="373"/>
      <c r="I78" s="1198"/>
      <c r="J78" s="1198"/>
      <c r="K78" s="1198">
        <v>5691</v>
      </c>
      <c r="L78" s="1198"/>
      <c r="M78" s="1198"/>
      <c r="N78" s="1198"/>
      <c r="O78" s="1198">
        <v>700</v>
      </c>
      <c r="P78" s="1191">
        <f t="shared" si="19"/>
        <v>6391</v>
      </c>
      <c r="Q78" s="292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4"/>
      <c r="CI78" s="174"/>
      <c r="CJ78" s="174"/>
      <c r="CK78" s="174"/>
      <c r="CL78" s="174"/>
      <c r="CM78" s="174"/>
      <c r="CN78" s="174"/>
      <c r="CO78" s="174"/>
      <c r="CP78" s="174"/>
      <c r="CQ78" s="174"/>
      <c r="CR78" s="174"/>
      <c r="CS78" s="174"/>
      <c r="CT78" s="174"/>
      <c r="CU78" s="174"/>
      <c r="CV78" s="174"/>
      <c r="CW78" s="174"/>
      <c r="CX78" s="174"/>
      <c r="CY78" s="174"/>
      <c r="CZ78" s="174"/>
      <c r="DA78" s="174"/>
      <c r="DB78" s="174"/>
      <c r="DC78" s="174"/>
      <c r="DD78" s="174"/>
      <c r="DE78" s="174"/>
      <c r="DF78" s="174"/>
      <c r="DG78" s="174"/>
      <c r="DH78" s="174"/>
      <c r="DI78" s="174"/>
      <c r="DJ78" s="174"/>
      <c r="DK78" s="174"/>
      <c r="DL78" s="174"/>
      <c r="DM78" s="174"/>
      <c r="DN78" s="174"/>
      <c r="DO78" s="174"/>
      <c r="DP78" s="174"/>
      <c r="DQ78" s="174"/>
      <c r="DR78" s="174"/>
      <c r="DS78" s="174"/>
      <c r="DT78" s="174"/>
      <c r="DU78" s="174"/>
      <c r="DV78" s="174"/>
      <c r="DW78" s="174"/>
      <c r="DX78" s="174"/>
      <c r="DY78" s="174"/>
      <c r="DZ78" s="174"/>
      <c r="EA78" s="174"/>
      <c r="EB78" s="174"/>
      <c r="EC78" s="174"/>
      <c r="ED78" s="174"/>
      <c r="EE78" s="174"/>
      <c r="EF78" s="174"/>
      <c r="EG78" s="174"/>
      <c r="EH78" s="174"/>
      <c r="EI78" s="174"/>
      <c r="EJ78" s="174"/>
      <c r="EK78" s="174"/>
      <c r="EL78" s="174"/>
      <c r="EM78" s="174"/>
      <c r="EN78" s="174"/>
      <c r="EO78" s="174"/>
      <c r="EP78" s="174"/>
      <c r="EQ78" s="174"/>
      <c r="ER78" s="174"/>
      <c r="ES78" s="174"/>
      <c r="ET78" s="174"/>
      <c r="EU78" s="174"/>
      <c r="EV78" s="174"/>
      <c r="EW78" s="174"/>
      <c r="EX78" s="174"/>
      <c r="EY78" s="174"/>
      <c r="EZ78" s="174"/>
      <c r="FA78" s="174"/>
      <c r="FB78" s="174"/>
      <c r="FC78" s="174"/>
      <c r="FD78" s="174"/>
      <c r="FE78" s="174"/>
      <c r="FF78" s="174"/>
      <c r="FG78" s="174"/>
      <c r="FH78" s="174"/>
      <c r="FI78" s="174"/>
      <c r="FJ78" s="174"/>
      <c r="FK78" s="174"/>
      <c r="FL78" s="174"/>
      <c r="FM78" s="174"/>
      <c r="FN78" s="174"/>
      <c r="FO78" s="174"/>
      <c r="FP78" s="174"/>
      <c r="FQ78" s="174"/>
      <c r="FR78" s="174"/>
      <c r="FS78" s="174"/>
      <c r="FT78" s="174"/>
      <c r="FU78" s="174"/>
      <c r="FV78" s="174"/>
      <c r="FW78" s="174"/>
      <c r="FX78" s="174"/>
      <c r="FY78" s="174"/>
      <c r="FZ78" s="174"/>
      <c r="GA78" s="174"/>
      <c r="GB78" s="174"/>
      <c r="GC78" s="174"/>
      <c r="GD78" s="174"/>
      <c r="GE78" s="174"/>
      <c r="GF78" s="174"/>
      <c r="GG78" s="174"/>
      <c r="GH78" s="174"/>
      <c r="GI78" s="174"/>
      <c r="GJ78" s="174"/>
      <c r="GK78" s="174"/>
      <c r="GL78" s="174"/>
      <c r="GM78" s="174"/>
      <c r="GN78" s="174"/>
      <c r="GO78" s="174"/>
      <c r="GP78" s="174"/>
      <c r="GQ78" s="174"/>
      <c r="GR78" s="174"/>
      <c r="GS78" s="174"/>
      <c r="GT78" s="174"/>
      <c r="GU78" s="174"/>
      <c r="GV78" s="174"/>
      <c r="GW78" s="174"/>
      <c r="GX78" s="174"/>
      <c r="GY78" s="174"/>
      <c r="GZ78" s="174"/>
      <c r="HA78" s="174"/>
      <c r="HB78" s="174"/>
      <c r="HC78" s="174"/>
      <c r="HD78" s="174"/>
      <c r="HE78" s="174"/>
      <c r="HF78" s="174"/>
      <c r="HG78" s="174"/>
      <c r="HH78" s="174"/>
      <c r="HI78" s="174"/>
      <c r="HJ78" s="174"/>
      <c r="HK78" s="174"/>
      <c r="HL78" s="174"/>
      <c r="HM78" s="174"/>
      <c r="HN78" s="174"/>
      <c r="HO78" s="174"/>
      <c r="HP78" s="174"/>
      <c r="HQ78" s="174"/>
      <c r="HR78" s="174"/>
      <c r="HS78" s="174"/>
      <c r="HT78" s="174"/>
      <c r="HU78" s="174"/>
      <c r="HV78" s="174"/>
      <c r="HW78" s="174"/>
      <c r="HX78" s="174"/>
      <c r="HY78" s="174"/>
      <c r="HZ78" s="174"/>
      <c r="IA78" s="174"/>
      <c r="IB78" s="174"/>
      <c r="IC78" s="174"/>
      <c r="ID78" s="174"/>
      <c r="IE78" s="174"/>
      <c r="IF78" s="174"/>
      <c r="IG78" s="174"/>
      <c r="IH78" s="174"/>
      <c r="II78" s="174"/>
      <c r="IJ78" s="174"/>
      <c r="IK78" s="174"/>
      <c r="IL78" s="174"/>
      <c r="IM78" s="174"/>
      <c r="IN78" s="174"/>
      <c r="IO78" s="174"/>
      <c r="IP78" s="174"/>
      <c r="IQ78" s="174"/>
      <c r="IR78" s="174"/>
      <c r="IS78" s="174"/>
      <c r="IT78" s="174"/>
      <c r="IU78" s="174"/>
      <c r="IV78" s="174"/>
    </row>
    <row r="79" spans="1:256" s="287" customFormat="1" ht="20.100000000000001" customHeight="1" x14ac:dyDescent="0.35">
      <c r="A79" s="301">
        <v>71</v>
      </c>
      <c r="B79" s="295"/>
      <c r="C79" s="191"/>
      <c r="D79" s="176" t="s">
        <v>578</v>
      </c>
      <c r="E79" s="183">
        <f>F79+G79+P81+Q80</f>
        <v>64856</v>
      </c>
      <c r="F79" s="291"/>
      <c r="G79" s="184"/>
      <c r="H79" s="373"/>
      <c r="I79" s="370"/>
      <c r="J79" s="370"/>
      <c r="K79" s="388"/>
      <c r="L79" s="388"/>
      <c r="M79" s="388"/>
      <c r="N79" s="370"/>
      <c r="O79" s="370"/>
      <c r="P79" s="606"/>
      <c r="Q79" s="292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4"/>
      <c r="CH79" s="174"/>
      <c r="CI79" s="174"/>
      <c r="CJ79" s="174"/>
      <c r="CK79" s="174"/>
      <c r="CL79" s="174"/>
      <c r="CM79" s="174"/>
      <c r="CN79" s="174"/>
      <c r="CO79" s="174"/>
      <c r="CP79" s="174"/>
      <c r="CQ79" s="174"/>
      <c r="CR79" s="174"/>
      <c r="CS79" s="174"/>
      <c r="CT79" s="174"/>
      <c r="CU79" s="174"/>
      <c r="CV79" s="174"/>
      <c r="CW79" s="174"/>
      <c r="CX79" s="174"/>
      <c r="CY79" s="174"/>
      <c r="CZ79" s="174"/>
      <c r="DA79" s="174"/>
      <c r="DB79" s="174"/>
      <c r="DC79" s="174"/>
      <c r="DD79" s="174"/>
      <c r="DE79" s="174"/>
      <c r="DF79" s="174"/>
      <c r="DG79" s="174"/>
      <c r="DH79" s="174"/>
      <c r="DI79" s="174"/>
      <c r="DJ79" s="174"/>
      <c r="DK79" s="174"/>
      <c r="DL79" s="174"/>
      <c r="DM79" s="174"/>
      <c r="DN79" s="174"/>
      <c r="DO79" s="174"/>
      <c r="DP79" s="174"/>
      <c r="DQ79" s="174"/>
      <c r="DR79" s="174"/>
      <c r="DS79" s="174"/>
      <c r="DT79" s="174"/>
      <c r="DU79" s="174"/>
      <c r="DV79" s="174"/>
      <c r="DW79" s="174"/>
      <c r="DX79" s="174"/>
      <c r="DY79" s="174"/>
      <c r="DZ79" s="174"/>
      <c r="EA79" s="174"/>
      <c r="EB79" s="174"/>
      <c r="EC79" s="174"/>
      <c r="ED79" s="174"/>
      <c r="EE79" s="174"/>
      <c r="EF79" s="174"/>
      <c r="EG79" s="174"/>
      <c r="EH79" s="174"/>
      <c r="EI79" s="174"/>
      <c r="EJ79" s="174"/>
      <c r="EK79" s="174"/>
      <c r="EL79" s="174"/>
      <c r="EM79" s="174"/>
      <c r="EN79" s="174"/>
      <c r="EO79" s="174"/>
      <c r="EP79" s="174"/>
      <c r="EQ79" s="174"/>
      <c r="ER79" s="174"/>
      <c r="ES79" s="174"/>
      <c r="ET79" s="174"/>
      <c r="EU79" s="174"/>
      <c r="EV79" s="174"/>
      <c r="EW79" s="174"/>
      <c r="EX79" s="174"/>
      <c r="EY79" s="174"/>
      <c r="EZ79" s="174"/>
      <c r="FA79" s="174"/>
      <c r="FB79" s="174"/>
      <c r="FC79" s="174"/>
      <c r="FD79" s="174"/>
      <c r="FE79" s="174"/>
      <c r="FF79" s="174"/>
      <c r="FG79" s="174"/>
      <c r="FH79" s="174"/>
      <c r="FI79" s="174"/>
      <c r="FJ79" s="174"/>
      <c r="FK79" s="174"/>
      <c r="FL79" s="174"/>
      <c r="FM79" s="174"/>
      <c r="FN79" s="174"/>
      <c r="FO79" s="174"/>
      <c r="FP79" s="174"/>
      <c r="FQ79" s="174"/>
      <c r="FR79" s="174"/>
      <c r="FS79" s="174"/>
      <c r="FT79" s="174"/>
      <c r="FU79" s="174"/>
      <c r="FV79" s="174"/>
      <c r="FW79" s="174"/>
      <c r="FX79" s="174"/>
      <c r="FY79" s="174"/>
      <c r="FZ79" s="174"/>
      <c r="GA79" s="174"/>
      <c r="GB79" s="174"/>
      <c r="GC79" s="174"/>
      <c r="GD79" s="174"/>
      <c r="GE79" s="174"/>
      <c r="GF79" s="174"/>
      <c r="GG79" s="174"/>
      <c r="GH79" s="174"/>
      <c r="GI79" s="174"/>
      <c r="GJ79" s="174"/>
      <c r="GK79" s="174"/>
      <c r="GL79" s="174"/>
      <c r="GM79" s="174"/>
      <c r="GN79" s="174"/>
      <c r="GO79" s="174"/>
      <c r="GP79" s="174"/>
      <c r="GQ79" s="174"/>
      <c r="GR79" s="174"/>
      <c r="GS79" s="174"/>
      <c r="GT79" s="174"/>
      <c r="GU79" s="174"/>
      <c r="GV79" s="174"/>
      <c r="GW79" s="174"/>
      <c r="GX79" s="174"/>
      <c r="GY79" s="174"/>
      <c r="GZ79" s="174"/>
      <c r="HA79" s="174"/>
      <c r="HB79" s="174"/>
      <c r="HC79" s="174"/>
      <c r="HD79" s="174"/>
      <c r="HE79" s="174"/>
      <c r="HF79" s="174"/>
      <c r="HG79" s="174"/>
      <c r="HH79" s="174"/>
      <c r="HI79" s="174"/>
      <c r="HJ79" s="174"/>
      <c r="HK79" s="174"/>
      <c r="HL79" s="174"/>
      <c r="HM79" s="174"/>
      <c r="HN79" s="174"/>
      <c r="HO79" s="174"/>
      <c r="HP79" s="174"/>
      <c r="HQ79" s="174"/>
      <c r="HR79" s="174"/>
      <c r="HS79" s="174"/>
      <c r="HT79" s="174"/>
      <c r="HU79" s="174"/>
      <c r="HV79" s="174"/>
      <c r="HW79" s="174"/>
      <c r="HX79" s="174"/>
      <c r="HY79" s="174"/>
      <c r="HZ79" s="174"/>
      <c r="IA79" s="174"/>
      <c r="IB79" s="174"/>
      <c r="IC79" s="174"/>
      <c r="ID79" s="174"/>
      <c r="IE79" s="174"/>
      <c r="IF79" s="174"/>
      <c r="IG79" s="174"/>
      <c r="IH79" s="174"/>
      <c r="II79" s="174"/>
      <c r="IJ79" s="174"/>
      <c r="IK79" s="174"/>
      <c r="IL79" s="174"/>
      <c r="IM79" s="174"/>
      <c r="IN79" s="174"/>
      <c r="IO79" s="174"/>
      <c r="IP79" s="174"/>
      <c r="IQ79" s="174"/>
      <c r="IR79" s="174"/>
      <c r="IS79" s="174"/>
      <c r="IT79" s="174"/>
      <c r="IU79" s="174"/>
      <c r="IV79" s="174"/>
    </row>
    <row r="80" spans="1:256" s="287" customFormat="1" ht="18" customHeight="1" x14ac:dyDescent="0.35">
      <c r="A80" s="301">
        <v>72</v>
      </c>
      <c r="B80" s="295"/>
      <c r="C80" s="191"/>
      <c r="D80" s="367" t="s">
        <v>268</v>
      </c>
      <c r="E80" s="183"/>
      <c r="F80" s="291"/>
      <c r="G80" s="184"/>
      <c r="H80" s="373"/>
      <c r="I80" s="370"/>
      <c r="J80" s="370"/>
      <c r="K80" s="388"/>
      <c r="L80" s="388"/>
      <c r="M80" s="388">
        <v>64895</v>
      </c>
      <c r="N80" s="370"/>
      <c r="O80" s="370"/>
      <c r="P80" s="357">
        <f>SUM(I80:O80)</f>
        <v>64895</v>
      </c>
      <c r="Q80" s="292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  <c r="BW80" s="174"/>
      <c r="BX80" s="174"/>
      <c r="BY80" s="174"/>
      <c r="BZ80" s="174"/>
      <c r="CA80" s="174"/>
      <c r="CB80" s="174"/>
      <c r="CC80" s="174"/>
      <c r="CD80" s="174"/>
      <c r="CE80" s="174"/>
      <c r="CF80" s="174"/>
      <c r="CG80" s="174"/>
      <c r="CH80" s="174"/>
      <c r="CI80" s="174"/>
      <c r="CJ80" s="174"/>
      <c r="CK80" s="174"/>
      <c r="CL80" s="174"/>
      <c r="CM80" s="174"/>
      <c r="CN80" s="174"/>
      <c r="CO80" s="174"/>
      <c r="CP80" s="174"/>
      <c r="CQ80" s="174"/>
      <c r="CR80" s="174"/>
      <c r="CS80" s="174"/>
      <c r="CT80" s="174"/>
      <c r="CU80" s="174"/>
      <c r="CV80" s="174"/>
      <c r="CW80" s="174"/>
      <c r="CX80" s="174"/>
      <c r="CY80" s="174"/>
      <c r="CZ80" s="174"/>
      <c r="DA80" s="174"/>
      <c r="DB80" s="174"/>
      <c r="DC80" s="174"/>
      <c r="DD80" s="174"/>
      <c r="DE80" s="174"/>
      <c r="DF80" s="174"/>
      <c r="DG80" s="174"/>
      <c r="DH80" s="174"/>
      <c r="DI80" s="174"/>
      <c r="DJ80" s="174"/>
      <c r="DK80" s="174"/>
      <c r="DL80" s="174"/>
      <c r="DM80" s="174"/>
      <c r="DN80" s="174"/>
      <c r="DO80" s="174"/>
      <c r="DP80" s="174"/>
      <c r="DQ80" s="174"/>
      <c r="DR80" s="174"/>
      <c r="DS80" s="174"/>
      <c r="DT80" s="174"/>
      <c r="DU80" s="174"/>
      <c r="DV80" s="174"/>
      <c r="DW80" s="174"/>
      <c r="DX80" s="174"/>
      <c r="DY80" s="174"/>
      <c r="DZ80" s="174"/>
      <c r="EA80" s="174"/>
      <c r="EB80" s="174"/>
      <c r="EC80" s="174"/>
      <c r="ED80" s="174"/>
      <c r="EE80" s="174"/>
      <c r="EF80" s="174"/>
      <c r="EG80" s="174"/>
      <c r="EH80" s="174"/>
      <c r="EI80" s="174"/>
      <c r="EJ80" s="174"/>
      <c r="EK80" s="174"/>
      <c r="EL80" s="174"/>
      <c r="EM80" s="174"/>
      <c r="EN80" s="174"/>
      <c r="EO80" s="174"/>
      <c r="EP80" s="174"/>
      <c r="EQ80" s="174"/>
      <c r="ER80" s="174"/>
      <c r="ES80" s="174"/>
      <c r="ET80" s="174"/>
      <c r="EU80" s="174"/>
      <c r="EV80" s="174"/>
      <c r="EW80" s="174"/>
      <c r="EX80" s="174"/>
      <c r="EY80" s="174"/>
      <c r="EZ80" s="174"/>
      <c r="FA80" s="174"/>
      <c r="FB80" s="174"/>
      <c r="FC80" s="174"/>
      <c r="FD80" s="174"/>
      <c r="FE80" s="174"/>
      <c r="FF80" s="174"/>
      <c r="FG80" s="174"/>
      <c r="FH80" s="174"/>
      <c r="FI80" s="174"/>
      <c r="FJ80" s="174"/>
      <c r="FK80" s="174"/>
      <c r="FL80" s="174"/>
      <c r="FM80" s="174"/>
      <c r="FN80" s="174"/>
      <c r="FO80" s="174"/>
      <c r="FP80" s="174"/>
      <c r="FQ80" s="174"/>
      <c r="FR80" s="174"/>
      <c r="FS80" s="174"/>
      <c r="FT80" s="174"/>
      <c r="FU80" s="174"/>
      <c r="FV80" s="174"/>
      <c r="FW80" s="174"/>
      <c r="FX80" s="174"/>
      <c r="FY80" s="174"/>
      <c r="FZ80" s="174"/>
      <c r="GA80" s="174"/>
      <c r="GB80" s="174"/>
      <c r="GC80" s="174"/>
      <c r="GD80" s="174"/>
      <c r="GE80" s="174"/>
      <c r="GF80" s="174"/>
      <c r="GG80" s="174"/>
      <c r="GH80" s="174"/>
      <c r="GI80" s="174"/>
      <c r="GJ80" s="174"/>
      <c r="GK80" s="174"/>
      <c r="GL80" s="174"/>
      <c r="GM80" s="174"/>
      <c r="GN80" s="174"/>
      <c r="GO80" s="174"/>
      <c r="GP80" s="174"/>
      <c r="GQ80" s="174"/>
      <c r="GR80" s="174"/>
      <c r="GS80" s="174"/>
      <c r="GT80" s="174"/>
      <c r="GU80" s="174"/>
      <c r="GV80" s="174"/>
      <c r="GW80" s="174"/>
      <c r="GX80" s="174"/>
      <c r="GY80" s="174"/>
      <c r="GZ80" s="174"/>
      <c r="HA80" s="174"/>
      <c r="HB80" s="174"/>
      <c r="HC80" s="174"/>
      <c r="HD80" s="174"/>
      <c r="HE80" s="174"/>
      <c r="HF80" s="174"/>
      <c r="HG80" s="174"/>
      <c r="HH80" s="174"/>
      <c r="HI80" s="174"/>
      <c r="HJ80" s="174"/>
      <c r="HK80" s="174"/>
      <c r="HL80" s="174"/>
      <c r="HM80" s="174"/>
      <c r="HN80" s="174"/>
      <c r="HO80" s="174"/>
      <c r="HP80" s="174"/>
      <c r="HQ80" s="174"/>
      <c r="HR80" s="174"/>
      <c r="HS80" s="174"/>
      <c r="HT80" s="174"/>
      <c r="HU80" s="174"/>
      <c r="HV80" s="174"/>
      <c r="HW80" s="174"/>
      <c r="HX80" s="174"/>
      <c r="HY80" s="174"/>
      <c r="HZ80" s="174"/>
      <c r="IA80" s="174"/>
      <c r="IB80" s="174"/>
      <c r="IC80" s="174"/>
      <c r="ID80" s="174"/>
      <c r="IE80" s="174"/>
      <c r="IF80" s="174"/>
      <c r="IG80" s="174"/>
      <c r="IH80" s="174"/>
      <c r="II80" s="174"/>
      <c r="IJ80" s="174"/>
      <c r="IK80" s="174"/>
      <c r="IL80" s="174"/>
      <c r="IM80" s="174"/>
      <c r="IN80" s="174"/>
      <c r="IO80" s="174"/>
      <c r="IP80" s="174"/>
      <c r="IQ80" s="174"/>
      <c r="IR80" s="174"/>
      <c r="IS80" s="174"/>
      <c r="IT80" s="174"/>
      <c r="IU80" s="174"/>
      <c r="IV80" s="174"/>
    </row>
    <row r="81" spans="1:256" s="287" customFormat="1" ht="18" customHeight="1" x14ac:dyDescent="0.35">
      <c r="A81" s="301">
        <v>73</v>
      </c>
      <c r="B81" s="295"/>
      <c r="C81" s="191"/>
      <c r="D81" s="225" t="s">
        <v>796</v>
      </c>
      <c r="E81" s="183"/>
      <c r="F81" s="291"/>
      <c r="G81" s="184"/>
      <c r="H81" s="373"/>
      <c r="I81" s="370"/>
      <c r="J81" s="370"/>
      <c r="K81" s="370"/>
      <c r="L81" s="370"/>
      <c r="M81" s="370">
        <v>64856</v>
      </c>
      <c r="N81" s="370"/>
      <c r="O81" s="370"/>
      <c r="P81" s="296">
        <f t="shared" ref="P81:P82" si="20">SUM(I81:O81)</f>
        <v>64856</v>
      </c>
      <c r="Q81" s="292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74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174"/>
      <c r="CS81" s="174"/>
      <c r="CT81" s="174"/>
      <c r="CU81" s="174"/>
      <c r="CV81" s="174"/>
      <c r="CW81" s="174"/>
      <c r="CX81" s="174"/>
      <c r="CY81" s="174"/>
      <c r="CZ81" s="174"/>
      <c r="DA81" s="174"/>
      <c r="DB81" s="174"/>
      <c r="DC81" s="174"/>
      <c r="DD81" s="174"/>
      <c r="DE81" s="174"/>
      <c r="DF81" s="174"/>
      <c r="DG81" s="174"/>
      <c r="DH81" s="174"/>
      <c r="DI81" s="174"/>
      <c r="DJ81" s="174"/>
      <c r="DK81" s="174"/>
      <c r="DL81" s="174"/>
      <c r="DM81" s="174"/>
      <c r="DN81" s="174"/>
      <c r="DO81" s="174"/>
      <c r="DP81" s="174"/>
      <c r="DQ81" s="174"/>
      <c r="DR81" s="174"/>
      <c r="DS81" s="174"/>
      <c r="DT81" s="174"/>
      <c r="DU81" s="174"/>
      <c r="DV81" s="174"/>
      <c r="DW81" s="174"/>
      <c r="DX81" s="174"/>
      <c r="DY81" s="174"/>
      <c r="DZ81" s="174"/>
      <c r="EA81" s="174"/>
      <c r="EB81" s="174"/>
      <c r="EC81" s="174"/>
      <c r="ED81" s="174"/>
      <c r="EE81" s="174"/>
      <c r="EF81" s="174"/>
      <c r="EG81" s="174"/>
      <c r="EH81" s="174"/>
      <c r="EI81" s="174"/>
      <c r="EJ81" s="174"/>
      <c r="EK81" s="174"/>
      <c r="EL81" s="174"/>
      <c r="EM81" s="174"/>
      <c r="EN81" s="174"/>
      <c r="EO81" s="174"/>
      <c r="EP81" s="174"/>
      <c r="EQ81" s="174"/>
      <c r="ER81" s="174"/>
      <c r="ES81" s="174"/>
      <c r="ET81" s="174"/>
      <c r="EU81" s="174"/>
      <c r="EV81" s="174"/>
      <c r="EW81" s="174"/>
      <c r="EX81" s="174"/>
      <c r="EY81" s="174"/>
      <c r="EZ81" s="174"/>
      <c r="FA81" s="174"/>
      <c r="FB81" s="174"/>
      <c r="FC81" s="174"/>
      <c r="FD81" s="174"/>
      <c r="FE81" s="174"/>
      <c r="FF81" s="174"/>
      <c r="FG81" s="174"/>
      <c r="FH81" s="174"/>
      <c r="FI81" s="174"/>
      <c r="FJ81" s="174"/>
      <c r="FK81" s="174"/>
      <c r="FL81" s="174"/>
      <c r="FM81" s="174"/>
      <c r="FN81" s="174"/>
      <c r="FO81" s="174"/>
      <c r="FP81" s="174"/>
      <c r="FQ81" s="174"/>
      <c r="FR81" s="174"/>
      <c r="FS81" s="174"/>
      <c r="FT81" s="174"/>
      <c r="FU81" s="174"/>
      <c r="FV81" s="174"/>
      <c r="FW81" s="174"/>
      <c r="FX81" s="174"/>
      <c r="FY81" s="174"/>
      <c r="FZ81" s="174"/>
      <c r="GA81" s="174"/>
      <c r="GB81" s="174"/>
      <c r="GC81" s="174"/>
      <c r="GD81" s="174"/>
      <c r="GE81" s="174"/>
      <c r="GF81" s="174"/>
      <c r="GG81" s="174"/>
      <c r="GH81" s="174"/>
      <c r="GI81" s="174"/>
      <c r="GJ81" s="174"/>
      <c r="GK81" s="174"/>
      <c r="GL81" s="174"/>
      <c r="GM81" s="174"/>
      <c r="GN81" s="174"/>
      <c r="GO81" s="174"/>
      <c r="GP81" s="174"/>
      <c r="GQ81" s="174"/>
      <c r="GR81" s="174"/>
      <c r="GS81" s="174"/>
      <c r="GT81" s="174"/>
      <c r="GU81" s="174"/>
      <c r="GV81" s="174"/>
      <c r="GW81" s="174"/>
      <c r="GX81" s="174"/>
      <c r="GY81" s="174"/>
      <c r="GZ81" s="174"/>
      <c r="HA81" s="174"/>
      <c r="HB81" s="174"/>
      <c r="HC81" s="174"/>
      <c r="HD81" s="174"/>
      <c r="HE81" s="174"/>
      <c r="HF81" s="174"/>
      <c r="HG81" s="174"/>
      <c r="HH81" s="174"/>
      <c r="HI81" s="174"/>
      <c r="HJ81" s="174"/>
      <c r="HK81" s="174"/>
      <c r="HL81" s="174"/>
      <c r="HM81" s="174"/>
      <c r="HN81" s="174"/>
      <c r="HO81" s="174"/>
      <c r="HP81" s="174"/>
      <c r="HQ81" s="174"/>
      <c r="HR81" s="174"/>
      <c r="HS81" s="174"/>
      <c r="HT81" s="174"/>
      <c r="HU81" s="174"/>
      <c r="HV81" s="174"/>
      <c r="HW81" s="174"/>
      <c r="HX81" s="174"/>
      <c r="HY81" s="174"/>
      <c r="HZ81" s="174"/>
      <c r="IA81" s="174"/>
      <c r="IB81" s="174"/>
      <c r="IC81" s="174"/>
      <c r="ID81" s="174"/>
      <c r="IE81" s="174"/>
      <c r="IF81" s="174"/>
      <c r="IG81" s="174"/>
      <c r="IH81" s="174"/>
      <c r="II81" s="174"/>
      <c r="IJ81" s="174"/>
      <c r="IK81" s="174"/>
      <c r="IL81" s="174"/>
      <c r="IM81" s="174"/>
      <c r="IN81" s="174"/>
      <c r="IO81" s="174"/>
      <c r="IP81" s="174"/>
      <c r="IQ81" s="174"/>
      <c r="IR81" s="174"/>
      <c r="IS81" s="174"/>
      <c r="IT81" s="174"/>
      <c r="IU81" s="174"/>
      <c r="IV81" s="174"/>
    </row>
    <row r="82" spans="1:256" s="287" customFormat="1" ht="18" customHeight="1" x14ac:dyDescent="0.35">
      <c r="A82" s="301">
        <v>74</v>
      </c>
      <c r="B82" s="295"/>
      <c r="C82" s="191"/>
      <c r="D82" s="187" t="s">
        <v>861</v>
      </c>
      <c r="E82" s="183"/>
      <c r="F82" s="291"/>
      <c r="G82" s="184"/>
      <c r="H82" s="373"/>
      <c r="I82" s="1198"/>
      <c r="J82" s="1198"/>
      <c r="K82" s="1198"/>
      <c r="L82" s="1198"/>
      <c r="M82" s="1198">
        <v>64856</v>
      </c>
      <c r="N82" s="1198"/>
      <c r="O82" s="1198"/>
      <c r="P82" s="1191">
        <f t="shared" si="20"/>
        <v>64856</v>
      </c>
      <c r="Q82" s="292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4"/>
      <c r="BX82" s="174"/>
      <c r="BY82" s="174"/>
      <c r="BZ82" s="174"/>
      <c r="CA82" s="174"/>
      <c r="CB82" s="174"/>
      <c r="CC82" s="174"/>
      <c r="CD82" s="174"/>
      <c r="CE82" s="174"/>
      <c r="CF82" s="174"/>
      <c r="CG82" s="174"/>
      <c r="CH82" s="174"/>
      <c r="CI82" s="174"/>
      <c r="CJ82" s="174"/>
      <c r="CK82" s="174"/>
      <c r="CL82" s="174"/>
      <c r="CM82" s="174"/>
      <c r="CN82" s="174"/>
      <c r="CO82" s="174"/>
      <c r="CP82" s="174"/>
      <c r="CQ82" s="174"/>
      <c r="CR82" s="174"/>
      <c r="CS82" s="174"/>
      <c r="CT82" s="174"/>
      <c r="CU82" s="174"/>
      <c r="CV82" s="174"/>
      <c r="CW82" s="174"/>
      <c r="CX82" s="174"/>
      <c r="CY82" s="174"/>
      <c r="CZ82" s="174"/>
      <c r="DA82" s="174"/>
      <c r="DB82" s="174"/>
      <c r="DC82" s="174"/>
      <c r="DD82" s="174"/>
      <c r="DE82" s="174"/>
      <c r="DF82" s="174"/>
      <c r="DG82" s="174"/>
      <c r="DH82" s="174"/>
      <c r="DI82" s="174"/>
      <c r="DJ82" s="174"/>
      <c r="DK82" s="174"/>
      <c r="DL82" s="174"/>
      <c r="DM82" s="174"/>
      <c r="DN82" s="174"/>
      <c r="DO82" s="174"/>
      <c r="DP82" s="174"/>
      <c r="DQ82" s="174"/>
      <c r="DR82" s="174"/>
      <c r="DS82" s="174"/>
      <c r="DT82" s="174"/>
      <c r="DU82" s="174"/>
      <c r="DV82" s="174"/>
      <c r="DW82" s="174"/>
      <c r="DX82" s="174"/>
      <c r="DY82" s="174"/>
      <c r="DZ82" s="174"/>
      <c r="EA82" s="174"/>
      <c r="EB82" s="174"/>
      <c r="EC82" s="174"/>
      <c r="ED82" s="174"/>
      <c r="EE82" s="174"/>
      <c r="EF82" s="174"/>
      <c r="EG82" s="174"/>
      <c r="EH82" s="174"/>
      <c r="EI82" s="174"/>
      <c r="EJ82" s="174"/>
      <c r="EK82" s="174"/>
      <c r="EL82" s="174"/>
      <c r="EM82" s="174"/>
      <c r="EN82" s="174"/>
      <c r="EO82" s="174"/>
      <c r="EP82" s="174"/>
      <c r="EQ82" s="174"/>
      <c r="ER82" s="174"/>
      <c r="ES82" s="174"/>
      <c r="ET82" s="174"/>
      <c r="EU82" s="174"/>
      <c r="EV82" s="174"/>
      <c r="EW82" s="174"/>
      <c r="EX82" s="174"/>
      <c r="EY82" s="174"/>
      <c r="EZ82" s="174"/>
      <c r="FA82" s="174"/>
      <c r="FB82" s="174"/>
      <c r="FC82" s="174"/>
      <c r="FD82" s="174"/>
      <c r="FE82" s="174"/>
      <c r="FF82" s="174"/>
      <c r="FG82" s="174"/>
      <c r="FH82" s="174"/>
      <c r="FI82" s="174"/>
      <c r="FJ82" s="174"/>
      <c r="FK82" s="174"/>
      <c r="FL82" s="174"/>
      <c r="FM82" s="174"/>
      <c r="FN82" s="174"/>
      <c r="FO82" s="174"/>
      <c r="FP82" s="174"/>
      <c r="FQ82" s="174"/>
      <c r="FR82" s="174"/>
      <c r="FS82" s="174"/>
      <c r="FT82" s="174"/>
      <c r="FU82" s="174"/>
      <c r="FV82" s="174"/>
      <c r="FW82" s="174"/>
      <c r="FX82" s="174"/>
      <c r="FY82" s="174"/>
      <c r="FZ82" s="174"/>
      <c r="GA82" s="174"/>
      <c r="GB82" s="174"/>
      <c r="GC82" s="174"/>
      <c r="GD82" s="174"/>
      <c r="GE82" s="174"/>
      <c r="GF82" s="174"/>
      <c r="GG82" s="174"/>
      <c r="GH82" s="174"/>
      <c r="GI82" s="174"/>
      <c r="GJ82" s="174"/>
      <c r="GK82" s="174"/>
      <c r="GL82" s="174"/>
      <c r="GM82" s="174"/>
      <c r="GN82" s="174"/>
      <c r="GO82" s="174"/>
      <c r="GP82" s="174"/>
      <c r="GQ82" s="174"/>
      <c r="GR82" s="174"/>
      <c r="GS82" s="174"/>
      <c r="GT82" s="174"/>
      <c r="GU82" s="174"/>
      <c r="GV82" s="174"/>
      <c r="GW82" s="174"/>
      <c r="GX82" s="174"/>
      <c r="GY82" s="174"/>
      <c r="GZ82" s="174"/>
      <c r="HA82" s="174"/>
      <c r="HB82" s="174"/>
      <c r="HC82" s="174"/>
      <c r="HD82" s="174"/>
      <c r="HE82" s="174"/>
      <c r="HF82" s="174"/>
      <c r="HG82" s="174"/>
      <c r="HH82" s="174"/>
      <c r="HI82" s="174"/>
      <c r="HJ82" s="174"/>
      <c r="HK82" s="174"/>
      <c r="HL82" s="174"/>
      <c r="HM82" s="174"/>
      <c r="HN82" s="174"/>
      <c r="HO82" s="174"/>
      <c r="HP82" s="174"/>
      <c r="HQ82" s="174"/>
      <c r="HR82" s="174"/>
      <c r="HS82" s="174"/>
      <c r="HT82" s="174"/>
      <c r="HU82" s="174"/>
      <c r="HV82" s="174"/>
      <c r="HW82" s="174"/>
      <c r="HX82" s="174"/>
      <c r="HY82" s="174"/>
      <c r="HZ82" s="174"/>
      <c r="IA82" s="174"/>
      <c r="IB82" s="174"/>
      <c r="IC82" s="174"/>
      <c r="ID82" s="174"/>
      <c r="IE82" s="174"/>
      <c r="IF82" s="174"/>
      <c r="IG82" s="174"/>
      <c r="IH82" s="174"/>
      <c r="II82" s="174"/>
      <c r="IJ82" s="174"/>
      <c r="IK82" s="174"/>
      <c r="IL82" s="174"/>
      <c r="IM82" s="174"/>
      <c r="IN82" s="174"/>
      <c r="IO82" s="174"/>
      <c r="IP82" s="174"/>
      <c r="IQ82" s="174"/>
      <c r="IR82" s="174"/>
      <c r="IS82" s="174"/>
      <c r="IT82" s="174"/>
      <c r="IU82" s="174"/>
      <c r="IV82" s="174"/>
    </row>
    <row r="83" spans="1:256" s="287" customFormat="1" ht="20.100000000000001" customHeight="1" x14ac:dyDescent="0.35">
      <c r="A83" s="301">
        <v>75</v>
      </c>
      <c r="B83" s="295"/>
      <c r="C83" s="191"/>
      <c r="D83" s="176" t="s">
        <v>579</v>
      </c>
      <c r="E83" s="183">
        <f>F83+G83+P85+Q84</f>
        <v>19311</v>
      </c>
      <c r="F83" s="291"/>
      <c r="G83" s="184">
        <v>19311</v>
      </c>
      <c r="H83" s="373"/>
      <c r="I83" s="370"/>
      <c r="J83" s="370"/>
      <c r="K83" s="370"/>
      <c r="L83" s="370"/>
      <c r="M83" s="370"/>
      <c r="N83" s="370"/>
      <c r="O83" s="370"/>
      <c r="P83" s="615"/>
      <c r="Q83" s="292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4"/>
      <c r="BR83" s="174"/>
      <c r="BS83" s="174"/>
      <c r="BT83" s="174"/>
      <c r="BU83" s="174"/>
      <c r="BV83" s="174"/>
      <c r="BW83" s="174"/>
      <c r="BX83" s="174"/>
      <c r="BY83" s="174"/>
      <c r="BZ83" s="174"/>
      <c r="CA83" s="174"/>
      <c r="CB83" s="174"/>
      <c r="CC83" s="174"/>
      <c r="CD83" s="174"/>
      <c r="CE83" s="174"/>
      <c r="CF83" s="174"/>
      <c r="CG83" s="174"/>
      <c r="CH83" s="174"/>
      <c r="CI83" s="174"/>
      <c r="CJ83" s="174"/>
      <c r="CK83" s="174"/>
      <c r="CL83" s="174"/>
      <c r="CM83" s="174"/>
      <c r="CN83" s="174"/>
      <c r="CO83" s="174"/>
      <c r="CP83" s="174"/>
      <c r="CQ83" s="174"/>
      <c r="CR83" s="174"/>
      <c r="CS83" s="174"/>
      <c r="CT83" s="174"/>
      <c r="CU83" s="174"/>
      <c r="CV83" s="174"/>
      <c r="CW83" s="174"/>
      <c r="CX83" s="174"/>
      <c r="CY83" s="174"/>
      <c r="CZ83" s="174"/>
      <c r="DA83" s="174"/>
      <c r="DB83" s="174"/>
      <c r="DC83" s="174"/>
      <c r="DD83" s="174"/>
      <c r="DE83" s="174"/>
      <c r="DF83" s="174"/>
      <c r="DG83" s="174"/>
      <c r="DH83" s="174"/>
      <c r="DI83" s="174"/>
      <c r="DJ83" s="174"/>
      <c r="DK83" s="174"/>
      <c r="DL83" s="174"/>
      <c r="DM83" s="174"/>
      <c r="DN83" s="174"/>
      <c r="DO83" s="174"/>
      <c r="DP83" s="174"/>
      <c r="DQ83" s="174"/>
      <c r="DR83" s="174"/>
      <c r="DS83" s="174"/>
      <c r="DT83" s="174"/>
      <c r="DU83" s="174"/>
      <c r="DV83" s="174"/>
      <c r="DW83" s="174"/>
      <c r="DX83" s="174"/>
      <c r="DY83" s="174"/>
      <c r="DZ83" s="174"/>
      <c r="EA83" s="174"/>
      <c r="EB83" s="174"/>
      <c r="EC83" s="174"/>
      <c r="ED83" s="174"/>
      <c r="EE83" s="174"/>
      <c r="EF83" s="174"/>
      <c r="EG83" s="174"/>
      <c r="EH83" s="174"/>
      <c r="EI83" s="174"/>
      <c r="EJ83" s="174"/>
      <c r="EK83" s="174"/>
      <c r="EL83" s="174"/>
      <c r="EM83" s="174"/>
      <c r="EN83" s="174"/>
      <c r="EO83" s="174"/>
      <c r="EP83" s="174"/>
      <c r="EQ83" s="174"/>
      <c r="ER83" s="174"/>
      <c r="ES83" s="174"/>
      <c r="ET83" s="174"/>
      <c r="EU83" s="174"/>
      <c r="EV83" s="174"/>
      <c r="EW83" s="174"/>
      <c r="EX83" s="174"/>
      <c r="EY83" s="174"/>
      <c r="EZ83" s="174"/>
      <c r="FA83" s="174"/>
      <c r="FB83" s="174"/>
      <c r="FC83" s="174"/>
      <c r="FD83" s="174"/>
      <c r="FE83" s="174"/>
      <c r="FF83" s="174"/>
      <c r="FG83" s="174"/>
      <c r="FH83" s="174"/>
      <c r="FI83" s="174"/>
      <c r="FJ83" s="174"/>
      <c r="FK83" s="174"/>
      <c r="FL83" s="174"/>
      <c r="FM83" s="174"/>
      <c r="FN83" s="174"/>
      <c r="FO83" s="174"/>
      <c r="FP83" s="174"/>
      <c r="FQ83" s="174"/>
      <c r="FR83" s="174"/>
      <c r="FS83" s="174"/>
      <c r="FT83" s="174"/>
      <c r="FU83" s="174"/>
      <c r="FV83" s="174"/>
      <c r="FW83" s="174"/>
      <c r="FX83" s="174"/>
      <c r="FY83" s="174"/>
      <c r="FZ83" s="174"/>
      <c r="GA83" s="174"/>
      <c r="GB83" s="174"/>
      <c r="GC83" s="174"/>
      <c r="GD83" s="174"/>
      <c r="GE83" s="174"/>
      <c r="GF83" s="174"/>
      <c r="GG83" s="174"/>
      <c r="GH83" s="174"/>
      <c r="GI83" s="174"/>
      <c r="GJ83" s="174"/>
      <c r="GK83" s="174"/>
      <c r="GL83" s="174"/>
      <c r="GM83" s="174"/>
      <c r="GN83" s="174"/>
      <c r="GO83" s="174"/>
      <c r="GP83" s="174"/>
      <c r="GQ83" s="174"/>
      <c r="GR83" s="174"/>
      <c r="GS83" s="174"/>
      <c r="GT83" s="174"/>
      <c r="GU83" s="174"/>
      <c r="GV83" s="174"/>
      <c r="GW83" s="174"/>
      <c r="GX83" s="174"/>
      <c r="GY83" s="174"/>
      <c r="GZ83" s="174"/>
      <c r="HA83" s="174"/>
      <c r="HB83" s="174"/>
      <c r="HC83" s="174"/>
      <c r="HD83" s="174"/>
      <c r="HE83" s="174"/>
      <c r="HF83" s="174"/>
      <c r="HG83" s="174"/>
      <c r="HH83" s="174"/>
      <c r="HI83" s="174"/>
      <c r="HJ83" s="174"/>
      <c r="HK83" s="174"/>
      <c r="HL83" s="174"/>
      <c r="HM83" s="174"/>
      <c r="HN83" s="174"/>
      <c r="HO83" s="174"/>
      <c r="HP83" s="174"/>
      <c r="HQ83" s="174"/>
      <c r="HR83" s="174"/>
      <c r="HS83" s="174"/>
      <c r="HT83" s="174"/>
      <c r="HU83" s="174"/>
      <c r="HV83" s="174"/>
      <c r="HW83" s="174"/>
      <c r="HX83" s="174"/>
      <c r="HY83" s="174"/>
      <c r="HZ83" s="174"/>
      <c r="IA83" s="174"/>
      <c r="IB83" s="174"/>
      <c r="IC83" s="174"/>
      <c r="ID83" s="174"/>
      <c r="IE83" s="174"/>
      <c r="IF83" s="174"/>
      <c r="IG83" s="174"/>
      <c r="IH83" s="174"/>
      <c r="II83" s="174"/>
      <c r="IJ83" s="174"/>
      <c r="IK83" s="174"/>
      <c r="IL83" s="174"/>
      <c r="IM83" s="174"/>
      <c r="IN83" s="174"/>
      <c r="IO83" s="174"/>
      <c r="IP83" s="174"/>
      <c r="IQ83" s="174"/>
      <c r="IR83" s="174"/>
      <c r="IS83" s="174"/>
      <c r="IT83" s="174"/>
      <c r="IU83" s="174"/>
      <c r="IV83" s="174"/>
    </row>
    <row r="84" spans="1:256" s="287" customFormat="1" ht="18" customHeight="1" x14ac:dyDescent="0.35">
      <c r="A84" s="301">
        <v>76</v>
      </c>
      <c r="B84" s="295"/>
      <c r="C84" s="191"/>
      <c r="D84" s="367" t="s">
        <v>268</v>
      </c>
      <c r="E84" s="183"/>
      <c r="F84" s="291"/>
      <c r="G84" s="184"/>
      <c r="H84" s="373"/>
      <c r="I84" s="1250"/>
      <c r="J84" s="1250"/>
      <c r="K84" s="1250"/>
      <c r="L84" s="1250"/>
      <c r="M84" s="1250">
        <v>689</v>
      </c>
      <c r="N84" s="1250"/>
      <c r="O84" s="1250"/>
      <c r="P84" s="1249">
        <f>SUM(I84:O84)</f>
        <v>689</v>
      </c>
      <c r="Q84" s="292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74"/>
      <c r="CI84" s="174"/>
      <c r="CJ84" s="174"/>
      <c r="CK84" s="174"/>
      <c r="CL84" s="174"/>
      <c r="CM84" s="174"/>
      <c r="CN84" s="174"/>
      <c r="CO84" s="174"/>
      <c r="CP84" s="174"/>
      <c r="CQ84" s="174"/>
      <c r="CR84" s="174"/>
      <c r="CS84" s="174"/>
      <c r="CT84" s="174"/>
      <c r="CU84" s="174"/>
      <c r="CV84" s="174"/>
      <c r="CW84" s="174"/>
      <c r="CX84" s="174"/>
      <c r="CY84" s="174"/>
      <c r="CZ84" s="174"/>
      <c r="DA84" s="174"/>
      <c r="DB84" s="174"/>
      <c r="DC84" s="174"/>
      <c r="DD84" s="174"/>
      <c r="DE84" s="174"/>
      <c r="DF84" s="174"/>
      <c r="DG84" s="174"/>
      <c r="DH84" s="174"/>
      <c r="DI84" s="174"/>
      <c r="DJ84" s="174"/>
      <c r="DK84" s="174"/>
      <c r="DL84" s="174"/>
      <c r="DM84" s="174"/>
      <c r="DN84" s="174"/>
      <c r="DO84" s="174"/>
      <c r="DP84" s="174"/>
      <c r="DQ84" s="174"/>
      <c r="DR84" s="174"/>
      <c r="DS84" s="174"/>
      <c r="DT84" s="174"/>
      <c r="DU84" s="174"/>
      <c r="DV84" s="174"/>
      <c r="DW84" s="174"/>
      <c r="DX84" s="174"/>
      <c r="DY84" s="174"/>
      <c r="DZ84" s="174"/>
      <c r="EA84" s="174"/>
      <c r="EB84" s="174"/>
      <c r="EC84" s="174"/>
      <c r="ED84" s="174"/>
      <c r="EE84" s="174"/>
      <c r="EF84" s="174"/>
      <c r="EG84" s="174"/>
      <c r="EH84" s="174"/>
      <c r="EI84" s="174"/>
      <c r="EJ84" s="174"/>
      <c r="EK84" s="174"/>
      <c r="EL84" s="174"/>
      <c r="EM84" s="174"/>
      <c r="EN84" s="174"/>
      <c r="EO84" s="174"/>
      <c r="EP84" s="174"/>
      <c r="EQ84" s="174"/>
      <c r="ER84" s="174"/>
      <c r="ES84" s="174"/>
      <c r="ET84" s="174"/>
      <c r="EU84" s="174"/>
      <c r="EV84" s="174"/>
      <c r="EW84" s="174"/>
      <c r="EX84" s="174"/>
      <c r="EY84" s="174"/>
      <c r="EZ84" s="174"/>
      <c r="FA84" s="174"/>
      <c r="FB84" s="174"/>
      <c r="FC84" s="174"/>
      <c r="FD84" s="174"/>
      <c r="FE84" s="174"/>
      <c r="FF84" s="174"/>
      <c r="FG84" s="174"/>
      <c r="FH84" s="174"/>
      <c r="FI84" s="174"/>
      <c r="FJ84" s="174"/>
      <c r="FK84" s="174"/>
      <c r="FL84" s="174"/>
      <c r="FM84" s="174"/>
      <c r="FN84" s="174"/>
      <c r="FO84" s="174"/>
      <c r="FP84" s="174"/>
      <c r="FQ84" s="174"/>
      <c r="FR84" s="174"/>
      <c r="FS84" s="174"/>
      <c r="FT84" s="174"/>
      <c r="FU84" s="174"/>
      <c r="FV84" s="174"/>
      <c r="FW84" s="174"/>
      <c r="FX84" s="174"/>
      <c r="FY84" s="174"/>
      <c r="FZ84" s="174"/>
      <c r="GA84" s="174"/>
      <c r="GB84" s="174"/>
      <c r="GC84" s="174"/>
      <c r="GD84" s="174"/>
      <c r="GE84" s="174"/>
      <c r="GF84" s="174"/>
      <c r="GG84" s="174"/>
      <c r="GH84" s="174"/>
      <c r="GI84" s="174"/>
      <c r="GJ84" s="174"/>
      <c r="GK84" s="174"/>
      <c r="GL84" s="174"/>
      <c r="GM84" s="174"/>
      <c r="GN84" s="174"/>
      <c r="GO84" s="174"/>
      <c r="GP84" s="174"/>
      <c r="GQ84" s="174"/>
      <c r="GR84" s="174"/>
      <c r="GS84" s="174"/>
      <c r="GT84" s="174"/>
      <c r="GU84" s="174"/>
      <c r="GV84" s="174"/>
      <c r="GW84" s="174"/>
      <c r="GX84" s="174"/>
      <c r="GY84" s="174"/>
      <c r="GZ84" s="174"/>
      <c r="HA84" s="174"/>
      <c r="HB84" s="174"/>
      <c r="HC84" s="174"/>
      <c r="HD84" s="174"/>
      <c r="HE84" s="174"/>
      <c r="HF84" s="174"/>
      <c r="HG84" s="174"/>
      <c r="HH84" s="174"/>
      <c r="HI84" s="174"/>
      <c r="HJ84" s="174"/>
      <c r="HK84" s="174"/>
      <c r="HL84" s="174"/>
      <c r="HM84" s="174"/>
      <c r="HN84" s="174"/>
      <c r="HO84" s="174"/>
      <c r="HP84" s="174"/>
      <c r="HQ84" s="174"/>
      <c r="HR84" s="174"/>
      <c r="HS84" s="174"/>
      <c r="HT84" s="174"/>
      <c r="HU84" s="174"/>
      <c r="HV84" s="174"/>
      <c r="HW84" s="174"/>
      <c r="HX84" s="174"/>
      <c r="HY84" s="174"/>
      <c r="HZ84" s="174"/>
      <c r="IA84" s="174"/>
      <c r="IB84" s="174"/>
      <c r="IC84" s="174"/>
      <c r="ID84" s="174"/>
      <c r="IE84" s="174"/>
      <c r="IF84" s="174"/>
      <c r="IG84" s="174"/>
      <c r="IH84" s="174"/>
      <c r="II84" s="174"/>
      <c r="IJ84" s="174"/>
      <c r="IK84" s="174"/>
      <c r="IL84" s="174"/>
      <c r="IM84" s="174"/>
      <c r="IN84" s="174"/>
      <c r="IO84" s="174"/>
      <c r="IP84" s="174"/>
      <c r="IQ84" s="174"/>
      <c r="IR84" s="174"/>
      <c r="IS84" s="174"/>
      <c r="IT84" s="174"/>
      <c r="IU84" s="174"/>
      <c r="IV84" s="174"/>
    </row>
    <row r="85" spans="1:256" s="287" customFormat="1" ht="18" customHeight="1" x14ac:dyDescent="0.35">
      <c r="A85" s="301">
        <v>77</v>
      </c>
      <c r="B85" s="295"/>
      <c r="C85" s="191"/>
      <c r="D85" s="225" t="s">
        <v>796</v>
      </c>
      <c r="E85" s="183"/>
      <c r="F85" s="291"/>
      <c r="G85" s="184"/>
      <c r="H85" s="373"/>
      <c r="I85" s="370"/>
      <c r="J85" s="370"/>
      <c r="K85" s="370"/>
      <c r="L85" s="370"/>
      <c r="M85" s="370">
        <v>0</v>
      </c>
      <c r="N85" s="370"/>
      <c r="O85" s="370"/>
      <c r="P85" s="296">
        <f t="shared" ref="P85:P86" si="21">SUM(I85:O85)</f>
        <v>0</v>
      </c>
      <c r="Q85" s="292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74"/>
      <c r="CI85" s="174"/>
      <c r="CJ85" s="174"/>
      <c r="CK85" s="174"/>
      <c r="CL85" s="174"/>
      <c r="CM85" s="174"/>
      <c r="CN85" s="174"/>
      <c r="CO85" s="174"/>
      <c r="CP85" s="174"/>
      <c r="CQ85" s="174"/>
      <c r="CR85" s="174"/>
      <c r="CS85" s="174"/>
      <c r="CT85" s="174"/>
      <c r="CU85" s="174"/>
      <c r="CV85" s="174"/>
      <c r="CW85" s="174"/>
      <c r="CX85" s="174"/>
      <c r="CY85" s="174"/>
      <c r="CZ85" s="174"/>
      <c r="DA85" s="174"/>
      <c r="DB85" s="174"/>
      <c r="DC85" s="174"/>
      <c r="DD85" s="174"/>
      <c r="DE85" s="174"/>
      <c r="DF85" s="174"/>
      <c r="DG85" s="174"/>
      <c r="DH85" s="174"/>
      <c r="DI85" s="174"/>
      <c r="DJ85" s="174"/>
      <c r="DK85" s="174"/>
      <c r="DL85" s="174"/>
      <c r="DM85" s="174"/>
      <c r="DN85" s="174"/>
      <c r="DO85" s="174"/>
      <c r="DP85" s="174"/>
      <c r="DQ85" s="174"/>
      <c r="DR85" s="174"/>
      <c r="DS85" s="174"/>
      <c r="DT85" s="174"/>
      <c r="DU85" s="174"/>
      <c r="DV85" s="174"/>
      <c r="DW85" s="174"/>
      <c r="DX85" s="174"/>
      <c r="DY85" s="174"/>
      <c r="DZ85" s="174"/>
      <c r="EA85" s="174"/>
      <c r="EB85" s="174"/>
      <c r="EC85" s="174"/>
      <c r="ED85" s="174"/>
      <c r="EE85" s="174"/>
      <c r="EF85" s="174"/>
      <c r="EG85" s="174"/>
      <c r="EH85" s="174"/>
      <c r="EI85" s="174"/>
      <c r="EJ85" s="174"/>
      <c r="EK85" s="174"/>
      <c r="EL85" s="174"/>
      <c r="EM85" s="174"/>
      <c r="EN85" s="174"/>
      <c r="EO85" s="174"/>
      <c r="EP85" s="174"/>
      <c r="EQ85" s="174"/>
      <c r="ER85" s="174"/>
      <c r="ES85" s="174"/>
      <c r="ET85" s="174"/>
      <c r="EU85" s="174"/>
      <c r="EV85" s="174"/>
      <c r="EW85" s="174"/>
      <c r="EX85" s="174"/>
      <c r="EY85" s="174"/>
      <c r="EZ85" s="174"/>
      <c r="FA85" s="174"/>
      <c r="FB85" s="174"/>
      <c r="FC85" s="174"/>
      <c r="FD85" s="174"/>
      <c r="FE85" s="174"/>
      <c r="FF85" s="174"/>
      <c r="FG85" s="174"/>
      <c r="FH85" s="174"/>
      <c r="FI85" s="174"/>
      <c r="FJ85" s="174"/>
      <c r="FK85" s="174"/>
      <c r="FL85" s="174"/>
      <c r="FM85" s="174"/>
      <c r="FN85" s="174"/>
      <c r="FO85" s="174"/>
      <c r="FP85" s="174"/>
      <c r="FQ85" s="174"/>
      <c r="FR85" s="174"/>
      <c r="FS85" s="174"/>
      <c r="FT85" s="174"/>
      <c r="FU85" s="174"/>
      <c r="FV85" s="174"/>
      <c r="FW85" s="174"/>
      <c r="FX85" s="174"/>
      <c r="FY85" s="174"/>
      <c r="FZ85" s="174"/>
      <c r="GA85" s="174"/>
      <c r="GB85" s="174"/>
      <c r="GC85" s="174"/>
      <c r="GD85" s="174"/>
      <c r="GE85" s="174"/>
      <c r="GF85" s="174"/>
      <c r="GG85" s="174"/>
      <c r="GH85" s="174"/>
      <c r="GI85" s="174"/>
      <c r="GJ85" s="174"/>
      <c r="GK85" s="174"/>
      <c r="GL85" s="174"/>
      <c r="GM85" s="174"/>
      <c r="GN85" s="174"/>
      <c r="GO85" s="174"/>
      <c r="GP85" s="174"/>
      <c r="GQ85" s="174"/>
      <c r="GR85" s="174"/>
      <c r="GS85" s="174"/>
      <c r="GT85" s="174"/>
      <c r="GU85" s="174"/>
      <c r="GV85" s="174"/>
      <c r="GW85" s="174"/>
      <c r="GX85" s="174"/>
      <c r="GY85" s="174"/>
      <c r="GZ85" s="174"/>
      <c r="HA85" s="174"/>
      <c r="HB85" s="174"/>
      <c r="HC85" s="174"/>
      <c r="HD85" s="174"/>
      <c r="HE85" s="174"/>
      <c r="HF85" s="174"/>
      <c r="HG85" s="174"/>
      <c r="HH85" s="174"/>
      <c r="HI85" s="174"/>
      <c r="HJ85" s="174"/>
      <c r="HK85" s="174"/>
      <c r="HL85" s="174"/>
      <c r="HM85" s="174"/>
      <c r="HN85" s="174"/>
      <c r="HO85" s="174"/>
      <c r="HP85" s="174"/>
      <c r="HQ85" s="174"/>
      <c r="HR85" s="174"/>
      <c r="HS85" s="174"/>
      <c r="HT85" s="174"/>
      <c r="HU85" s="174"/>
      <c r="HV85" s="174"/>
      <c r="HW85" s="174"/>
      <c r="HX85" s="174"/>
      <c r="HY85" s="174"/>
      <c r="HZ85" s="174"/>
      <c r="IA85" s="174"/>
      <c r="IB85" s="174"/>
      <c r="IC85" s="174"/>
      <c r="ID85" s="174"/>
      <c r="IE85" s="174"/>
      <c r="IF85" s="174"/>
      <c r="IG85" s="174"/>
      <c r="IH85" s="174"/>
      <c r="II85" s="174"/>
      <c r="IJ85" s="174"/>
      <c r="IK85" s="174"/>
      <c r="IL85" s="174"/>
      <c r="IM85" s="174"/>
      <c r="IN85" s="174"/>
      <c r="IO85" s="174"/>
      <c r="IP85" s="174"/>
      <c r="IQ85" s="174"/>
      <c r="IR85" s="174"/>
      <c r="IS85" s="174"/>
      <c r="IT85" s="174"/>
      <c r="IU85" s="174"/>
      <c r="IV85" s="174"/>
    </row>
    <row r="86" spans="1:256" s="287" customFormat="1" ht="18" customHeight="1" x14ac:dyDescent="0.35">
      <c r="A86" s="301">
        <v>78</v>
      </c>
      <c r="B86" s="295"/>
      <c r="C86" s="191"/>
      <c r="D86" s="187" t="s">
        <v>861</v>
      </c>
      <c r="E86" s="183"/>
      <c r="F86" s="291"/>
      <c r="G86" s="184"/>
      <c r="H86" s="373"/>
      <c r="I86" s="1198"/>
      <c r="J86" s="1198"/>
      <c r="K86" s="1198"/>
      <c r="L86" s="1198"/>
      <c r="M86" s="1198"/>
      <c r="N86" s="1198"/>
      <c r="O86" s="1198"/>
      <c r="P86" s="1191">
        <f t="shared" si="21"/>
        <v>0</v>
      </c>
      <c r="Q86" s="292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4"/>
      <c r="CU86" s="174"/>
      <c r="CV86" s="174"/>
      <c r="CW86" s="174"/>
      <c r="CX86" s="174"/>
      <c r="CY86" s="174"/>
      <c r="CZ86" s="174"/>
      <c r="DA86" s="174"/>
      <c r="DB86" s="174"/>
      <c r="DC86" s="174"/>
      <c r="DD86" s="174"/>
      <c r="DE86" s="174"/>
      <c r="DF86" s="174"/>
      <c r="DG86" s="174"/>
      <c r="DH86" s="174"/>
      <c r="DI86" s="174"/>
      <c r="DJ86" s="174"/>
      <c r="DK86" s="174"/>
      <c r="DL86" s="174"/>
      <c r="DM86" s="174"/>
      <c r="DN86" s="174"/>
      <c r="DO86" s="174"/>
      <c r="DP86" s="174"/>
      <c r="DQ86" s="174"/>
      <c r="DR86" s="174"/>
      <c r="DS86" s="174"/>
      <c r="DT86" s="174"/>
      <c r="DU86" s="174"/>
      <c r="DV86" s="174"/>
      <c r="DW86" s="174"/>
      <c r="DX86" s="174"/>
      <c r="DY86" s="174"/>
      <c r="DZ86" s="174"/>
      <c r="EA86" s="174"/>
      <c r="EB86" s="174"/>
      <c r="EC86" s="174"/>
      <c r="ED86" s="174"/>
      <c r="EE86" s="174"/>
      <c r="EF86" s="174"/>
      <c r="EG86" s="174"/>
      <c r="EH86" s="174"/>
      <c r="EI86" s="174"/>
      <c r="EJ86" s="174"/>
      <c r="EK86" s="174"/>
      <c r="EL86" s="174"/>
      <c r="EM86" s="174"/>
      <c r="EN86" s="174"/>
      <c r="EO86" s="174"/>
      <c r="EP86" s="174"/>
      <c r="EQ86" s="174"/>
      <c r="ER86" s="174"/>
      <c r="ES86" s="174"/>
      <c r="ET86" s="174"/>
      <c r="EU86" s="174"/>
      <c r="EV86" s="174"/>
      <c r="EW86" s="174"/>
      <c r="EX86" s="174"/>
      <c r="EY86" s="174"/>
      <c r="EZ86" s="174"/>
      <c r="FA86" s="174"/>
      <c r="FB86" s="174"/>
      <c r="FC86" s="174"/>
      <c r="FD86" s="174"/>
      <c r="FE86" s="174"/>
      <c r="FF86" s="174"/>
      <c r="FG86" s="174"/>
      <c r="FH86" s="174"/>
      <c r="FI86" s="174"/>
      <c r="FJ86" s="174"/>
      <c r="FK86" s="174"/>
      <c r="FL86" s="174"/>
      <c r="FM86" s="174"/>
      <c r="FN86" s="174"/>
      <c r="FO86" s="174"/>
      <c r="FP86" s="174"/>
      <c r="FQ86" s="174"/>
      <c r="FR86" s="174"/>
      <c r="FS86" s="174"/>
      <c r="FT86" s="174"/>
      <c r="FU86" s="174"/>
      <c r="FV86" s="174"/>
      <c r="FW86" s="174"/>
      <c r="FX86" s="174"/>
      <c r="FY86" s="174"/>
      <c r="FZ86" s="174"/>
      <c r="GA86" s="174"/>
      <c r="GB86" s="174"/>
      <c r="GC86" s="174"/>
      <c r="GD86" s="174"/>
      <c r="GE86" s="174"/>
      <c r="GF86" s="174"/>
      <c r="GG86" s="174"/>
      <c r="GH86" s="174"/>
      <c r="GI86" s="174"/>
      <c r="GJ86" s="174"/>
      <c r="GK86" s="174"/>
      <c r="GL86" s="174"/>
      <c r="GM86" s="174"/>
      <c r="GN86" s="174"/>
      <c r="GO86" s="174"/>
      <c r="GP86" s="174"/>
      <c r="GQ86" s="174"/>
      <c r="GR86" s="174"/>
      <c r="GS86" s="174"/>
      <c r="GT86" s="174"/>
      <c r="GU86" s="174"/>
      <c r="GV86" s="174"/>
      <c r="GW86" s="174"/>
      <c r="GX86" s="174"/>
      <c r="GY86" s="174"/>
      <c r="GZ86" s="174"/>
      <c r="HA86" s="174"/>
      <c r="HB86" s="174"/>
      <c r="HC86" s="174"/>
      <c r="HD86" s="174"/>
      <c r="HE86" s="174"/>
      <c r="HF86" s="174"/>
      <c r="HG86" s="174"/>
      <c r="HH86" s="174"/>
      <c r="HI86" s="174"/>
      <c r="HJ86" s="174"/>
      <c r="HK86" s="174"/>
      <c r="HL86" s="174"/>
      <c r="HM86" s="174"/>
      <c r="HN86" s="174"/>
      <c r="HO86" s="174"/>
      <c r="HP86" s="174"/>
      <c r="HQ86" s="174"/>
      <c r="HR86" s="174"/>
      <c r="HS86" s="174"/>
      <c r="HT86" s="174"/>
      <c r="HU86" s="174"/>
      <c r="HV86" s="174"/>
      <c r="HW86" s="174"/>
      <c r="HX86" s="174"/>
      <c r="HY86" s="174"/>
      <c r="HZ86" s="174"/>
      <c r="IA86" s="174"/>
      <c r="IB86" s="174"/>
      <c r="IC86" s="174"/>
      <c r="ID86" s="174"/>
      <c r="IE86" s="174"/>
      <c r="IF86" s="174"/>
      <c r="IG86" s="174"/>
      <c r="IH86" s="174"/>
      <c r="II86" s="174"/>
      <c r="IJ86" s="174"/>
      <c r="IK86" s="174"/>
      <c r="IL86" s="174"/>
      <c r="IM86" s="174"/>
      <c r="IN86" s="174"/>
      <c r="IO86" s="174"/>
      <c r="IP86" s="174"/>
      <c r="IQ86" s="174"/>
      <c r="IR86" s="174"/>
      <c r="IS86" s="174"/>
      <c r="IT86" s="174"/>
      <c r="IU86" s="174"/>
      <c r="IV86" s="174"/>
    </row>
    <row r="87" spans="1:256" s="287" customFormat="1" ht="20.100000000000001" customHeight="1" x14ac:dyDescent="0.35">
      <c r="A87" s="301">
        <v>79</v>
      </c>
      <c r="B87" s="295"/>
      <c r="C87" s="191"/>
      <c r="D87" s="176" t="s">
        <v>580</v>
      </c>
      <c r="E87" s="183">
        <f>F87+G87+P89+Q88</f>
        <v>9837</v>
      </c>
      <c r="F87" s="291"/>
      <c r="G87" s="184">
        <v>9837</v>
      </c>
      <c r="H87" s="373"/>
      <c r="I87" s="370"/>
      <c r="J87" s="370"/>
      <c r="K87" s="388"/>
      <c r="L87" s="388"/>
      <c r="M87" s="388"/>
      <c r="N87" s="370"/>
      <c r="O87" s="370"/>
      <c r="P87" s="606"/>
      <c r="Q87" s="292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4"/>
      <c r="BR87" s="174"/>
      <c r="BS87" s="174"/>
      <c r="BT87" s="174"/>
      <c r="BU87" s="174"/>
      <c r="BV87" s="174"/>
      <c r="BW87" s="174"/>
      <c r="BX87" s="174"/>
      <c r="BY87" s="174"/>
      <c r="BZ87" s="174"/>
      <c r="CA87" s="174"/>
      <c r="CB87" s="174"/>
      <c r="CC87" s="174"/>
      <c r="CD87" s="174"/>
      <c r="CE87" s="174"/>
      <c r="CF87" s="174"/>
      <c r="CG87" s="174"/>
      <c r="CH87" s="174"/>
      <c r="CI87" s="174"/>
      <c r="CJ87" s="174"/>
      <c r="CK87" s="174"/>
      <c r="CL87" s="174"/>
      <c r="CM87" s="174"/>
      <c r="CN87" s="174"/>
      <c r="CO87" s="174"/>
      <c r="CP87" s="174"/>
      <c r="CQ87" s="174"/>
      <c r="CR87" s="174"/>
      <c r="CS87" s="174"/>
      <c r="CT87" s="174"/>
      <c r="CU87" s="174"/>
      <c r="CV87" s="174"/>
      <c r="CW87" s="174"/>
      <c r="CX87" s="174"/>
      <c r="CY87" s="174"/>
      <c r="CZ87" s="174"/>
      <c r="DA87" s="174"/>
      <c r="DB87" s="174"/>
      <c r="DC87" s="174"/>
      <c r="DD87" s="174"/>
      <c r="DE87" s="174"/>
      <c r="DF87" s="174"/>
      <c r="DG87" s="174"/>
      <c r="DH87" s="174"/>
      <c r="DI87" s="174"/>
      <c r="DJ87" s="174"/>
      <c r="DK87" s="174"/>
      <c r="DL87" s="174"/>
      <c r="DM87" s="174"/>
      <c r="DN87" s="174"/>
      <c r="DO87" s="174"/>
      <c r="DP87" s="174"/>
      <c r="DQ87" s="174"/>
      <c r="DR87" s="174"/>
      <c r="DS87" s="174"/>
      <c r="DT87" s="174"/>
      <c r="DU87" s="174"/>
      <c r="DV87" s="174"/>
      <c r="DW87" s="174"/>
      <c r="DX87" s="174"/>
      <c r="DY87" s="174"/>
      <c r="DZ87" s="174"/>
      <c r="EA87" s="174"/>
      <c r="EB87" s="174"/>
      <c r="EC87" s="174"/>
      <c r="ED87" s="174"/>
      <c r="EE87" s="174"/>
      <c r="EF87" s="174"/>
      <c r="EG87" s="174"/>
      <c r="EH87" s="174"/>
      <c r="EI87" s="174"/>
      <c r="EJ87" s="174"/>
      <c r="EK87" s="174"/>
      <c r="EL87" s="174"/>
      <c r="EM87" s="174"/>
      <c r="EN87" s="174"/>
      <c r="EO87" s="174"/>
      <c r="EP87" s="174"/>
      <c r="EQ87" s="174"/>
      <c r="ER87" s="174"/>
      <c r="ES87" s="174"/>
      <c r="ET87" s="174"/>
      <c r="EU87" s="174"/>
      <c r="EV87" s="174"/>
      <c r="EW87" s="174"/>
      <c r="EX87" s="174"/>
      <c r="EY87" s="174"/>
      <c r="EZ87" s="174"/>
      <c r="FA87" s="174"/>
      <c r="FB87" s="174"/>
      <c r="FC87" s="174"/>
      <c r="FD87" s="174"/>
      <c r="FE87" s="174"/>
      <c r="FF87" s="174"/>
      <c r="FG87" s="174"/>
      <c r="FH87" s="174"/>
      <c r="FI87" s="174"/>
      <c r="FJ87" s="174"/>
      <c r="FK87" s="174"/>
      <c r="FL87" s="174"/>
      <c r="FM87" s="174"/>
      <c r="FN87" s="174"/>
      <c r="FO87" s="174"/>
      <c r="FP87" s="174"/>
      <c r="FQ87" s="174"/>
      <c r="FR87" s="174"/>
      <c r="FS87" s="174"/>
      <c r="FT87" s="174"/>
      <c r="FU87" s="174"/>
      <c r="FV87" s="174"/>
      <c r="FW87" s="174"/>
      <c r="FX87" s="174"/>
      <c r="FY87" s="174"/>
      <c r="FZ87" s="174"/>
      <c r="GA87" s="174"/>
      <c r="GB87" s="174"/>
      <c r="GC87" s="174"/>
      <c r="GD87" s="174"/>
      <c r="GE87" s="174"/>
      <c r="GF87" s="174"/>
      <c r="GG87" s="174"/>
      <c r="GH87" s="174"/>
      <c r="GI87" s="174"/>
      <c r="GJ87" s="174"/>
      <c r="GK87" s="174"/>
      <c r="GL87" s="174"/>
      <c r="GM87" s="174"/>
      <c r="GN87" s="174"/>
      <c r="GO87" s="174"/>
      <c r="GP87" s="174"/>
      <c r="GQ87" s="174"/>
      <c r="GR87" s="174"/>
      <c r="GS87" s="174"/>
      <c r="GT87" s="174"/>
      <c r="GU87" s="174"/>
      <c r="GV87" s="174"/>
      <c r="GW87" s="174"/>
      <c r="GX87" s="174"/>
      <c r="GY87" s="174"/>
      <c r="GZ87" s="174"/>
      <c r="HA87" s="174"/>
      <c r="HB87" s="174"/>
      <c r="HC87" s="174"/>
      <c r="HD87" s="174"/>
      <c r="HE87" s="174"/>
      <c r="HF87" s="174"/>
      <c r="HG87" s="174"/>
      <c r="HH87" s="174"/>
      <c r="HI87" s="174"/>
      <c r="HJ87" s="174"/>
      <c r="HK87" s="174"/>
      <c r="HL87" s="174"/>
      <c r="HM87" s="174"/>
      <c r="HN87" s="174"/>
      <c r="HO87" s="174"/>
      <c r="HP87" s="174"/>
      <c r="HQ87" s="174"/>
      <c r="HR87" s="174"/>
      <c r="HS87" s="174"/>
      <c r="HT87" s="174"/>
      <c r="HU87" s="174"/>
      <c r="HV87" s="174"/>
      <c r="HW87" s="174"/>
      <c r="HX87" s="174"/>
      <c r="HY87" s="174"/>
      <c r="HZ87" s="174"/>
      <c r="IA87" s="174"/>
      <c r="IB87" s="174"/>
      <c r="IC87" s="174"/>
      <c r="ID87" s="174"/>
      <c r="IE87" s="174"/>
      <c r="IF87" s="174"/>
      <c r="IG87" s="174"/>
      <c r="IH87" s="174"/>
      <c r="II87" s="174"/>
      <c r="IJ87" s="174"/>
      <c r="IK87" s="174"/>
      <c r="IL87" s="174"/>
      <c r="IM87" s="174"/>
      <c r="IN87" s="174"/>
      <c r="IO87" s="174"/>
      <c r="IP87" s="174"/>
      <c r="IQ87" s="174"/>
      <c r="IR87" s="174"/>
      <c r="IS87" s="174"/>
      <c r="IT87" s="174"/>
      <c r="IU87" s="174"/>
      <c r="IV87" s="174"/>
    </row>
    <row r="88" spans="1:256" s="287" customFormat="1" ht="18" customHeight="1" x14ac:dyDescent="0.35">
      <c r="A88" s="301">
        <v>80</v>
      </c>
      <c r="B88" s="295"/>
      <c r="C88" s="191"/>
      <c r="D88" s="367" t="s">
        <v>268</v>
      </c>
      <c r="E88" s="183"/>
      <c r="F88" s="291"/>
      <c r="G88" s="184"/>
      <c r="H88" s="373"/>
      <c r="I88" s="614"/>
      <c r="J88" s="614"/>
      <c r="K88" s="371"/>
      <c r="L88" s="371"/>
      <c r="M88" s="388">
        <v>163</v>
      </c>
      <c r="N88" s="614"/>
      <c r="O88" s="614"/>
      <c r="P88" s="357">
        <f>SUM(I88:O88)</f>
        <v>163</v>
      </c>
      <c r="Q88" s="292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4"/>
      <c r="BH88" s="174"/>
      <c r="BI88" s="174"/>
      <c r="BJ88" s="174"/>
      <c r="BK88" s="174"/>
      <c r="BL88" s="174"/>
      <c r="BM88" s="174"/>
      <c r="BN88" s="174"/>
      <c r="BO88" s="174"/>
      <c r="BP88" s="174"/>
      <c r="BQ88" s="174"/>
      <c r="BR88" s="174"/>
      <c r="BS88" s="174"/>
      <c r="BT88" s="174"/>
      <c r="BU88" s="174"/>
      <c r="BV88" s="174"/>
      <c r="BW88" s="174"/>
      <c r="BX88" s="174"/>
      <c r="BY88" s="174"/>
      <c r="BZ88" s="174"/>
      <c r="CA88" s="174"/>
      <c r="CB88" s="174"/>
      <c r="CC88" s="174"/>
      <c r="CD88" s="174"/>
      <c r="CE88" s="174"/>
      <c r="CF88" s="174"/>
      <c r="CG88" s="174"/>
      <c r="CH88" s="174"/>
      <c r="CI88" s="174"/>
      <c r="CJ88" s="174"/>
      <c r="CK88" s="174"/>
      <c r="CL88" s="174"/>
      <c r="CM88" s="174"/>
      <c r="CN88" s="174"/>
      <c r="CO88" s="174"/>
      <c r="CP88" s="174"/>
      <c r="CQ88" s="174"/>
      <c r="CR88" s="174"/>
      <c r="CS88" s="174"/>
      <c r="CT88" s="174"/>
      <c r="CU88" s="174"/>
      <c r="CV88" s="174"/>
      <c r="CW88" s="174"/>
      <c r="CX88" s="174"/>
      <c r="CY88" s="174"/>
      <c r="CZ88" s="174"/>
      <c r="DA88" s="174"/>
      <c r="DB88" s="174"/>
      <c r="DC88" s="174"/>
      <c r="DD88" s="174"/>
      <c r="DE88" s="174"/>
      <c r="DF88" s="174"/>
      <c r="DG88" s="174"/>
      <c r="DH88" s="174"/>
      <c r="DI88" s="174"/>
      <c r="DJ88" s="174"/>
      <c r="DK88" s="174"/>
      <c r="DL88" s="174"/>
      <c r="DM88" s="174"/>
      <c r="DN88" s="174"/>
      <c r="DO88" s="174"/>
      <c r="DP88" s="174"/>
      <c r="DQ88" s="174"/>
      <c r="DR88" s="174"/>
      <c r="DS88" s="174"/>
      <c r="DT88" s="174"/>
      <c r="DU88" s="174"/>
      <c r="DV88" s="174"/>
      <c r="DW88" s="174"/>
      <c r="DX88" s="174"/>
      <c r="DY88" s="174"/>
      <c r="DZ88" s="174"/>
      <c r="EA88" s="174"/>
      <c r="EB88" s="174"/>
      <c r="EC88" s="174"/>
      <c r="ED88" s="174"/>
      <c r="EE88" s="174"/>
      <c r="EF88" s="174"/>
      <c r="EG88" s="174"/>
      <c r="EH88" s="174"/>
      <c r="EI88" s="174"/>
      <c r="EJ88" s="174"/>
      <c r="EK88" s="174"/>
      <c r="EL88" s="174"/>
      <c r="EM88" s="174"/>
      <c r="EN88" s="174"/>
      <c r="EO88" s="174"/>
      <c r="EP88" s="174"/>
      <c r="EQ88" s="174"/>
      <c r="ER88" s="174"/>
      <c r="ES88" s="174"/>
      <c r="ET88" s="174"/>
      <c r="EU88" s="174"/>
      <c r="EV88" s="174"/>
      <c r="EW88" s="174"/>
      <c r="EX88" s="174"/>
      <c r="EY88" s="174"/>
      <c r="EZ88" s="174"/>
      <c r="FA88" s="174"/>
      <c r="FB88" s="174"/>
      <c r="FC88" s="174"/>
      <c r="FD88" s="174"/>
      <c r="FE88" s="174"/>
      <c r="FF88" s="174"/>
      <c r="FG88" s="174"/>
      <c r="FH88" s="174"/>
      <c r="FI88" s="174"/>
      <c r="FJ88" s="174"/>
      <c r="FK88" s="174"/>
      <c r="FL88" s="174"/>
      <c r="FM88" s="174"/>
      <c r="FN88" s="174"/>
      <c r="FO88" s="174"/>
      <c r="FP88" s="174"/>
      <c r="FQ88" s="174"/>
      <c r="FR88" s="174"/>
      <c r="FS88" s="174"/>
      <c r="FT88" s="174"/>
      <c r="FU88" s="174"/>
      <c r="FV88" s="174"/>
      <c r="FW88" s="174"/>
      <c r="FX88" s="174"/>
      <c r="FY88" s="174"/>
      <c r="FZ88" s="174"/>
      <c r="GA88" s="174"/>
      <c r="GB88" s="174"/>
      <c r="GC88" s="174"/>
      <c r="GD88" s="174"/>
      <c r="GE88" s="174"/>
      <c r="GF88" s="174"/>
      <c r="GG88" s="174"/>
      <c r="GH88" s="174"/>
      <c r="GI88" s="174"/>
      <c r="GJ88" s="174"/>
      <c r="GK88" s="174"/>
      <c r="GL88" s="174"/>
      <c r="GM88" s="174"/>
      <c r="GN88" s="174"/>
      <c r="GO88" s="174"/>
      <c r="GP88" s="174"/>
      <c r="GQ88" s="174"/>
      <c r="GR88" s="174"/>
      <c r="GS88" s="174"/>
      <c r="GT88" s="174"/>
      <c r="GU88" s="174"/>
      <c r="GV88" s="174"/>
      <c r="GW88" s="174"/>
      <c r="GX88" s="174"/>
      <c r="GY88" s="174"/>
      <c r="GZ88" s="174"/>
      <c r="HA88" s="174"/>
      <c r="HB88" s="174"/>
      <c r="HC88" s="174"/>
      <c r="HD88" s="174"/>
      <c r="HE88" s="174"/>
      <c r="HF88" s="174"/>
      <c r="HG88" s="174"/>
      <c r="HH88" s="174"/>
      <c r="HI88" s="174"/>
      <c r="HJ88" s="174"/>
      <c r="HK88" s="174"/>
      <c r="HL88" s="174"/>
      <c r="HM88" s="174"/>
      <c r="HN88" s="174"/>
      <c r="HO88" s="174"/>
      <c r="HP88" s="174"/>
      <c r="HQ88" s="174"/>
      <c r="HR88" s="174"/>
      <c r="HS88" s="174"/>
      <c r="HT88" s="174"/>
      <c r="HU88" s="174"/>
      <c r="HV88" s="174"/>
      <c r="HW88" s="174"/>
      <c r="HX88" s="174"/>
      <c r="HY88" s="174"/>
      <c r="HZ88" s="174"/>
      <c r="IA88" s="174"/>
      <c r="IB88" s="174"/>
      <c r="IC88" s="174"/>
      <c r="ID88" s="174"/>
      <c r="IE88" s="174"/>
      <c r="IF88" s="174"/>
      <c r="IG88" s="174"/>
      <c r="IH88" s="174"/>
      <c r="II88" s="174"/>
      <c r="IJ88" s="174"/>
      <c r="IK88" s="174"/>
      <c r="IL88" s="174"/>
      <c r="IM88" s="174"/>
      <c r="IN88" s="174"/>
      <c r="IO88" s="174"/>
      <c r="IP88" s="174"/>
      <c r="IQ88" s="174"/>
      <c r="IR88" s="174"/>
      <c r="IS88" s="174"/>
      <c r="IT88" s="174"/>
      <c r="IU88" s="174"/>
      <c r="IV88" s="174"/>
    </row>
    <row r="89" spans="1:256" s="287" customFormat="1" ht="18" customHeight="1" x14ac:dyDescent="0.35">
      <c r="A89" s="301">
        <v>81</v>
      </c>
      <c r="B89" s="295"/>
      <c r="C89" s="191"/>
      <c r="D89" s="225" t="s">
        <v>796</v>
      </c>
      <c r="E89" s="183"/>
      <c r="F89" s="291"/>
      <c r="G89" s="184"/>
      <c r="H89" s="373"/>
      <c r="I89" s="370"/>
      <c r="J89" s="370"/>
      <c r="K89" s="370"/>
      <c r="L89" s="370"/>
      <c r="M89" s="370">
        <v>0</v>
      </c>
      <c r="N89" s="370"/>
      <c r="O89" s="370"/>
      <c r="P89" s="296">
        <f t="shared" ref="P89:P90" si="22">SUM(I89:O89)</f>
        <v>0</v>
      </c>
      <c r="Q89" s="292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174"/>
      <c r="BF89" s="174"/>
      <c r="BG89" s="174"/>
      <c r="BH89" s="174"/>
      <c r="BI89" s="174"/>
      <c r="BJ89" s="174"/>
      <c r="BK89" s="174"/>
      <c r="BL89" s="174"/>
      <c r="BM89" s="174"/>
      <c r="BN89" s="174"/>
      <c r="BO89" s="174"/>
      <c r="BP89" s="174"/>
      <c r="BQ89" s="174"/>
      <c r="BR89" s="174"/>
      <c r="BS89" s="174"/>
      <c r="BT89" s="174"/>
      <c r="BU89" s="174"/>
      <c r="BV89" s="174"/>
      <c r="BW89" s="174"/>
      <c r="BX89" s="174"/>
      <c r="BY89" s="174"/>
      <c r="BZ89" s="174"/>
      <c r="CA89" s="174"/>
      <c r="CB89" s="174"/>
      <c r="CC89" s="174"/>
      <c r="CD89" s="174"/>
      <c r="CE89" s="174"/>
      <c r="CF89" s="174"/>
      <c r="CG89" s="174"/>
      <c r="CH89" s="174"/>
      <c r="CI89" s="174"/>
      <c r="CJ89" s="174"/>
      <c r="CK89" s="174"/>
      <c r="CL89" s="174"/>
      <c r="CM89" s="174"/>
      <c r="CN89" s="174"/>
      <c r="CO89" s="174"/>
      <c r="CP89" s="174"/>
      <c r="CQ89" s="174"/>
      <c r="CR89" s="174"/>
      <c r="CS89" s="174"/>
      <c r="CT89" s="174"/>
      <c r="CU89" s="174"/>
      <c r="CV89" s="174"/>
      <c r="CW89" s="174"/>
      <c r="CX89" s="174"/>
      <c r="CY89" s="174"/>
      <c r="CZ89" s="174"/>
      <c r="DA89" s="174"/>
      <c r="DB89" s="174"/>
      <c r="DC89" s="174"/>
      <c r="DD89" s="174"/>
      <c r="DE89" s="174"/>
      <c r="DF89" s="174"/>
      <c r="DG89" s="174"/>
      <c r="DH89" s="174"/>
      <c r="DI89" s="174"/>
      <c r="DJ89" s="174"/>
      <c r="DK89" s="174"/>
      <c r="DL89" s="174"/>
      <c r="DM89" s="174"/>
      <c r="DN89" s="174"/>
      <c r="DO89" s="174"/>
      <c r="DP89" s="174"/>
      <c r="DQ89" s="174"/>
      <c r="DR89" s="174"/>
      <c r="DS89" s="174"/>
      <c r="DT89" s="174"/>
      <c r="DU89" s="174"/>
      <c r="DV89" s="174"/>
      <c r="DW89" s="174"/>
      <c r="DX89" s="174"/>
      <c r="DY89" s="174"/>
      <c r="DZ89" s="174"/>
      <c r="EA89" s="174"/>
      <c r="EB89" s="174"/>
      <c r="EC89" s="174"/>
      <c r="ED89" s="174"/>
      <c r="EE89" s="174"/>
      <c r="EF89" s="174"/>
      <c r="EG89" s="174"/>
      <c r="EH89" s="174"/>
      <c r="EI89" s="174"/>
      <c r="EJ89" s="174"/>
      <c r="EK89" s="174"/>
      <c r="EL89" s="174"/>
      <c r="EM89" s="174"/>
      <c r="EN89" s="174"/>
      <c r="EO89" s="174"/>
      <c r="EP89" s="174"/>
      <c r="EQ89" s="174"/>
      <c r="ER89" s="174"/>
      <c r="ES89" s="174"/>
      <c r="ET89" s="174"/>
      <c r="EU89" s="174"/>
      <c r="EV89" s="174"/>
      <c r="EW89" s="174"/>
      <c r="EX89" s="174"/>
      <c r="EY89" s="174"/>
      <c r="EZ89" s="174"/>
      <c r="FA89" s="174"/>
      <c r="FB89" s="174"/>
      <c r="FC89" s="174"/>
      <c r="FD89" s="174"/>
      <c r="FE89" s="174"/>
      <c r="FF89" s="174"/>
      <c r="FG89" s="174"/>
      <c r="FH89" s="174"/>
      <c r="FI89" s="174"/>
      <c r="FJ89" s="174"/>
      <c r="FK89" s="174"/>
      <c r="FL89" s="174"/>
      <c r="FM89" s="174"/>
      <c r="FN89" s="174"/>
      <c r="FO89" s="174"/>
      <c r="FP89" s="174"/>
      <c r="FQ89" s="174"/>
      <c r="FR89" s="174"/>
      <c r="FS89" s="174"/>
      <c r="FT89" s="174"/>
      <c r="FU89" s="174"/>
      <c r="FV89" s="174"/>
      <c r="FW89" s="174"/>
      <c r="FX89" s="174"/>
      <c r="FY89" s="174"/>
      <c r="FZ89" s="174"/>
      <c r="GA89" s="174"/>
      <c r="GB89" s="174"/>
      <c r="GC89" s="174"/>
      <c r="GD89" s="174"/>
      <c r="GE89" s="174"/>
      <c r="GF89" s="174"/>
      <c r="GG89" s="174"/>
      <c r="GH89" s="174"/>
      <c r="GI89" s="174"/>
      <c r="GJ89" s="174"/>
      <c r="GK89" s="174"/>
      <c r="GL89" s="174"/>
      <c r="GM89" s="174"/>
      <c r="GN89" s="174"/>
      <c r="GO89" s="174"/>
      <c r="GP89" s="174"/>
      <c r="GQ89" s="174"/>
      <c r="GR89" s="174"/>
      <c r="GS89" s="174"/>
      <c r="GT89" s="174"/>
      <c r="GU89" s="174"/>
      <c r="GV89" s="174"/>
      <c r="GW89" s="174"/>
      <c r="GX89" s="174"/>
      <c r="GY89" s="174"/>
      <c r="GZ89" s="174"/>
      <c r="HA89" s="174"/>
      <c r="HB89" s="174"/>
      <c r="HC89" s="174"/>
      <c r="HD89" s="174"/>
      <c r="HE89" s="174"/>
      <c r="HF89" s="174"/>
      <c r="HG89" s="174"/>
      <c r="HH89" s="174"/>
      <c r="HI89" s="174"/>
      <c r="HJ89" s="174"/>
      <c r="HK89" s="174"/>
      <c r="HL89" s="174"/>
      <c r="HM89" s="174"/>
      <c r="HN89" s="174"/>
      <c r="HO89" s="174"/>
      <c r="HP89" s="174"/>
      <c r="HQ89" s="174"/>
      <c r="HR89" s="174"/>
      <c r="HS89" s="174"/>
      <c r="HT89" s="174"/>
      <c r="HU89" s="174"/>
      <c r="HV89" s="174"/>
      <c r="HW89" s="174"/>
      <c r="HX89" s="174"/>
      <c r="HY89" s="174"/>
      <c r="HZ89" s="174"/>
      <c r="IA89" s="174"/>
      <c r="IB89" s="174"/>
      <c r="IC89" s="174"/>
      <c r="ID89" s="174"/>
      <c r="IE89" s="174"/>
      <c r="IF89" s="174"/>
      <c r="IG89" s="174"/>
      <c r="IH89" s="174"/>
      <c r="II89" s="174"/>
      <c r="IJ89" s="174"/>
      <c r="IK89" s="174"/>
      <c r="IL89" s="174"/>
      <c r="IM89" s="174"/>
      <c r="IN89" s="174"/>
      <c r="IO89" s="174"/>
      <c r="IP89" s="174"/>
      <c r="IQ89" s="174"/>
      <c r="IR89" s="174"/>
      <c r="IS89" s="174"/>
      <c r="IT89" s="174"/>
      <c r="IU89" s="174"/>
      <c r="IV89" s="174"/>
    </row>
    <row r="90" spans="1:256" s="287" customFormat="1" ht="18" customHeight="1" x14ac:dyDescent="0.35">
      <c r="A90" s="301">
        <v>82</v>
      </c>
      <c r="B90" s="295"/>
      <c r="C90" s="191"/>
      <c r="D90" s="187" t="s">
        <v>861</v>
      </c>
      <c r="E90" s="183"/>
      <c r="F90" s="291"/>
      <c r="G90" s="184"/>
      <c r="H90" s="373"/>
      <c r="I90" s="1198"/>
      <c r="J90" s="1198"/>
      <c r="K90" s="1198"/>
      <c r="L90" s="1198"/>
      <c r="M90" s="1198"/>
      <c r="N90" s="1198"/>
      <c r="O90" s="1198"/>
      <c r="P90" s="1192">
        <f t="shared" si="22"/>
        <v>0</v>
      </c>
      <c r="Q90" s="292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74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4"/>
      <c r="CI90" s="174"/>
      <c r="CJ90" s="174"/>
      <c r="CK90" s="174"/>
      <c r="CL90" s="174"/>
      <c r="CM90" s="174"/>
      <c r="CN90" s="174"/>
      <c r="CO90" s="174"/>
      <c r="CP90" s="174"/>
      <c r="CQ90" s="174"/>
      <c r="CR90" s="174"/>
      <c r="CS90" s="174"/>
      <c r="CT90" s="174"/>
      <c r="CU90" s="174"/>
      <c r="CV90" s="174"/>
      <c r="CW90" s="174"/>
      <c r="CX90" s="174"/>
      <c r="CY90" s="174"/>
      <c r="CZ90" s="174"/>
      <c r="DA90" s="174"/>
      <c r="DB90" s="174"/>
      <c r="DC90" s="174"/>
      <c r="DD90" s="174"/>
      <c r="DE90" s="174"/>
      <c r="DF90" s="174"/>
      <c r="DG90" s="174"/>
      <c r="DH90" s="174"/>
      <c r="DI90" s="174"/>
      <c r="DJ90" s="174"/>
      <c r="DK90" s="174"/>
      <c r="DL90" s="174"/>
      <c r="DM90" s="174"/>
      <c r="DN90" s="174"/>
      <c r="DO90" s="174"/>
      <c r="DP90" s="174"/>
      <c r="DQ90" s="174"/>
      <c r="DR90" s="174"/>
      <c r="DS90" s="174"/>
      <c r="DT90" s="174"/>
      <c r="DU90" s="174"/>
      <c r="DV90" s="174"/>
      <c r="DW90" s="174"/>
      <c r="DX90" s="174"/>
      <c r="DY90" s="174"/>
      <c r="DZ90" s="174"/>
      <c r="EA90" s="174"/>
      <c r="EB90" s="174"/>
      <c r="EC90" s="174"/>
      <c r="ED90" s="174"/>
      <c r="EE90" s="174"/>
      <c r="EF90" s="174"/>
      <c r="EG90" s="174"/>
      <c r="EH90" s="174"/>
      <c r="EI90" s="174"/>
      <c r="EJ90" s="174"/>
      <c r="EK90" s="174"/>
      <c r="EL90" s="174"/>
      <c r="EM90" s="174"/>
      <c r="EN90" s="174"/>
      <c r="EO90" s="174"/>
      <c r="EP90" s="174"/>
      <c r="EQ90" s="174"/>
      <c r="ER90" s="174"/>
      <c r="ES90" s="174"/>
      <c r="ET90" s="174"/>
      <c r="EU90" s="174"/>
      <c r="EV90" s="174"/>
      <c r="EW90" s="174"/>
      <c r="EX90" s="174"/>
      <c r="EY90" s="174"/>
      <c r="EZ90" s="174"/>
      <c r="FA90" s="174"/>
      <c r="FB90" s="174"/>
      <c r="FC90" s="174"/>
      <c r="FD90" s="174"/>
      <c r="FE90" s="174"/>
      <c r="FF90" s="174"/>
      <c r="FG90" s="174"/>
      <c r="FH90" s="174"/>
      <c r="FI90" s="174"/>
      <c r="FJ90" s="174"/>
      <c r="FK90" s="174"/>
      <c r="FL90" s="174"/>
      <c r="FM90" s="174"/>
      <c r="FN90" s="174"/>
      <c r="FO90" s="174"/>
      <c r="FP90" s="174"/>
      <c r="FQ90" s="174"/>
      <c r="FR90" s="174"/>
      <c r="FS90" s="174"/>
      <c r="FT90" s="174"/>
      <c r="FU90" s="174"/>
      <c r="FV90" s="174"/>
      <c r="FW90" s="174"/>
      <c r="FX90" s="174"/>
      <c r="FY90" s="174"/>
      <c r="FZ90" s="174"/>
      <c r="GA90" s="174"/>
      <c r="GB90" s="174"/>
      <c r="GC90" s="174"/>
      <c r="GD90" s="174"/>
      <c r="GE90" s="174"/>
      <c r="GF90" s="174"/>
      <c r="GG90" s="174"/>
      <c r="GH90" s="174"/>
      <c r="GI90" s="174"/>
      <c r="GJ90" s="174"/>
      <c r="GK90" s="174"/>
      <c r="GL90" s="174"/>
      <c r="GM90" s="174"/>
      <c r="GN90" s="174"/>
      <c r="GO90" s="174"/>
      <c r="GP90" s="174"/>
      <c r="GQ90" s="174"/>
      <c r="GR90" s="174"/>
      <c r="GS90" s="174"/>
      <c r="GT90" s="174"/>
      <c r="GU90" s="174"/>
      <c r="GV90" s="174"/>
      <c r="GW90" s="174"/>
      <c r="GX90" s="174"/>
      <c r="GY90" s="174"/>
      <c r="GZ90" s="174"/>
      <c r="HA90" s="174"/>
      <c r="HB90" s="174"/>
      <c r="HC90" s="174"/>
      <c r="HD90" s="174"/>
      <c r="HE90" s="174"/>
      <c r="HF90" s="174"/>
      <c r="HG90" s="174"/>
      <c r="HH90" s="174"/>
      <c r="HI90" s="174"/>
      <c r="HJ90" s="174"/>
      <c r="HK90" s="174"/>
      <c r="HL90" s="174"/>
      <c r="HM90" s="174"/>
      <c r="HN90" s="174"/>
      <c r="HO90" s="174"/>
      <c r="HP90" s="174"/>
      <c r="HQ90" s="174"/>
      <c r="HR90" s="174"/>
      <c r="HS90" s="174"/>
      <c r="HT90" s="174"/>
      <c r="HU90" s="174"/>
      <c r="HV90" s="174"/>
      <c r="HW90" s="174"/>
      <c r="HX90" s="174"/>
      <c r="HY90" s="174"/>
      <c r="HZ90" s="174"/>
      <c r="IA90" s="174"/>
      <c r="IB90" s="174"/>
      <c r="IC90" s="174"/>
      <c r="ID90" s="174"/>
      <c r="IE90" s="174"/>
      <c r="IF90" s="174"/>
      <c r="IG90" s="174"/>
      <c r="IH90" s="174"/>
      <c r="II90" s="174"/>
      <c r="IJ90" s="174"/>
      <c r="IK90" s="174"/>
      <c r="IL90" s="174"/>
      <c r="IM90" s="174"/>
      <c r="IN90" s="174"/>
      <c r="IO90" s="174"/>
      <c r="IP90" s="174"/>
      <c r="IQ90" s="174"/>
      <c r="IR90" s="174"/>
      <c r="IS90" s="174"/>
      <c r="IT90" s="174"/>
      <c r="IU90" s="174"/>
      <c r="IV90" s="174"/>
    </row>
    <row r="91" spans="1:256" s="287" customFormat="1" ht="18" customHeight="1" x14ac:dyDescent="0.35">
      <c r="A91" s="301">
        <v>83</v>
      </c>
      <c r="B91" s="295"/>
      <c r="C91" s="191"/>
      <c r="D91" s="176" t="s">
        <v>581</v>
      </c>
      <c r="E91" s="183">
        <f>F91+G91</f>
        <v>20000</v>
      </c>
      <c r="F91" s="291"/>
      <c r="G91" s="184">
        <v>20000</v>
      </c>
      <c r="H91" s="373"/>
      <c r="I91" s="370"/>
      <c r="J91" s="370"/>
      <c r="K91" s="388"/>
      <c r="L91" s="388"/>
      <c r="M91" s="388"/>
      <c r="N91" s="370"/>
      <c r="O91" s="370"/>
      <c r="P91" s="357"/>
      <c r="Q91" s="292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74"/>
      <c r="BI91" s="174"/>
      <c r="BJ91" s="174"/>
      <c r="BK91" s="174"/>
      <c r="BL91" s="174"/>
      <c r="BM91" s="174"/>
      <c r="BN91" s="174"/>
      <c r="BO91" s="174"/>
      <c r="BP91" s="174"/>
      <c r="BQ91" s="174"/>
      <c r="BR91" s="174"/>
      <c r="BS91" s="174"/>
      <c r="BT91" s="174"/>
      <c r="BU91" s="174"/>
      <c r="BV91" s="174"/>
      <c r="BW91" s="174"/>
      <c r="BX91" s="174"/>
      <c r="BY91" s="174"/>
      <c r="BZ91" s="174"/>
      <c r="CA91" s="174"/>
      <c r="CB91" s="174"/>
      <c r="CC91" s="174"/>
      <c r="CD91" s="174"/>
      <c r="CE91" s="174"/>
      <c r="CF91" s="174"/>
      <c r="CG91" s="174"/>
      <c r="CH91" s="174"/>
      <c r="CI91" s="174"/>
      <c r="CJ91" s="174"/>
      <c r="CK91" s="174"/>
      <c r="CL91" s="174"/>
      <c r="CM91" s="174"/>
      <c r="CN91" s="174"/>
      <c r="CO91" s="174"/>
      <c r="CP91" s="174"/>
      <c r="CQ91" s="174"/>
      <c r="CR91" s="174"/>
      <c r="CS91" s="174"/>
      <c r="CT91" s="174"/>
      <c r="CU91" s="174"/>
      <c r="CV91" s="174"/>
      <c r="CW91" s="174"/>
      <c r="CX91" s="174"/>
      <c r="CY91" s="174"/>
      <c r="CZ91" s="174"/>
      <c r="DA91" s="174"/>
      <c r="DB91" s="174"/>
      <c r="DC91" s="174"/>
      <c r="DD91" s="174"/>
      <c r="DE91" s="174"/>
      <c r="DF91" s="174"/>
      <c r="DG91" s="174"/>
      <c r="DH91" s="174"/>
      <c r="DI91" s="174"/>
      <c r="DJ91" s="174"/>
      <c r="DK91" s="174"/>
      <c r="DL91" s="174"/>
      <c r="DM91" s="174"/>
      <c r="DN91" s="174"/>
      <c r="DO91" s="174"/>
      <c r="DP91" s="174"/>
      <c r="DQ91" s="174"/>
      <c r="DR91" s="174"/>
      <c r="DS91" s="174"/>
      <c r="DT91" s="174"/>
      <c r="DU91" s="174"/>
      <c r="DV91" s="174"/>
      <c r="DW91" s="174"/>
      <c r="DX91" s="174"/>
      <c r="DY91" s="174"/>
      <c r="DZ91" s="174"/>
      <c r="EA91" s="174"/>
      <c r="EB91" s="174"/>
      <c r="EC91" s="174"/>
      <c r="ED91" s="174"/>
      <c r="EE91" s="174"/>
      <c r="EF91" s="174"/>
      <c r="EG91" s="174"/>
      <c r="EH91" s="174"/>
      <c r="EI91" s="174"/>
      <c r="EJ91" s="174"/>
      <c r="EK91" s="174"/>
      <c r="EL91" s="174"/>
      <c r="EM91" s="174"/>
      <c r="EN91" s="174"/>
      <c r="EO91" s="174"/>
      <c r="EP91" s="174"/>
      <c r="EQ91" s="174"/>
      <c r="ER91" s="174"/>
      <c r="ES91" s="174"/>
      <c r="ET91" s="174"/>
      <c r="EU91" s="174"/>
      <c r="EV91" s="174"/>
      <c r="EW91" s="174"/>
      <c r="EX91" s="174"/>
      <c r="EY91" s="174"/>
      <c r="EZ91" s="174"/>
      <c r="FA91" s="174"/>
      <c r="FB91" s="174"/>
      <c r="FC91" s="174"/>
      <c r="FD91" s="174"/>
      <c r="FE91" s="174"/>
      <c r="FF91" s="174"/>
      <c r="FG91" s="174"/>
      <c r="FH91" s="174"/>
      <c r="FI91" s="174"/>
      <c r="FJ91" s="174"/>
      <c r="FK91" s="174"/>
      <c r="FL91" s="174"/>
      <c r="FM91" s="174"/>
      <c r="FN91" s="174"/>
      <c r="FO91" s="174"/>
      <c r="FP91" s="174"/>
      <c r="FQ91" s="174"/>
      <c r="FR91" s="174"/>
      <c r="FS91" s="174"/>
      <c r="FT91" s="174"/>
      <c r="FU91" s="174"/>
      <c r="FV91" s="174"/>
      <c r="FW91" s="174"/>
      <c r="FX91" s="174"/>
      <c r="FY91" s="174"/>
      <c r="FZ91" s="174"/>
      <c r="GA91" s="174"/>
      <c r="GB91" s="174"/>
      <c r="GC91" s="174"/>
      <c r="GD91" s="174"/>
      <c r="GE91" s="174"/>
      <c r="GF91" s="174"/>
      <c r="GG91" s="174"/>
      <c r="GH91" s="174"/>
      <c r="GI91" s="174"/>
      <c r="GJ91" s="174"/>
      <c r="GK91" s="174"/>
      <c r="GL91" s="174"/>
      <c r="GM91" s="174"/>
      <c r="GN91" s="174"/>
      <c r="GO91" s="174"/>
      <c r="GP91" s="174"/>
      <c r="GQ91" s="174"/>
      <c r="GR91" s="174"/>
      <c r="GS91" s="174"/>
      <c r="GT91" s="174"/>
      <c r="GU91" s="174"/>
      <c r="GV91" s="174"/>
      <c r="GW91" s="174"/>
      <c r="GX91" s="174"/>
      <c r="GY91" s="174"/>
      <c r="GZ91" s="174"/>
      <c r="HA91" s="174"/>
      <c r="HB91" s="174"/>
      <c r="HC91" s="174"/>
      <c r="HD91" s="174"/>
      <c r="HE91" s="174"/>
      <c r="HF91" s="174"/>
      <c r="HG91" s="174"/>
      <c r="HH91" s="174"/>
      <c r="HI91" s="174"/>
      <c r="HJ91" s="174"/>
      <c r="HK91" s="174"/>
      <c r="HL91" s="174"/>
      <c r="HM91" s="174"/>
      <c r="HN91" s="174"/>
      <c r="HO91" s="174"/>
      <c r="HP91" s="174"/>
      <c r="HQ91" s="174"/>
      <c r="HR91" s="174"/>
      <c r="HS91" s="174"/>
      <c r="HT91" s="174"/>
      <c r="HU91" s="174"/>
      <c r="HV91" s="174"/>
      <c r="HW91" s="174"/>
      <c r="HX91" s="174"/>
      <c r="HY91" s="174"/>
      <c r="HZ91" s="174"/>
      <c r="IA91" s="174"/>
      <c r="IB91" s="174"/>
      <c r="IC91" s="174"/>
      <c r="ID91" s="174"/>
      <c r="IE91" s="174"/>
      <c r="IF91" s="174"/>
      <c r="IG91" s="174"/>
      <c r="IH91" s="174"/>
      <c r="II91" s="174"/>
      <c r="IJ91" s="174"/>
      <c r="IK91" s="174"/>
      <c r="IL91" s="174"/>
      <c r="IM91" s="174"/>
      <c r="IN91" s="174"/>
      <c r="IO91" s="174"/>
      <c r="IP91" s="174"/>
      <c r="IQ91" s="174"/>
      <c r="IR91" s="174"/>
      <c r="IS91" s="174"/>
      <c r="IT91" s="174"/>
      <c r="IU91" s="174"/>
      <c r="IV91" s="174"/>
    </row>
    <row r="92" spans="1:256" s="287" customFormat="1" ht="18" customHeight="1" x14ac:dyDescent="0.35">
      <c r="A92" s="301">
        <v>84</v>
      </c>
      <c r="B92" s="295"/>
      <c r="C92" s="191"/>
      <c r="D92" s="176" t="s">
        <v>582</v>
      </c>
      <c r="E92" s="183">
        <f>F92+G92+P92</f>
        <v>19890</v>
      </c>
      <c r="F92" s="291"/>
      <c r="G92" s="184">
        <v>19890</v>
      </c>
      <c r="H92" s="373"/>
      <c r="I92" s="370"/>
      <c r="J92" s="370"/>
      <c r="K92" s="388"/>
      <c r="L92" s="388"/>
      <c r="M92" s="388"/>
      <c r="N92" s="370"/>
      <c r="O92" s="370"/>
      <c r="P92" s="606"/>
      <c r="Q92" s="292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 s="174"/>
      <c r="BE92" s="174"/>
      <c r="BF92" s="174"/>
      <c r="BG92" s="174"/>
      <c r="BH92" s="174"/>
      <c r="BI92" s="174"/>
      <c r="BJ92" s="174"/>
      <c r="BK92" s="174"/>
      <c r="BL92" s="174"/>
      <c r="BM92" s="174"/>
      <c r="BN92" s="174"/>
      <c r="BO92" s="174"/>
      <c r="BP92" s="174"/>
      <c r="BQ92" s="174"/>
      <c r="BR92" s="174"/>
      <c r="BS92" s="174"/>
      <c r="BT92" s="174"/>
      <c r="BU92" s="174"/>
      <c r="BV92" s="174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4"/>
      <c r="CI92" s="174"/>
      <c r="CJ92" s="174"/>
      <c r="CK92" s="174"/>
      <c r="CL92" s="174"/>
      <c r="CM92" s="174"/>
      <c r="CN92" s="174"/>
      <c r="CO92" s="174"/>
      <c r="CP92" s="174"/>
      <c r="CQ92" s="174"/>
      <c r="CR92" s="174"/>
      <c r="CS92" s="174"/>
      <c r="CT92" s="174"/>
      <c r="CU92" s="174"/>
      <c r="CV92" s="174"/>
      <c r="CW92" s="174"/>
      <c r="CX92" s="174"/>
      <c r="CY92" s="174"/>
      <c r="CZ92" s="174"/>
      <c r="DA92" s="174"/>
      <c r="DB92" s="174"/>
      <c r="DC92" s="174"/>
      <c r="DD92" s="174"/>
      <c r="DE92" s="174"/>
      <c r="DF92" s="174"/>
      <c r="DG92" s="174"/>
      <c r="DH92" s="174"/>
      <c r="DI92" s="174"/>
      <c r="DJ92" s="174"/>
      <c r="DK92" s="174"/>
      <c r="DL92" s="174"/>
      <c r="DM92" s="174"/>
      <c r="DN92" s="174"/>
      <c r="DO92" s="174"/>
      <c r="DP92" s="174"/>
      <c r="DQ92" s="174"/>
      <c r="DR92" s="174"/>
      <c r="DS92" s="174"/>
      <c r="DT92" s="174"/>
      <c r="DU92" s="174"/>
      <c r="DV92" s="174"/>
      <c r="DW92" s="174"/>
      <c r="DX92" s="174"/>
      <c r="DY92" s="174"/>
      <c r="DZ92" s="174"/>
      <c r="EA92" s="174"/>
      <c r="EB92" s="174"/>
      <c r="EC92" s="174"/>
      <c r="ED92" s="174"/>
      <c r="EE92" s="174"/>
      <c r="EF92" s="174"/>
      <c r="EG92" s="174"/>
      <c r="EH92" s="174"/>
      <c r="EI92" s="174"/>
      <c r="EJ92" s="174"/>
      <c r="EK92" s="174"/>
      <c r="EL92" s="174"/>
      <c r="EM92" s="174"/>
      <c r="EN92" s="174"/>
      <c r="EO92" s="174"/>
      <c r="EP92" s="174"/>
      <c r="EQ92" s="174"/>
      <c r="ER92" s="174"/>
      <c r="ES92" s="174"/>
      <c r="ET92" s="174"/>
      <c r="EU92" s="174"/>
      <c r="EV92" s="174"/>
      <c r="EW92" s="174"/>
      <c r="EX92" s="174"/>
      <c r="EY92" s="174"/>
      <c r="EZ92" s="174"/>
      <c r="FA92" s="174"/>
      <c r="FB92" s="174"/>
      <c r="FC92" s="174"/>
      <c r="FD92" s="174"/>
      <c r="FE92" s="174"/>
      <c r="FF92" s="174"/>
      <c r="FG92" s="174"/>
      <c r="FH92" s="174"/>
      <c r="FI92" s="174"/>
      <c r="FJ92" s="174"/>
      <c r="FK92" s="174"/>
      <c r="FL92" s="174"/>
      <c r="FM92" s="174"/>
      <c r="FN92" s="174"/>
      <c r="FO92" s="174"/>
      <c r="FP92" s="174"/>
      <c r="FQ92" s="174"/>
      <c r="FR92" s="174"/>
      <c r="FS92" s="174"/>
      <c r="FT92" s="174"/>
      <c r="FU92" s="174"/>
      <c r="FV92" s="174"/>
      <c r="FW92" s="174"/>
      <c r="FX92" s="174"/>
      <c r="FY92" s="174"/>
      <c r="FZ92" s="174"/>
      <c r="GA92" s="174"/>
      <c r="GB92" s="174"/>
      <c r="GC92" s="174"/>
      <c r="GD92" s="174"/>
      <c r="GE92" s="174"/>
      <c r="GF92" s="174"/>
      <c r="GG92" s="174"/>
      <c r="GH92" s="174"/>
      <c r="GI92" s="174"/>
      <c r="GJ92" s="174"/>
      <c r="GK92" s="174"/>
      <c r="GL92" s="174"/>
      <c r="GM92" s="174"/>
      <c r="GN92" s="174"/>
      <c r="GO92" s="174"/>
      <c r="GP92" s="174"/>
      <c r="GQ92" s="174"/>
      <c r="GR92" s="174"/>
      <c r="GS92" s="174"/>
      <c r="GT92" s="174"/>
      <c r="GU92" s="174"/>
      <c r="GV92" s="174"/>
      <c r="GW92" s="174"/>
      <c r="GX92" s="174"/>
      <c r="GY92" s="174"/>
      <c r="GZ92" s="174"/>
      <c r="HA92" s="174"/>
      <c r="HB92" s="174"/>
      <c r="HC92" s="174"/>
      <c r="HD92" s="174"/>
      <c r="HE92" s="174"/>
      <c r="HF92" s="174"/>
      <c r="HG92" s="174"/>
      <c r="HH92" s="174"/>
      <c r="HI92" s="174"/>
      <c r="HJ92" s="174"/>
      <c r="HK92" s="174"/>
      <c r="HL92" s="174"/>
      <c r="HM92" s="174"/>
      <c r="HN92" s="174"/>
      <c r="HO92" s="174"/>
      <c r="HP92" s="174"/>
      <c r="HQ92" s="174"/>
      <c r="HR92" s="174"/>
      <c r="HS92" s="174"/>
      <c r="HT92" s="174"/>
      <c r="HU92" s="174"/>
      <c r="HV92" s="174"/>
      <c r="HW92" s="174"/>
      <c r="HX92" s="174"/>
      <c r="HY92" s="174"/>
      <c r="HZ92" s="174"/>
      <c r="IA92" s="174"/>
      <c r="IB92" s="174"/>
      <c r="IC92" s="174"/>
      <c r="ID92" s="174"/>
      <c r="IE92" s="174"/>
      <c r="IF92" s="174"/>
      <c r="IG92" s="174"/>
      <c r="IH92" s="174"/>
      <c r="II92" s="174"/>
      <c r="IJ92" s="174"/>
      <c r="IK92" s="174"/>
      <c r="IL92" s="174"/>
      <c r="IM92" s="174"/>
      <c r="IN92" s="174"/>
      <c r="IO92" s="174"/>
      <c r="IP92" s="174"/>
      <c r="IQ92" s="174"/>
      <c r="IR92" s="174"/>
      <c r="IS92" s="174"/>
      <c r="IT92" s="174"/>
      <c r="IU92" s="174"/>
      <c r="IV92" s="174"/>
    </row>
    <row r="93" spans="1:256" s="287" customFormat="1" ht="18" customHeight="1" thickBot="1" x14ac:dyDescent="0.4">
      <c r="A93" s="301">
        <v>85</v>
      </c>
      <c r="B93" s="295"/>
      <c r="C93" s="191"/>
      <c r="D93" s="176" t="s">
        <v>583</v>
      </c>
      <c r="E93" s="183">
        <f>F93+G93+P93</f>
        <v>16500</v>
      </c>
      <c r="F93" s="291"/>
      <c r="G93" s="184">
        <v>16500</v>
      </c>
      <c r="H93" s="373"/>
      <c r="I93" s="370"/>
      <c r="J93" s="370"/>
      <c r="K93" s="388"/>
      <c r="L93" s="388"/>
      <c r="M93" s="388"/>
      <c r="N93" s="370"/>
      <c r="O93" s="370"/>
      <c r="P93" s="606"/>
      <c r="Q93" s="292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74"/>
      <c r="BG93" s="174"/>
      <c r="BH93" s="174"/>
      <c r="BI93" s="174"/>
      <c r="BJ93" s="174"/>
      <c r="BK93" s="174"/>
      <c r="BL93" s="174"/>
      <c r="BM93" s="174"/>
      <c r="BN93" s="174"/>
      <c r="BO93" s="174"/>
      <c r="BP93" s="174"/>
      <c r="BQ93" s="174"/>
      <c r="BR93" s="174"/>
      <c r="BS93" s="174"/>
      <c r="BT93" s="174"/>
      <c r="BU93" s="174"/>
      <c r="BV93" s="174"/>
      <c r="BW93" s="174"/>
      <c r="BX93" s="174"/>
      <c r="BY93" s="174"/>
      <c r="BZ93" s="174"/>
      <c r="CA93" s="174"/>
      <c r="CB93" s="174"/>
      <c r="CC93" s="174"/>
      <c r="CD93" s="174"/>
      <c r="CE93" s="174"/>
      <c r="CF93" s="174"/>
      <c r="CG93" s="174"/>
      <c r="CH93" s="174"/>
      <c r="CI93" s="174"/>
      <c r="CJ93" s="174"/>
      <c r="CK93" s="174"/>
      <c r="CL93" s="174"/>
      <c r="CM93" s="174"/>
      <c r="CN93" s="174"/>
      <c r="CO93" s="174"/>
      <c r="CP93" s="174"/>
      <c r="CQ93" s="174"/>
      <c r="CR93" s="174"/>
      <c r="CS93" s="174"/>
      <c r="CT93" s="174"/>
      <c r="CU93" s="174"/>
      <c r="CV93" s="174"/>
      <c r="CW93" s="174"/>
      <c r="CX93" s="174"/>
      <c r="CY93" s="174"/>
      <c r="CZ93" s="174"/>
      <c r="DA93" s="174"/>
      <c r="DB93" s="174"/>
      <c r="DC93" s="174"/>
      <c r="DD93" s="174"/>
      <c r="DE93" s="174"/>
      <c r="DF93" s="174"/>
      <c r="DG93" s="174"/>
      <c r="DH93" s="174"/>
      <c r="DI93" s="174"/>
      <c r="DJ93" s="174"/>
      <c r="DK93" s="174"/>
      <c r="DL93" s="174"/>
      <c r="DM93" s="174"/>
      <c r="DN93" s="174"/>
      <c r="DO93" s="174"/>
      <c r="DP93" s="174"/>
      <c r="DQ93" s="174"/>
      <c r="DR93" s="174"/>
      <c r="DS93" s="174"/>
      <c r="DT93" s="174"/>
      <c r="DU93" s="174"/>
      <c r="DV93" s="174"/>
      <c r="DW93" s="174"/>
      <c r="DX93" s="174"/>
      <c r="DY93" s="174"/>
      <c r="DZ93" s="174"/>
      <c r="EA93" s="174"/>
      <c r="EB93" s="174"/>
      <c r="EC93" s="174"/>
      <c r="ED93" s="174"/>
      <c r="EE93" s="174"/>
      <c r="EF93" s="174"/>
      <c r="EG93" s="174"/>
      <c r="EH93" s="174"/>
      <c r="EI93" s="174"/>
      <c r="EJ93" s="174"/>
      <c r="EK93" s="174"/>
      <c r="EL93" s="174"/>
      <c r="EM93" s="174"/>
      <c r="EN93" s="174"/>
      <c r="EO93" s="174"/>
      <c r="EP93" s="174"/>
      <c r="EQ93" s="174"/>
      <c r="ER93" s="174"/>
      <c r="ES93" s="174"/>
      <c r="ET93" s="174"/>
      <c r="EU93" s="174"/>
      <c r="EV93" s="174"/>
      <c r="EW93" s="174"/>
      <c r="EX93" s="174"/>
      <c r="EY93" s="174"/>
      <c r="EZ93" s="174"/>
      <c r="FA93" s="174"/>
      <c r="FB93" s="174"/>
      <c r="FC93" s="174"/>
      <c r="FD93" s="174"/>
      <c r="FE93" s="174"/>
      <c r="FF93" s="174"/>
      <c r="FG93" s="174"/>
      <c r="FH93" s="174"/>
      <c r="FI93" s="174"/>
      <c r="FJ93" s="174"/>
      <c r="FK93" s="174"/>
      <c r="FL93" s="174"/>
      <c r="FM93" s="174"/>
      <c r="FN93" s="174"/>
      <c r="FO93" s="174"/>
      <c r="FP93" s="174"/>
      <c r="FQ93" s="174"/>
      <c r="FR93" s="174"/>
      <c r="FS93" s="174"/>
      <c r="FT93" s="174"/>
      <c r="FU93" s="174"/>
      <c r="FV93" s="174"/>
      <c r="FW93" s="174"/>
      <c r="FX93" s="174"/>
      <c r="FY93" s="174"/>
      <c r="FZ93" s="174"/>
      <c r="GA93" s="174"/>
      <c r="GB93" s="174"/>
      <c r="GC93" s="174"/>
      <c r="GD93" s="174"/>
      <c r="GE93" s="174"/>
      <c r="GF93" s="174"/>
      <c r="GG93" s="174"/>
      <c r="GH93" s="174"/>
      <c r="GI93" s="174"/>
      <c r="GJ93" s="174"/>
      <c r="GK93" s="174"/>
      <c r="GL93" s="174"/>
      <c r="GM93" s="174"/>
      <c r="GN93" s="174"/>
      <c r="GO93" s="174"/>
      <c r="GP93" s="174"/>
      <c r="GQ93" s="174"/>
      <c r="GR93" s="174"/>
      <c r="GS93" s="174"/>
      <c r="GT93" s="174"/>
      <c r="GU93" s="174"/>
      <c r="GV93" s="174"/>
      <c r="GW93" s="174"/>
      <c r="GX93" s="174"/>
      <c r="GY93" s="174"/>
      <c r="GZ93" s="174"/>
      <c r="HA93" s="174"/>
      <c r="HB93" s="174"/>
      <c r="HC93" s="174"/>
      <c r="HD93" s="174"/>
      <c r="HE93" s="174"/>
      <c r="HF93" s="174"/>
      <c r="HG93" s="174"/>
      <c r="HH93" s="174"/>
      <c r="HI93" s="174"/>
      <c r="HJ93" s="174"/>
      <c r="HK93" s="174"/>
      <c r="HL93" s="174"/>
      <c r="HM93" s="174"/>
      <c r="HN93" s="174"/>
      <c r="HO93" s="174"/>
      <c r="HP93" s="174"/>
      <c r="HQ93" s="174"/>
      <c r="HR93" s="174"/>
      <c r="HS93" s="174"/>
      <c r="HT93" s="174"/>
      <c r="HU93" s="174"/>
      <c r="HV93" s="174"/>
      <c r="HW93" s="174"/>
      <c r="HX93" s="174"/>
      <c r="HY93" s="174"/>
      <c r="HZ93" s="174"/>
      <c r="IA93" s="174"/>
      <c r="IB93" s="174"/>
      <c r="IC93" s="174"/>
      <c r="ID93" s="174"/>
      <c r="IE93" s="174"/>
      <c r="IF93" s="174"/>
      <c r="IG93" s="174"/>
      <c r="IH93" s="174"/>
      <c r="II93" s="174"/>
      <c r="IJ93" s="174"/>
      <c r="IK93" s="174"/>
      <c r="IL93" s="174"/>
      <c r="IM93" s="174"/>
      <c r="IN93" s="174"/>
      <c r="IO93" s="174"/>
      <c r="IP93" s="174"/>
      <c r="IQ93" s="174"/>
      <c r="IR93" s="174"/>
      <c r="IS93" s="174"/>
      <c r="IT93" s="174"/>
      <c r="IU93" s="174"/>
      <c r="IV93" s="174"/>
    </row>
    <row r="94" spans="1:256" ht="24.95" customHeight="1" thickTop="1" x14ac:dyDescent="0.35">
      <c r="A94" s="301">
        <v>86</v>
      </c>
      <c r="B94" s="1270"/>
      <c r="C94" s="1236"/>
      <c r="D94" s="1237" t="s">
        <v>587</v>
      </c>
      <c r="E94" s="1253">
        <f>SUM(E75:E93)</f>
        <v>159785</v>
      </c>
      <c r="F94" s="1253">
        <f>SUM(F75:F93)</f>
        <v>0</v>
      </c>
      <c r="G94" s="1253">
        <f>SUM(G75:G93)</f>
        <v>88538</v>
      </c>
      <c r="H94" s="1239"/>
      <c r="I94" s="1240"/>
      <c r="J94" s="1240"/>
      <c r="K94" s="1240"/>
      <c r="L94" s="1240"/>
      <c r="M94" s="1240"/>
      <c r="N94" s="1240"/>
      <c r="O94" s="1240"/>
      <c r="P94" s="1240"/>
      <c r="Q94" s="1271"/>
    </row>
    <row r="95" spans="1:256" s="1267" customFormat="1" ht="17.100000000000001" customHeight="1" x14ac:dyDescent="0.35">
      <c r="A95" s="301">
        <v>87</v>
      </c>
      <c r="B95" s="237"/>
      <c r="C95" s="191"/>
      <c r="D95" s="367" t="s">
        <v>268</v>
      </c>
      <c r="E95" s="555"/>
      <c r="F95" s="555"/>
      <c r="G95" s="612"/>
      <c r="H95" s="613"/>
      <c r="I95" s="1248">
        <f t="shared" ref="I95:O97" si="23">I88+I84+I80+I76</f>
        <v>0</v>
      </c>
      <c r="J95" s="1248">
        <f t="shared" si="23"/>
        <v>0</v>
      </c>
      <c r="K95" s="1248">
        <f t="shared" si="23"/>
        <v>5500</v>
      </c>
      <c r="L95" s="1248">
        <f t="shared" si="23"/>
        <v>0</v>
      </c>
      <c r="M95" s="1248">
        <f t="shared" si="23"/>
        <v>65747</v>
      </c>
      <c r="N95" s="1248">
        <f t="shared" si="23"/>
        <v>0</v>
      </c>
      <c r="O95" s="1248">
        <f t="shared" si="23"/>
        <v>0</v>
      </c>
      <c r="P95" s="1249">
        <f t="shared" ref="P95:P97" si="24">SUM(I95:O95)</f>
        <v>71247</v>
      </c>
      <c r="Q95" s="616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</row>
    <row r="96" spans="1:256" s="1267" customFormat="1" ht="17.100000000000001" customHeight="1" x14ac:dyDescent="0.35">
      <c r="A96" s="301">
        <v>88</v>
      </c>
      <c r="B96" s="237"/>
      <c r="C96" s="191"/>
      <c r="D96" s="225" t="s">
        <v>796</v>
      </c>
      <c r="E96" s="555"/>
      <c r="F96" s="555"/>
      <c r="G96" s="612"/>
      <c r="H96" s="613"/>
      <c r="I96" s="614">
        <f t="shared" si="23"/>
        <v>0</v>
      </c>
      <c r="J96" s="614">
        <f t="shared" si="23"/>
        <v>0</v>
      </c>
      <c r="K96" s="614">
        <f t="shared" si="23"/>
        <v>5691</v>
      </c>
      <c r="L96" s="614">
        <f t="shared" si="23"/>
        <v>0</v>
      </c>
      <c r="M96" s="614">
        <f t="shared" si="23"/>
        <v>64856</v>
      </c>
      <c r="N96" s="614">
        <f t="shared" si="23"/>
        <v>0</v>
      </c>
      <c r="O96" s="614">
        <f t="shared" si="23"/>
        <v>700</v>
      </c>
      <c r="P96" s="296">
        <f t="shared" si="24"/>
        <v>71247</v>
      </c>
      <c r="Q96" s="616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</row>
    <row r="97" spans="1:40" s="1267" customFormat="1" ht="17.100000000000001" customHeight="1" thickBot="1" x14ac:dyDescent="0.4">
      <c r="A97" s="301">
        <v>89</v>
      </c>
      <c r="B97" s="237"/>
      <c r="C97" s="621"/>
      <c r="D97" s="1446" t="s">
        <v>860</v>
      </c>
      <c r="E97" s="622"/>
      <c r="F97" s="622"/>
      <c r="G97" s="623"/>
      <c r="H97" s="624"/>
      <c r="I97" s="1447">
        <f t="shared" si="23"/>
        <v>0</v>
      </c>
      <c r="J97" s="1447">
        <f t="shared" si="23"/>
        <v>0</v>
      </c>
      <c r="K97" s="1447">
        <f t="shared" si="23"/>
        <v>5691</v>
      </c>
      <c r="L97" s="1447">
        <f t="shared" si="23"/>
        <v>0</v>
      </c>
      <c r="M97" s="1447">
        <f t="shared" si="23"/>
        <v>64856</v>
      </c>
      <c r="N97" s="1447">
        <f t="shared" si="23"/>
        <v>0</v>
      </c>
      <c r="O97" s="1447">
        <f t="shared" si="23"/>
        <v>700</v>
      </c>
      <c r="P97" s="1448">
        <f t="shared" si="24"/>
        <v>71247</v>
      </c>
      <c r="Q97" s="626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</row>
    <row r="98" spans="1:40" ht="24.95" customHeight="1" thickTop="1" x14ac:dyDescent="0.35">
      <c r="A98" s="301">
        <v>90</v>
      </c>
      <c r="B98" s="1266"/>
      <c r="C98" s="551">
        <v>6</v>
      </c>
      <c r="D98" s="408" t="s">
        <v>512</v>
      </c>
      <c r="E98" s="552"/>
      <c r="F98" s="552"/>
      <c r="G98" s="607"/>
      <c r="H98" s="652" t="s">
        <v>24</v>
      </c>
      <c r="I98" s="609"/>
      <c r="J98" s="609"/>
      <c r="K98" s="609"/>
      <c r="L98" s="609"/>
      <c r="M98" s="609"/>
      <c r="N98" s="609"/>
      <c r="O98" s="609"/>
      <c r="P98" s="610"/>
      <c r="Q98" s="611"/>
    </row>
    <row r="99" spans="1:40" ht="18" customHeight="1" x14ac:dyDescent="0.35">
      <c r="A99" s="301">
        <v>91</v>
      </c>
      <c r="B99" s="237"/>
      <c r="C99" s="191"/>
      <c r="D99" s="394" t="s">
        <v>414</v>
      </c>
      <c r="E99" s="183">
        <f>F99+G99+P101+Q100+5132</f>
        <v>9679</v>
      </c>
      <c r="F99" s="183"/>
      <c r="G99" s="184">
        <v>1372</v>
      </c>
      <c r="H99" s="613"/>
      <c r="I99" s="614"/>
      <c r="J99" s="614"/>
      <c r="K99" s="614"/>
      <c r="L99" s="614"/>
      <c r="M99" s="614"/>
      <c r="N99" s="614"/>
      <c r="O99" s="614"/>
      <c r="P99" s="615"/>
      <c r="Q99" s="616"/>
    </row>
    <row r="100" spans="1:40" ht="18" customHeight="1" x14ac:dyDescent="0.35">
      <c r="A100" s="301">
        <v>92</v>
      </c>
      <c r="B100" s="237"/>
      <c r="C100" s="191"/>
      <c r="D100" s="367" t="s">
        <v>268</v>
      </c>
      <c r="E100" s="183"/>
      <c r="F100" s="555"/>
      <c r="G100" s="184"/>
      <c r="H100" s="613"/>
      <c r="I100" s="614"/>
      <c r="J100" s="614"/>
      <c r="K100" s="388">
        <v>3175</v>
      </c>
      <c r="L100" s="614"/>
      <c r="M100" s="614"/>
      <c r="N100" s="614"/>
      <c r="O100" s="614"/>
      <c r="P100" s="357">
        <f>SUM(I100:O100)</f>
        <v>3175</v>
      </c>
      <c r="Q100" s="616"/>
    </row>
    <row r="101" spans="1:40" ht="18" customHeight="1" x14ac:dyDescent="0.35">
      <c r="A101" s="301">
        <v>93</v>
      </c>
      <c r="B101" s="237"/>
      <c r="C101" s="191"/>
      <c r="D101" s="225" t="s">
        <v>796</v>
      </c>
      <c r="E101" s="183"/>
      <c r="F101" s="555"/>
      <c r="G101" s="184"/>
      <c r="H101" s="613"/>
      <c r="I101" s="614"/>
      <c r="J101" s="614"/>
      <c r="K101" s="370">
        <v>3175</v>
      </c>
      <c r="L101" s="614"/>
      <c r="M101" s="614"/>
      <c r="N101" s="614"/>
      <c r="O101" s="614"/>
      <c r="P101" s="296">
        <f t="shared" ref="P101:P102" si="25">SUM(I101:O101)</f>
        <v>3175</v>
      </c>
      <c r="Q101" s="616"/>
    </row>
    <row r="102" spans="1:40" ht="18" customHeight="1" x14ac:dyDescent="0.35">
      <c r="A102" s="301">
        <v>94</v>
      </c>
      <c r="B102" s="237"/>
      <c r="C102" s="191"/>
      <c r="D102" s="187" t="s">
        <v>860</v>
      </c>
      <c r="E102" s="183"/>
      <c r="F102" s="555"/>
      <c r="G102" s="184"/>
      <c r="H102" s="613"/>
      <c r="I102" s="1197"/>
      <c r="J102" s="1197"/>
      <c r="K102" s="1198"/>
      <c r="L102" s="1197"/>
      <c r="M102" s="1197"/>
      <c r="N102" s="1197"/>
      <c r="O102" s="1197"/>
      <c r="P102" s="1191">
        <f t="shared" si="25"/>
        <v>0</v>
      </c>
      <c r="Q102" s="616"/>
    </row>
    <row r="103" spans="1:40" ht="20.100000000000001" customHeight="1" x14ac:dyDescent="0.35">
      <c r="A103" s="301">
        <v>95</v>
      </c>
      <c r="B103" s="237"/>
      <c r="C103" s="191"/>
      <c r="D103" s="290" t="s">
        <v>588</v>
      </c>
      <c r="E103" s="183">
        <f>F103+G103+P105+Q104</f>
        <v>37211</v>
      </c>
      <c r="F103" s="183"/>
      <c r="G103" s="184"/>
      <c r="H103" s="613"/>
      <c r="I103" s="614"/>
      <c r="J103" s="614"/>
      <c r="K103" s="614"/>
      <c r="L103" s="614"/>
      <c r="M103" s="614"/>
      <c r="N103" s="614"/>
      <c r="O103" s="614"/>
      <c r="P103" s="615"/>
      <c r="Q103" s="616"/>
    </row>
    <row r="104" spans="1:40" ht="18" customHeight="1" x14ac:dyDescent="0.35">
      <c r="A104" s="301">
        <v>96</v>
      </c>
      <c r="B104" s="237"/>
      <c r="C104" s="191"/>
      <c r="D104" s="367" t="s">
        <v>268</v>
      </c>
      <c r="E104" s="183"/>
      <c r="F104" s="183"/>
      <c r="G104" s="184"/>
      <c r="H104" s="613"/>
      <c r="I104" s="614"/>
      <c r="J104" s="614"/>
      <c r="K104" s="388">
        <v>18161</v>
      </c>
      <c r="L104" s="388"/>
      <c r="M104" s="388">
        <v>19050</v>
      </c>
      <c r="N104" s="614"/>
      <c r="O104" s="614"/>
      <c r="P104" s="357">
        <f>SUM(I104:O104)</f>
        <v>37211</v>
      </c>
      <c r="Q104" s="616"/>
    </row>
    <row r="105" spans="1:40" ht="18" customHeight="1" x14ac:dyDescent="0.35">
      <c r="A105" s="301">
        <v>97</v>
      </c>
      <c r="B105" s="237"/>
      <c r="C105" s="191"/>
      <c r="D105" s="225" t="s">
        <v>796</v>
      </c>
      <c r="E105" s="183"/>
      <c r="F105" s="183"/>
      <c r="G105" s="184"/>
      <c r="H105" s="613"/>
      <c r="I105" s="614"/>
      <c r="J105" s="614"/>
      <c r="K105" s="370">
        <v>18161</v>
      </c>
      <c r="L105" s="370"/>
      <c r="M105" s="370">
        <v>19050</v>
      </c>
      <c r="N105" s="614"/>
      <c r="O105" s="614"/>
      <c r="P105" s="296">
        <f t="shared" ref="P105:P106" si="26">SUM(I105:O105)</f>
        <v>37211</v>
      </c>
      <c r="Q105" s="616"/>
    </row>
    <row r="106" spans="1:40" ht="18" customHeight="1" x14ac:dyDescent="0.35">
      <c r="A106" s="301">
        <v>98</v>
      </c>
      <c r="B106" s="237"/>
      <c r="C106" s="191"/>
      <c r="D106" s="187" t="s">
        <v>860</v>
      </c>
      <c r="E106" s="183"/>
      <c r="F106" s="183"/>
      <c r="G106" s="184"/>
      <c r="H106" s="613"/>
      <c r="I106" s="1197"/>
      <c r="J106" s="1197"/>
      <c r="K106" s="1198"/>
      <c r="L106" s="1198"/>
      <c r="M106" s="1198"/>
      <c r="N106" s="1197"/>
      <c r="O106" s="1197"/>
      <c r="P106" s="1191">
        <f t="shared" si="26"/>
        <v>0</v>
      </c>
      <c r="Q106" s="616"/>
    </row>
    <row r="107" spans="1:40" ht="20.100000000000001" customHeight="1" x14ac:dyDescent="0.35">
      <c r="A107" s="301">
        <v>99</v>
      </c>
      <c r="B107" s="237"/>
      <c r="C107" s="191"/>
      <c r="D107" s="290" t="s">
        <v>657</v>
      </c>
      <c r="E107" s="183">
        <f>F107+G107+P109+Q108</f>
        <v>54801</v>
      </c>
      <c r="F107" s="183"/>
      <c r="G107" s="184"/>
      <c r="H107" s="613"/>
      <c r="I107" s="614"/>
      <c r="J107" s="614"/>
      <c r="K107" s="388"/>
      <c r="L107" s="388"/>
      <c r="M107" s="388"/>
      <c r="N107" s="614"/>
      <c r="O107" s="614"/>
      <c r="P107" s="615"/>
      <c r="Q107" s="616"/>
    </row>
    <row r="108" spans="1:40" ht="18" customHeight="1" x14ac:dyDescent="0.35">
      <c r="A108" s="301">
        <v>100</v>
      </c>
      <c r="B108" s="237"/>
      <c r="C108" s="191"/>
      <c r="D108" s="367" t="s">
        <v>268</v>
      </c>
      <c r="E108" s="183"/>
      <c r="F108" s="183"/>
      <c r="G108" s="184"/>
      <c r="H108" s="613"/>
      <c r="I108" s="614"/>
      <c r="J108" s="614"/>
      <c r="K108" s="388">
        <v>26861</v>
      </c>
      <c r="L108" s="388"/>
      <c r="M108" s="388">
        <v>27940</v>
      </c>
      <c r="N108" s="614"/>
      <c r="O108" s="614"/>
      <c r="P108" s="357">
        <f>SUM(I108:O108)</f>
        <v>54801</v>
      </c>
      <c r="Q108" s="616"/>
    </row>
    <row r="109" spans="1:40" ht="18" customHeight="1" x14ac:dyDescent="0.35">
      <c r="A109" s="301">
        <v>101</v>
      </c>
      <c r="B109" s="237"/>
      <c r="C109" s="191"/>
      <c r="D109" s="225" t="s">
        <v>796</v>
      </c>
      <c r="E109" s="183"/>
      <c r="F109" s="183"/>
      <c r="G109" s="184"/>
      <c r="H109" s="613"/>
      <c r="I109" s="614"/>
      <c r="J109" s="614"/>
      <c r="K109" s="370">
        <v>26861</v>
      </c>
      <c r="L109" s="370"/>
      <c r="M109" s="370">
        <v>27940</v>
      </c>
      <c r="N109" s="614"/>
      <c r="O109" s="614"/>
      <c r="P109" s="296">
        <f t="shared" ref="P109:P110" si="27">SUM(I109:O109)</f>
        <v>54801</v>
      </c>
      <c r="Q109" s="616"/>
    </row>
    <row r="110" spans="1:40" ht="18" customHeight="1" x14ac:dyDescent="0.35">
      <c r="A110" s="301">
        <v>102</v>
      </c>
      <c r="B110" s="237"/>
      <c r="C110" s="191"/>
      <c r="D110" s="187" t="s">
        <v>860</v>
      </c>
      <c r="E110" s="183"/>
      <c r="F110" s="183"/>
      <c r="G110" s="184"/>
      <c r="H110" s="613"/>
      <c r="I110" s="1197"/>
      <c r="J110" s="1197"/>
      <c r="K110" s="1198">
        <v>13430</v>
      </c>
      <c r="L110" s="1198"/>
      <c r="M110" s="1198">
        <v>13970</v>
      </c>
      <c r="N110" s="1197"/>
      <c r="O110" s="1197"/>
      <c r="P110" s="1191">
        <f t="shared" si="27"/>
        <v>27400</v>
      </c>
      <c r="Q110" s="616"/>
    </row>
    <row r="111" spans="1:40" ht="20.100000000000001" customHeight="1" x14ac:dyDescent="0.35">
      <c r="A111" s="301">
        <v>103</v>
      </c>
      <c r="B111" s="237"/>
      <c r="C111" s="191"/>
      <c r="D111" s="290" t="s">
        <v>25</v>
      </c>
      <c r="E111" s="183">
        <f>F111+G111+P113+Q112</f>
        <v>43434</v>
      </c>
      <c r="F111" s="183"/>
      <c r="G111" s="184"/>
      <c r="H111" s="613"/>
      <c r="I111" s="614"/>
      <c r="J111" s="614"/>
      <c r="K111" s="388"/>
      <c r="L111" s="388"/>
      <c r="M111" s="388"/>
      <c r="N111" s="614"/>
      <c r="O111" s="614"/>
      <c r="P111" s="615"/>
      <c r="Q111" s="616"/>
    </row>
    <row r="112" spans="1:40" ht="18" customHeight="1" x14ac:dyDescent="0.35">
      <c r="A112" s="301">
        <v>104</v>
      </c>
      <c r="B112" s="237"/>
      <c r="C112" s="191"/>
      <c r="D112" s="367" t="s">
        <v>268</v>
      </c>
      <c r="E112" s="183"/>
      <c r="F112" s="183"/>
      <c r="G112" s="184"/>
      <c r="H112" s="613"/>
      <c r="I112" s="614"/>
      <c r="J112" s="614"/>
      <c r="K112" s="388">
        <v>19304</v>
      </c>
      <c r="L112" s="388"/>
      <c r="M112" s="388">
        <v>24130</v>
      </c>
      <c r="N112" s="614"/>
      <c r="O112" s="614"/>
      <c r="P112" s="357">
        <f>SUM(I112:O112)</f>
        <v>43434</v>
      </c>
      <c r="Q112" s="616"/>
    </row>
    <row r="113" spans="1:17" ht="18" customHeight="1" x14ac:dyDescent="0.35">
      <c r="A113" s="301">
        <v>105</v>
      </c>
      <c r="B113" s="237"/>
      <c r="C113" s="191"/>
      <c r="D113" s="225" t="s">
        <v>796</v>
      </c>
      <c r="E113" s="183"/>
      <c r="F113" s="183"/>
      <c r="G113" s="184"/>
      <c r="H113" s="613"/>
      <c r="I113" s="614"/>
      <c r="J113" s="614"/>
      <c r="K113" s="370">
        <v>19304</v>
      </c>
      <c r="L113" s="370"/>
      <c r="M113" s="370">
        <v>24130</v>
      </c>
      <c r="N113" s="614"/>
      <c r="O113" s="614"/>
      <c r="P113" s="296">
        <f t="shared" ref="P113:P114" si="28">SUM(I113:O113)</f>
        <v>43434</v>
      </c>
      <c r="Q113" s="616"/>
    </row>
    <row r="114" spans="1:17" ht="18" customHeight="1" x14ac:dyDescent="0.35">
      <c r="A114" s="301">
        <v>106</v>
      </c>
      <c r="B114" s="237"/>
      <c r="C114" s="191"/>
      <c r="D114" s="187" t="s">
        <v>860</v>
      </c>
      <c r="E114" s="183"/>
      <c r="F114" s="183"/>
      <c r="G114" s="184"/>
      <c r="H114" s="613"/>
      <c r="I114" s="614"/>
      <c r="J114" s="614"/>
      <c r="K114" s="370"/>
      <c r="L114" s="370"/>
      <c r="M114" s="370"/>
      <c r="N114" s="614"/>
      <c r="O114" s="614"/>
      <c r="P114" s="296">
        <f t="shared" si="28"/>
        <v>0</v>
      </c>
      <c r="Q114" s="616"/>
    </row>
    <row r="115" spans="1:17" ht="20.100000000000001" customHeight="1" x14ac:dyDescent="0.35">
      <c r="A115" s="301">
        <v>107</v>
      </c>
      <c r="B115" s="237"/>
      <c r="C115" s="191"/>
      <c r="D115" s="290" t="s">
        <v>589</v>
      </c>
      <c r="E115" s="183">
        <f>F115+G115+P117+Q116</f>
        <v>60960</v>
      </c>
      <c r="F115" s="183"/>
      <c r="G115" s="184">
        <v>29030</v>
      </c>
      <c r="H115" s="613"/>
      <c r="I115" s="614"/>
      <c r="J115" s="614"/>
      <c r="K115" s="388"/>
      <c r="L115" s="388"/>
      <c r="M115" s="388"/>
      <c r="N115" s="614"/>
      <c r="O115" s="614"/>
      <c r="P115" s="615"/>
      <c r="Q115" s="616"/>
    </row>
    <row r="116" spans="1:17" ht="18" customHeight="1" x14ac:dyDescent="0.35">
      <c r="A116" s="301">
        <v>108</v>
      </c>
      <c r="B116" s="237"/>
      <c r="C116" s="191"/>
      <c r="D116" s="367" t="s">
        <v>268</v>
      </c>
      <c r="E116" s="183"/>
      <c r="F116" s="183"/>
      <c r="G116" s="184"/>
      <c r="H116" s="613"/>
      <c r="I116" s="614"/>
      <c r="J116" s="614"/>
      <c r="K116" s="388">
        <v>23177</v>
      </c>
      <c r="L116" s="388"/>
      <c r="M116" s="388">
        <v>8753</v>
      </c>
      <c r="N116" s="614"/>
      <c r="O116" s="614"/>
      <c r="P116" s="357">
        <f>SUM(I116:O116)</f>
        <v>31930</v>
      </c>
      <c r="Q116" s="616"/>
    </row>
    <row r="117" spans="1:17" ht="18" customHeight="1" x14ac:dyDescent="0.35">
      <c r="A117" s="301">
        <v>109</v>
      </c>
      <c r="B117" s="237"/>
      <c r="C117" s="191"/>
      <c r="D117" s="225" t="s">
        <v>796</v>
      </c>
      <c r="E117" s="183"/>
      <c r="F117" s="183"/>
      <c r="G117" s="184"/>
      <c r="H117" s="613"/>
      <c r="I117" s="614"/>
      <c r="J117" s="614"/>
      <c r="K117" s="370">
        <v>23177</v>
      </c>
      <c r="L117" s="370"/>
      <c r="M117" s="370">
        <v>8753</v>
      </c>
      <c r="N117" s="614"/>
      <c r="O117" s="614"/>
      <c r="P117" s="296">
        <f t="shared" ref="P117:P118" si="29">SUM(I117:O117)</f>
        <v>31930</v>
      </c>
      <c r="Q117" s="616"/>
    </row>
    <row r="118" spans="1:17" ht="18" customHeight="1" x14ac:dyDescent="0.35">
      <c r="A118" s="301">
        <v>110</v>
      </c>
      <c r="B118" s="237"/>
      <c r="C118" s="191"/>
      <c r="D118" s="187" t="s">
        <v>860</v>
      </c>
      <c r="E118" s="183"/>
      <c r="F118" s="183"/>
      <c r="G118" s="184"/>
      <c r="H118" s="613"/>
      <c r="I118" s="1197"/>
      <c r="J118" s="1197"/>
      <c r="K118" s="1198">
        <v>23178</v>
      </c>
      <c r="L118" s="1198"/>
      <c r="M118" s="1198">
        <v>5852</v>
      </c>
      <c r="N118" s="1197"/>
      <c r="O118" s="1197"/>
      <c r="P118" s="1191">
        <f t="shared" si="29"/>
        <v>29030</v>
      </c>
      <c r="Q118" s="616"/>
    </row>
    <row r="119" spans="1:17" ht="20.100000000000001" customHeight="1" x14ac:dyDescent="0.35">
      <c r="A119" s="301">
        <v>111</v>
      </c>
      <c r="B119" s="237"/>
      <c r="C119" s="191"/>
      <c r="D119" s="290" t="s">
        <v>590</v>
      </c>
      <c r="E119" s="183">
        <f>F119+G119+P121+Q120</f>
        <v>38907</v>
      </c>
      <c r="F119" s="183"/>
      <c r="G119" s="184"/>
      <c r="H119" s="613"/>
      <c r="I119" s="614"/>
      <c r="J119" s="614"/>
      <c r="K119" s="388"/>
      <c r="L119" s="388"/>
      <c r="M119" s="388"/>
      <c r="N119" s="614"/>
      <c r="O119" s="614"/>
      <c r="P119" s="615"/>
      <c r="Q119" s="616"/>
    </row>
    <row r="120" spans="1:17" ht="18" customHeight="1" x14ac:dyDescent="0.35">
      <c r="A120" s="301">
        <v>112</v>
      </c>
      <c r="B120" s="237"/>
      <c r="C120" s="412"/>
      <c r="D120" s="419" t="s">
        <v>268</v>
      </c>
      <c r="E120" s="420"/>
      <c r="F120" s="558"/>
      <c r="G120" s="604"/>
      <c r="H120" s="627"/>
      <c r="I120" s="628"/>
      <c r="J120" s="628"/>
      <c r="K120" s="634">
        <v>21907</v>
      </c>
      <c r="L120" s="634"/>
      <c r="M120" s="634">
        <v>17000</v>
      </c>
      <c r="N120" s="628"/>
      <c r="O120" s="628"/>
      <c r="P120" s="418">
        <f>SUM(I120:O120)</f>
        <v>38907</v>
      </c>
      <c r="Q120" s="629"/>
    </row>
    <row r="121" spans="1:17" ht="18" customHeight="1" x14ac:dyDescent="0.35">
      <c r="A121" s="301">
        <v>113</v>
      </c>
      <c r="B121" s="237"/>
      <c r="C121" s="191"/>
      <c r="D121" s="225" t="s">
        <v>796</v>
      </c>
      <c r="E121" s="183"/>
      <c r="F121" s="555"/>
      <c r="G121" s="612"/>
      <c r="H121" s="613"/>
      <c r="I121" s="614"/>
      <c r="J121" s="614"/>
      <c r="K121" s="370">
        <v>21907</v>
      </c>
      <c r="L121" s="370"/>
      <c r="M121" s="370">
        <v>17000</v>
      </c>
      <c r="N121" s="614"/>
      <c r="O121" s="614"/>
      <c r="P121" s="1202">
        <f t="shared" ref="P121:P122" si="30">SUM(I121:O121)</f>
        <v>38907</v>
      </c>
      <c r="Q121" s="616"/>
    </row>
    <row r="122" spans="1:17" ht="18" customHeight="1" thickBot="1" x14ac:dyDescent="0.4">
      <c r="A122" s="301">
        <v>114</v>
      </c>
      <c r="B122" s="237"/>
      <c r="C122" s="191"/>
      <c r="D122" s="187" t="s">
        <v>860</v>
      </c>
      <c r="E122" s="183"/>
      <c r="F122" s="555"/>
      <c r="G122" s="612"/>
      <c r="H122" s="613"/>
      <c r="I122" s="614"/>
      <c r="J122" s="614"/>
      <c r="K122" s="370">
        <v>10954</v>
      </c>
      <c r="L122" s="370"/>
      <c r="M122" s="370">
        <v>8500</v>
      </c>
      <c r="N122" s="614"/>
      <c r="O122" s="614"/>
      <c r="P122" s="1202">
        <f t="shared" si="30"/>
        <v>19454</v>
      </c>
      <c r="Q122" s="616"/>
    </row>
    <row r="123" spans="1:17" ht="24.95" customHeight="1" thickTop="1" x14ac:dyDescent="0.35">
      <c r="A123" s="301">
        <v>115</v>
      </c>
      <c r="B123" s="237"/>
      <c r="C123" s="1236"/>
      <c r="D123" s="1272" t="s">
        <v>591</v>
      </c>
      <c r="E123" s="1253">
        <f>SUM(E99:E122)</f>
        <v>244992</v>
      </c>
      <c r="F123" s="1253">
        <f>SUM(F99:F122)</f>
        <v>0</v>
      </c>
      <c r="G123" s="1253">
        <f>SUM(G99:G122)</f>
        <v>30402</v>
      </c>
      <c r="H123" s="1239"/>
      <c r="I123" s="1240"/>
      <c r="J123" s="1240"/>
      <c r="K123" s="1240"/>
      <c r="L123" s="1240"/>
      <c r="M123" s="1240"/>
      <c r="N123" s="1240"/>
      <c r="O123" s="1240"/>
      <c r="P123" s="1273"/>
      <c r="Q123" s="1271"/>
    </row>
    <row r="124" spans="1:17" ht="17.100000000000001" customHeight="1" x14ac:dyDescent="0.35">
      <c r="A124" s="301">
        <v>116</v>
      </c>
      <c r="B124" s="237"/>
      <c r="C124" s="191"/>
      <c r="D124" s="419" t="s">
        <v>268</v>
      </c>
      <c r="E124" s="555"/>
      <c r="F124" s="555"/>
      <c r="G124" s="612"/>
      <c r="H124" s="613"/>
      <c r="I124" s="1248">
        <f t="shared" ref="I124:O126" si="31">I120+I116+I112+I108+I104+I100</f>
        <v>0</v>
      </c>
      <c r="J124" s="1248">
        <f t="shared" si="31"/>
        <v>0</v>
      </c>
      <c r="K124" s="1248">
        <f t="shared" si="31"/>
        <v>112585</v>
      </c>
      <c r="L124" s="1248">
        <f t="shared" si="31"/>
        <v>0</v>
      </c>
      <c r="M124" s="1248">
        <f t="shared" si="31"/>
        <v>96873</v>
      </c>
      <c r="N124" s="1248">
        <f t="shared" si="31"/>
        <v>0</v>
      </c>
      <c r="O124" s="1248">
        <f t="shared" si="31"/>
        <v>0</v>
      </c>
      <c r="P124" s="1249">
        <f t="shared" ref="P124:P126" si="32">SUM(I124:O124)</f>
        <v>209458</v>
      </c>
      <c r="Q124" s="616"/>
    </row>
    <row r="125" spans="1:17" ht="17.100000000000001" customHeight="1" x14ac:dyDescent="0.35">
      <c r="A125" s="301">
        <v>117</v>
      </c>
      <c r="B125" s="237"/>
      <c r="C125" s="191"/>
      <c r="D125" s="225" t="s">
        <v>796</v>
      </c>
      <c r="E125" s="555"/>
      <c r="F125" s="555"/>
      <c r="G125" s="612"/>
      <c r="H125" s="613"/>
      <c r="I125" s="614">
        <f t="shared" si="31"/>
        <v>0</v>
      </c>
      <c r="J125" s="614">
        <f t="shared" si="31"/>
        <v>0</v>
      </c>
      <c r="K125" s="614">
        <f t="shared" si="31"/>
        <v>112585</v>
      </c>
      <c r="L125" s="614">
        <f t="shared" si="31"/>
        <v>0</v>
      </c>
      <c r="M125" s="614">
        <f t="shared" si="31"/>
        <v>96873</v>
      </c>
      <c r="N125" s="614">
        <f t="shared" si="31"/>
        <v>0</v>
      </c>
      <c r="O125" s="614">
        <f t="shared" si="31"/>
        <v>0</v>
      </c>
      <c r="P125" s="296">
        <f t="shared" si="32"/>
        <v>209458</v>
      </c>
      <c r="Q125" s="616"/>
    </row>
    <row r="126" spans="1:17" ht="17.100000000000001" customHeight="1" thickBot="1" x14ac:dyDescent="0.4">
      <c r="A126" s="301">
        <v>118</v>
      </c>
      <c r="B126" s="237"/>
      <c r="C126" s="621"/>
      <c r="D126" s="1446" t="s">
        <v>860</v>
      </c>
      <c r="E126" s="622"/>
      <c r="F126" s="622"/>
      <c r="G126" s="623"/>
      <c r="H126" s="624"/>
      <c r="I126" s="1447">
        <f t="shared" si="31"/>
        <v>0</v>
      </c>
      <c r="J126" s="1447">
        <f t="shared" si="31"/>
        <v>0</v>
      </c>
      <c r="K126" s="1447">
        <f t="shared" si="31"/>
        <v>47562</v>
      </c>
      <c r="L126" s="1447">
        <f t="shared" si="31"/>
        <v>0</v>
      </c>
      <c r="M126" s="1447">
        <f t="shared" si="31"/>
        <v>28322</v>
      </c>
      <c r="N126" s="1447">
        <f t="shared" si="31"/>
        <v>0</v>
      </c>
      <c r="O126" s="1447">
        <f t="shared" si="31"/>
        <v>0</v>
      </c>
      <c r="P126" s="1448">
        <f t="shared" si="32"/>
        <v>75884</v>
      </c>
      <c r="Q126" s="626"/>
    </row>
    <row r="127" spans="1:17" ht="24.95" customHeight="1" thickTop="1" x14ac:dyDescent="0.35">
      <c r="A127" s="301">
        <v>119</v>
      </c>
      <c r="B127" s="237"/>
      <c r="C127" s="400">
        <v>7</v>
      </c>
      <c r="D127" s="408" t="s">
        <v>514</v>
      </c>
      <c r="E127" s="563"/>
      <c r="F127" s="563"/>
      <c r="G127" s="617"/>
      <c r="H127" s="372" t="s">
        <v>24</v>
      </c>
      <c r="I127" s="618"/>
      <c r="J127" s="618"/>
      <c r="K127" s="618"/>
      <c r="L127" s="618"/>
      <c r="M127" s="618"/>
      <c r="N127" s="618"/>
      <c r="O127" s="618"/>
      <c r="P127" s="619"/>
      <c r="Q127" s="620"/>
    </row>
    <row r="128" spans="1:17" ht="20.100000000000001" customHeight="1" x14ac:dyDescent="0.35">
      <c r="A128" s="301">
        <v>120</v>
      </c>
      <c r="B128" s="237"/>
      <c r="C128" s="551"/>
      <c r="D128" s="290" t="s">
        <v>469</v>
      </c>
      <c r="E128" s="1225">
        <f>F128+G128+P130+Q129+13800</f>
        <v>1815837</v>
      </c>
      <c r="F128" s="552"/>
      <c r="G128" s="607"/>
      <c r="H128" s="608"/>
      <c r="I128" s="609"/>
      <c r="J128" s="609"/>
      <c r="K128" s="609"/>
      <c r="L128" s="609"/>
      <c r="M128" s="609"/>
      <c r="N128" s="609"/>
      <c r="O128" s="609"/>
      <c r="P128" s="610"/>
      <c r="Q128" s="611"/>
    </row>
    <row r="129" spans="1:17" ht="18" customHeight="1" x14ac:dyDescent="0.35">
      <c r="A129" s="301">
        <v>121</v>
      </c>
      <c r="B129" s="237"/>
      <c r="C129" s="412"/>
      <c r="D129" s="419" t="s">
        <v>268</v>
      </c>
      <c r="E129" s="420"/>
      <c r="F129" s="558"/>
      <c r="G129" s="604"/>
      <c r="H129" s="627"/>
      <c r="I129" s="628"/>
      <c r="J129" s="628"/>
      <c r="K129" s="634">
        <v>74567</v>
      </c>
      <c r="L129" s="634"/>
      <c r="M129" s="634">
        <v>1727470</v>
      </c>
      <c r="N129" s="628"/>
      <c r="O129" s="628"/>
      <c r="P129" s="418">
        <f>SUM(I129:O129)</f>
        <v>1802037</v>
      </c>
      <c r="Q129" s="629"/>
    </row>
    <row r="130" spans="1:17" ht="18" customHeight="1" x14ac:dyDescent="0.35">
      <c r="A130" s="301">
        <v>122</v>
      </c>
      <c r="B130" s="237"/>
      <c r="C130" s="191"/>
      <c r="D130" s="225" t="s">
        <v>796</v>
      </c>
      <c r="E130" s="183"/>
      <c r="F130" s="555"/>
      <c r="G130" s="612"/>
      <c r="H130" s="613"/>
      <c r="I130" s="614"/>
      <c r="J130" s="614"/>
      <c r="K130" s="370">
        <v>74567</v>
      </c>
      <c r="L130" s="370"/>
      <c r="M130" s="370">
        <v>1727470</v>
      </c>
      <c r="N130" s="614"/>
      <c r="O130" s="614"/>
      <c r="P130" s="1202">
        <f t="shared" ref="P130:P131" si="33">SUM(I130:O130)</f>
        <v>1802037</v>
      </c>
      <c r="Q130" s="616"/>
    </row>
    <row r="131" spans="1:17" ht="18" customHeight="1" thickBot="1" x14ac:dyDescent="0.4">
      <c r="A131" s="301">
        <v>123</v>
      </c>
      <c r="B131" s="237"/>
      <c r="C131" s="191"/>
      <c r="D131" s="187" t="s">
        <v>860</v>
      </c>
      <c r="E131" s="183"/>
      <c r="F131" s="555"/>
      <c r="G131" s="612"/>
      <c r="H131" s="613"/>
      <c r="I131" s="1198"/>
      <c r="J131" s="1198"/>
      <c r="K131" s="1198">
        <v>32070</v>
      </c>
      <c r="L131" s="1198"/>
      <c r="M131" s="1198">
        <v>330990</v>
      </c>
      <c r="N131" s="1198"/>
      <c r="O131" s="1198"/>
      <c r="P131" s="1204">
        <f t="shared" si="33"/>
        <v>363060</v>
      </c>
      <c r="Q131" s="616"/>
    </row>
    <row r="132" spans="1:17" ht="24.95" customHeight="1" thickTop="1" x14ac:dyDescent="0.35">
      <c r="A132" s="301">
        <v>124</v>
      </c>
      <c r="B132" s="237"/>
      <c r="C132" s="1236"/>
      <c r="D132" s="1272" t="s">
        <v>592</v>
      </c>
      <c r="E132" s="1253">
        <f>SUM(E128:E131)</f>
        <v>1815837</v>
      </c>
      <c r="F132" s="1253">
        <f>SUM(F128:F131)</f>
        <v>0</v>
      </c>
      <c r="G132" s="1253">
        <f>SUM(G128:G131)</f>
        <v>0</v>
      </c>
      <c r="H132" s="1239"/>
      <c r="I132" s="1240"/>
      <c r="J132" s="1240"/>
      <c r="K132" s="1240"/>
      <c r="L132" s="1240"/>
      <c r="M132" s="1240"/>
      <c r="N132" s="1240"/>
      <c r="O132" s="1240"/>
      <c r="P132" s="1273">
        <f>SUM(I132:O132)</f>
        <v>0</v>
      </c>
      <c r="Q132" s="1271"/>
    </row>
    <row r="133" spans="1:17" ht="17.100000000000001" customHeight="1" x14ac:dyDescent="0.35">
      <c r="A133" s="301">
        <v>125</v>
      </c>
      <c r="B133" s="237"/>
      <c r="C133" s="191"/>
      <c r="D133" s="419" t="s">
        <v>268</v>
      </c>
      <c r="E133" s="555"/>
      <c r="F133" s="555"/>
      <c r="G133" s="1278"/>
      <c r="H133" s="1274"/>
      <c r="I133" s="1252">
        <f t="shared" ref="I133:O135" si="34">I129</f>
        <v>0</v>
      </c>
      <c r="J133" s="1252">
        <f t="shared" si="34"/>
        <v>0</v>
      </c>
      <c r="K133" s="1252">
        <f t="shared" si="34"/>
        <v>74567</v>
      </c>
      <c r="L133" s="1252">
        <f t="shared" si="34"/>
        <v>0</v>
      </c>
      <c r="M133" s="1252">
        <f t="shared" si="34"/>
        <v>1727470</v>
      </c>
      <c r="N133" s="1252">
        <f t="shared" si="34"/>
        <v>0</v>
      </c>
      <c r="O133" s="1252">
        <f t="shared" si="34"/>
        <v>0</v>
      </c>
      <c r="P133" s="1249">
        <f t="shared" ref="P133:P135" si="35">SUM(I133:O133)</f>
        <v>1802037</v>
      </c>
      <c r="Q133" s="631"/>
    </row>
    <row r="134" spans="1:17" ht="17.100000000000001" customHeight="1" x14ac:dyDescent="0.35">
      <c r="A134" s="301">
        <v>126</v>
      </c>
      <c r="B134" s="237"/>
      <c r="C134" s="630"/>
      <c r="D134" s="1280" t="s">
        <v>796</v>
      </c>
      <c r="E134" s="555"/>
      <c r="F134" s="555"/>
      <c r="G134" s="1278"/>
      <c r="H134" s="1274"/>
      <c r="I134" s="632">
        <f t="shared" si="34"/>
        <v>0</v>
      </c>
      <c r="J134" s="632">
        <f t="shared" si="34"/>
        <v>0</v>
      </c>
      <c r="K134" s="632">
        <f t="shared" si="34"/>
        <v>74567</v>
      </c>
      <c r="L134" s="632">
        <f t="shared" si="34"/>
        <v>0</v>
      </c>
      <c r="M134" s="632">
        <f t="shared" si="34"/>
        <v>1727470</v>
      </c>
      <c r="N134" s="632">
        <f t="shared" si="34"/>
        <v>0</v>
      </c>
      <c r="O134" s="632">
        <f t="shared" si="34"/>
        <v>0</v>
      </c>
      <c r="P134" s="296">
        <f t="shared" si="35"/>
        <v>1802037</v>
      </c>
      <c r="Q134" s="631"/>
    </row>
    <row r="135" spans="1:17" ht="17.100000000000001" customHeight="1" thickBot="1" x14ac:dyDescent="0.4">
      <c r="A135" s="301">
        <v>127</v>
      </c>
      <c r="B135" s="237"/>
      <c r="C135" s="1275"/>
      <c r="D135" s="1451" t="s">
        <v>860</v>
      </c>
      <c r="E135" s="622"/>
      <c r="F135" s="622"/>
      <c r="G135" s="1279"/>
      <c r="H135" s="1276"/>
      <c r="I135" s="1281">
        <f t="shared" si="34"/>
        <v>0</v>
      </c>
      <c r="J135" s="1281">
        <f t="shared" si="34"/>
        <v>0</v>
      </c>
      <c r="K135" s="1281">
        <f t="shared" si="34"/>
        <v>32070</v>
      </c>
      <c r="L135" s="1281">
        <f t="shared" si="34"/>
        <v>0</v>
      </c>
      <c r="M135" s="1281">
        <f t="shared" si="34"/>
        <v>330990</v>
      </c>
      <c r="N135" s="1281">
        <f t="shared" si="34"/>
        <v>0</v>
      </c>
      <c r="O135" s="1281">
        <f t="shared" si="34"/>
        <v>0</v>
      </c>
      <c r="P135" s="1247">
        <f t="shared" si="35"/>
        <v>363060</v>
      </c>
      <c r="Q135" s="1277"/>
    </row>
    <row r="136" spans="1:17" ht="24.95" customHeight="1" thickTop="1" x14ac:dyDescent="0.35">
      <c r="A136" s="301">
        <v>128</v>
      </c>
      <c r="B136" s="237"/>
      <c r="C136" s="400">
        <v>8</v>
      </c>
      <c r="D136" s="408" t="s">
        <v>515</v>
      </c>
      <c r="E136" s="563"/>
      <c r="F136" s="563"/>
      <c r="G136" s="617"/>
      <c r="H136" s="372" t="s">
        <v>24</v>
      </c>
      <c r="I136" s="618"/>
      <c r="J136" s="618"/>
      <c r="K136" s="618"/>
      <c r="L136" s="618"/>
      <c r="M136" s="618"/>
      <c r="N136" s="618"/>
      <c r="O136" s="618"/>
      <c r="P136" s="619"/>
      <c r="Q136" s="620"/>
    </row>
    <row r="137" spans="1:17" ht="20.100000000000001" customHeight="1" x14ac:dyDescent="0.35">
      <c r="A137" s="301">
        <v>129</v>
      </c>
      <c r="B137" s="237"/>
      <c r="C137" s="191"/>
      <c r="D137" s="290" t="s">
        <v>593</v>
      </c>
      <c r="E137" s="183">
        <f>F137+G137+P139+Q138+21933</f>
        <v>14221906</v>
      </c>
      <c r="F137" s="555"/>
      <c r="G137" s="612">
        <v>1068</v>
      </c>
      <c r="H137" s="613"/>
      <c r="I137" s="614"/>
      <c r="J137" s="614"/>
      <c r="K137" s="614"/>
      <c r="L137" s="614"/>
      <c r="M137" s="614"/>
      <c r="N137" s="614"/>
      <c r="O137" s="614"/>
      <c r="P137" s="615"/>
      <c r="Q137" s="616"/>
    </row>
    <row r="138" spans="1:17" ht="18" customHeight="1" x14ac:dyDescent="0.35">
      <c r="A138" s="301">
        <v>130</v>
      </c>
      <c r="B138" s="237"/>
      <c r="C138" s="412"/>
      <c r="D138" s="419" t="s">
        <v>268</v>
      </c>
      <c r="E138" s="420"/>
      <c r="F138" s="558"/>
      <c r="G138" s="604"/>
      <c r="H138" s="627"/>
      <c r="I138" s="628"/>
      <c r="J138" s="628"/>
      <c r="K138" s="634">
        <v>249927</v>
      </c>
      <c r="L138" s="634"/>
      <c r="M138" s="634">
        <v>13948978</v>
      </c>
      <c r="N138" s="628"/>
      <c r="O138" s="628"/>
      <c r="P138" s="418">
        <f>SUM(I138:O138)</f>
        <v>14198905</v>
      </c>
      <c r="Q138" s="629"/>
    </row>
    <row r="139" spans="1:17" ht="18" customHeight="1" x14ac:dyDescent="0.35">
      <c r="A139" s="301">
        <v>131</v>
      </c>
      <c r="B139" s="237"/>
      <c r="C139" s="412"/>
      <c r="D139" s="1235" t="s">
        <v>796</v>
      </c>
      <c r="E139" s="420"/>
      <c r="F139" s="558"/>
      <c r="G139" s="604"/>
      <c r="H139" s="627"/>
      <c r="I139" s="628"/>
      <c r="J139" s="628"/>
      <c r="K139" s="1282">
        <v>249927</v>
      </c>
      <c r="L139" s="1282"/>
      <c r="M139" s="1282">
        <v>13948978</v>
      </c>
      <c r="N139" s="628"/>
      <c r="O139" s="628"/>
      <c r="P139" s="1202">
        <f t="shared" ref="P139:P140" si="36">SUM(I139:O139)</f>
        <v>14198905</v>
      </c>
      <c r="Q139" s="629"/>
    </row>
    <row r="140" spans="1:17" ht="18" customHeight="1" thickBot="1" x14ac:dyDescent="0.4">
      <c r="A140" s="301">
        <v>132</v>
      </c>
      <c r="B140" s="237"/>
      <c r="C140" s="191"/>
      <c r="D140" s="187" t="s">
        <v>860</v>
      </c>
      <c r="E140" s="183"/>
      <c r="F140" s="555"/>
      <c r="G140" s="612"/>
      <c r="H140" s="613"/>
      <c r="I140" s="614"/>
      <c r="J140" s="614"/>
      <c r="K140" s="1198">
        <v>97771</v>
      </c>
      <c r="L140" s="370"/>
      <c r="M140" s="1198">
        <v>1995283</v>
      </c>
      <c r="N140" s="614"/>
      <c r="O140" s="614"/>
      <c r="P140" s="1202">
        <f t="shared" si="36"/>
        <v>2093054</v>
      </c>
      <c r="Q140" s="616"/>
    </row>
    <row r="141" spans="1:17" ht="24.95" customHeight="1" thickTop="1" x14ac:dyDescent="0.35">
      <c r="A141" s="301">
        <v>133</v>
      </c>
      <c r="B141" s="237"/>
      <c r="C141" s="1236"/>
      <c r="D141" s="1272" t="s">
        <v>594</v>
      </c>
      <c r="E141" s="1253">
        <f>SUM(E137:E140)</f>
        <v>14221906</v>
      </c>
      <c r="F141" s="1253">
        <f>SUM(F137:F140)</f>
        <v>0</v>
      </c>
      <c r="G141" s="1253">
        <f>SUM(G137:G140)</f>
        <v>1068</v>
      </c>
      <c r="H141" s="1239"/>
      <c r="I141" s="1240"/>
      <c r="J141" s="1240"/>
      <c r="K141" s="1240"/>
      <c r="L141" s="1240"/>
      <c r="M141" s="1240"/>
      <c r="N141" s="1240"/>
      <c r="O141" s="1240"/>
      <c r="P141" s="1273"/>
      <c r="Q141" s="1271"/>
    </row>
    <row r="142" spans="1:17" ht="17.100000000000001" customHeight="1" x14ac:dyDescent="0.35">
      <c r="A142" s="301">
        <v>134</v>
      </c>
      <c r="B142" s="237"/>
      <c r="C142" s="191"/>
      <c r="D142" s="419" t="s">
        <v>268</v>
      </c>
      <c r="E142" s="555"/>
      <c r="F142" s="555"/>
      <c r="G142" s="612"/>
      <c r="H142" s="613"/>
      <c r="I142" s="1248">
        <f t="shared" ref="I142:O144" si="37">I138</f>
        <v>0</v>
      </c>
      <c r="J142" s="1248">
        <f t="shared" si="37"/>
        <v>0</v>
      </c>
      <c r="K142" s="1248">
        <f t="shared" si="37"/>
        <v>249927</v>
      </c>
      <c r="L142" s="1248">
        <f t="shared" si="37"/>
        <v>0</v>
      </c>
      <c r="M142" s="1248">
        <f t="shared" si="37"/>
        <v>13948978</v>
      </c>
      <c r="N142" s="1248">
        <f t="shared" si="37"/>
        <v>0</v>
      </c>
      <c r="O142" s="1248">
        <f t="shared" si="37"/>
        <v>0</v>
      </c>
      <c r="P142" s="1249">
        <f t="shared" ref="P142:P144" si="38">SUM(I142:O142)</f>
        <v>14198905</v>
      </c>
      <c r="Q142" s="616"/>
    </row>
    <row r="143" spans="1:17" ht="17.100000000000001" customHeight="1" x14ac:dyDescent="0.35">
      <c r="A143" s="301">
        <v>135</v>
      </c>
      <c r="B143" s="237"/>
      <c r="C143" s="191"/>
      <c r="D143" s="1235" t="s">
        <v>796</v>
      </c>
      <c r="E143" s="555"/>
      <c r="F143" s="555"/>
      <c r="G143" s="612"/>
      <c r="H143" s="613"/>
      <c r="I143" s="614">
        <f t="shared" si="37"/>
        <v>0</v>
      </c>
      <c r="J143" s="614">
        <f t="shared" si="37"/>
        <v>0</v>
      </c>
      <c r="K143" s="614">
        <f t="shared" si="37"/>
        <v>249927</v>
      </c>
      <c r="L143" s="614">
        <f t="shared" si="37"/>
        <v>0</v>
      </c>
      <c r="M143" s="614">
        <f t="shared" si="37"/>
        <v>13948978</v>
      </c>
      <c r="N143" s="614">
        <f t="shared" si="37"/>
        <v>0</v>
      </c>
      <c r="O143" s="614">
        <f t="shared" si="37"/>
        <v>0</v>
      </c>
      <c r="P143" s="296">
        <f t="shared" si="38"/>
        <v>14198905</v>
      </c>
      <c r="Q143" s="616"/>
    </row>
    <row r="144" spans="1:17" ht="17.100000000000001" customHeight="1" thickBot="1" x14ac:dyDescent="0.4">
      <c r="A144" s="301">
        <v>136</v>
      </c>
      <c r="B144" s="237"/>
      <c r="C144" s="621"/>
      <c r="D144" s="1446" t="s">
        <v>860</v>
      </c>
      <c r="E144" s="622"/>
      <c r="F144" s="622"/>
      <c r="G144" s="623"/>
      <c r="H144" s="624"/>
      <c r="I144" s="1447">
        <f t="shared" si="37"/>
        <v>0</v>
      </c>
      <c r="J144" s="1447">
        <f t="shared" si="37"/>
        <v>0</v>
      </c>
      <c r="K144" s="1447">
        <f t="shared" si="37"/>
        <v>97771</v>
      </c>
      <c r="L144" s="1447">
        <f t="shared" si="37"/>
        <v>0</v>
      </c>
      <c r="M144" s="1447">
        <f t="shared" si="37"/>
        <v>1995283</v>
      </c>
      <c r="N144" s="1447">
        <f t="shared" si="37"/>
        <v>0</v>
      </c>
      <c r="O144" s="1447">
        <f t="shared" si="37"/>
        <v>0</v>
      </c>
      <c r="P144" s="1448">
        <f t="shared" si="38"/>
        <v>2093054</v>
      </c>
      <c r="Q144" s="626"/>
    </row>
    <row r="145" spans="1:17" ht="24.95" customHeight="1" thickTop="1" x14ac:dyDescent="0.35">
      <c r="A145" s="301">
        <v>137</v>
      </c>
      <c r="B145" s="237"/>
      <c r="C145" s="400">
        <v>9</v>
      </c>
      <c r="D145" s="408" t="s">
        <v>599</v>
      </c>
      <c r="E145" s="563"/>
      <c r="F145" s="563"/>
      <c r="G145" s="617"/>
      <c r="H145" s="372" t="s">
        <v>24</v>
      </c>
      <c r="I145" s="618"/>
      <c r="J145" s="618"/>
      <c r="K145" s="618"/>
      <c r="L145" s="618"/>
      <c r="M145" s="618"/>
      <c r="N145" s="618"/>
      <c r="O145" s="618"/>
      <c r="P145" s="619"/>
      <c r="Q145" s="620"/>
    </row>
    <row r="146" spans="1:17" ht="20.100000000000001" customHeight="1" x14ac:dyDescent="0.35">
      <c r="A146" s="301">
        <v>138</v>
      </c>
      <c r="B146" s="237"/>
      <c r="C146" s="551"/>
      <c r="D146" s="290" t="s">
        <v>414</v>
      </c>
      <c r="E146" s="183">
        <f>F146+G146+P148+2887+Q147</f>
        <v>6411</v>
      </c>
      <c r="F146" s="552"/>
      <c r="G146" s="607"/>
      <c r="H146" s="608"/>
      <c r="I146" s="609"/>
      <c r="J146" s="609"/>
      <c r="K146" s="609"/>
      <c r="L146" s="609"/>
      <c r="M146" s="609"/>
      <c r="N146" s="609"/>
      <c r="O146" s="609"/>
      <c r="P146" s="610"/>
      <c r="Q146" s="611"/>
    </row>
    <row r="147" spans="1:17" ht="18" customHeight="1" x14ac:dyDescent="0.35">
      <c r="A147" s="301">
        <v>139</v>
      </c>
      <c r="B147" s="237"/>
      <c r="C147" s="630"/>
      <c r="D147" s="635" t="s">
        <v>268</v>
      </c>
      <c r="E147" s="183"/>
      <c r="F147" s="555"/>
      <c r="G147" s="300"/>
      <c r="H147" s="633"/>
      <c r="I147" s="632"/>
      <c r="J147" s="632"/>
      <c r="K147" s="384">
        <v>3524</v>
      </c>
      <c r="L147" s="384"/>
      <c r="M147" s="384"/>
      <c r="N147" s="632"/>
      <c r="O147" s="632"/>
      <c r="P147" s="357">
        <f>SUM(I147:O147)</f>
        <v>3524</v>
      </c>
      <c r="Q147" s="631"/>
    </row>
    <row r="148" spans="1:17" ht="18" customHeight="1" x14ac:dyDescent="0.35">
      <c r="A148" s="301">
        <v>140</v>
      </c>
      <c r="B148" s="237"/>
      <c r="C148" s="630"/>
      <c r="D148" s="225" t="s">
        <v>796</v>
      </c>
      <c r="E148" s="183"/>
      <c r="F148" s="555"/>
      <c r="G148" s="300"/>
      <c r="H148" s="633"/>
      <c r="I148" s="632"/>
      <c r="J148" s="632"/>
      <c r="K148" s="288">
        <v>3524</v>
      </c>
      <c r="L148" s="288"/>
      <c r="M148" s="288"/>
      <c r="N148" s="632"/>
      <c r="O148" s="632"/>
      <c r="P148" s="296">
        <f t="shared" ref="P148:P149" si="39">SUM(I148:O148)</f>
        <v>3524</v>
      </c>
      <c r="Q148" s="631"/>
    </row>
    <row r="149" spans="1:17" ht="18" customHeight="1" x14ac:dyDescent="0.35">
      <c r="A149" s="301">
        <v>141</v>
      </c>
      <c r="B149" s="237"/>
      <c r="C149" s="630"/>
      <c r="D149" s="187" t="s">
        <v>860</v>
      </c>
      <c r="E149" s="183"/>
      <c r="F149" s="555"/>
      <c r="G149" s="300"/>
      <c r="H149" s="633"/>
      <c r="I149" s="1194"/>
      <c r="J149" s="1194"/>
      <c r="K149" s="1194"/>
      <c r="L149" s="1194"/>
      <c r="M149" s="1194"/>
      <c r="N149" s="1194"/>
      <c r="O149" s="1194"/>
      <c r="P149" s="1192">
        <f t="shared" si="39"/>
        <v>0</v>
      </c>
      <c r="Q149" s="631"/>
    </row>
    <row r="150" spans="1:17" ht="20.100000000000001" customHeight="1" x14ac:dyDescent="0.35">
      <c r="A150" s="301">
        <v>142</v>
      </c>
      <c r="B150" s="237"/>
      <c r="C150" s="630"/>
      <c r="D150" s="290" t="s">
        <v>595</v>
      </c>
      <c r="E150" s="183">
        <f>F150+G150+P152+Q151</f>
        <v>15414</v>
      </c>
      <c r="F150" s="555"/>
      <c r="G150" s="300"/>
      <c r="H150" s="633"/>
      <c r="I150" s="632"/>
      <c r="J150" s="632"/>
      <c r="K150" s="384"/>
      <c r="L150" s="384"/>
      <c r="M150" s="384"/>
      <c r="N150" s="632"/>
      <c r="O150" s="632"/>
      <c r="P150" s="296"/>
      <c r="Q150" s="631"/>
    </row>
    <row r="151" spans="1:17" ht="18" customHeight="1" x14ac:dyDescent="0.35">
      <c r="A151" s="301">
        <v>143</v>
      </c>
      <c r="B151" s="237"/>
      <c r="C151" s="630"/>
      <c r="D151" s="635" t="s">
        <v>268</v>
      </c>
      <c r="E151" s="183"/>
      <c r="F151" s="555"/>
      <c r="G151" s="300"/>
      <c r="H151" s="633"/>
      <c r="I151" s="1252"/>
      <c r="J151" s="1252"/>
      <c r="K151" s="1251">
        <v>3730</v>
      </c>
      <c r="L151" s="1251"/>
      <c r="M151" s="1251">
        <v>11684</v>
      </c>
      <c r="N151" s="632"/>
      <c r="O151" s="632"/>
      <c r="P151" s="296">
        <f>SUM(I151:O151)</f>
        <v>15414</v>
      </c>
      <c r="Q151" s="631"/>
    </row>
    <row r="152" spans="1:17" ht="18" customHeight="1" x14ac:dyDescent="0.35">
      <c r="A152" s="301">
        <v>144</v>
      </c>
      <c r="B152" s="237"/>
      <c r="C152" s="630"/>
      <c r="D152" s="225" t="s">
        <v>796</v>
      </c>
      <c r="E152" s="183"/>
      <c r="F152" s="555"/>
      <c r="G152" s="300"/>
      <c r="H152" s="633"/>
      <c r="I152" s="632"/>
      <c r="J152" s="632"/>
      <c r="K152" s="288">
        <v>3730</v>
      </c>
      <c r="L152" s="288"/>
      <c r="M152" s="288">
        <v>11684</v>
      </c>
      <c r="N152" s="632"/>
      <c r="O152" s="632"/>
      <c r="P152" s="296">
        <f t="shared" ref="P152:P153" si="40">SUM(I152:O152)</f>
        <v>15414</v>
      </c>
      <c r="Q152" s="631"/>
    </row>
    <row r="153" spans="1:17" ht="18" customHeight="1" x14ac:dyDescent="0.35">
      <c r="A153" s="301">
        <v>145</v>
      </c>
      <c r="B153" s="237"/>
      <c r="C153" s="630"/>
      <c r="D153" s="187" t="s">
        <v>860</v>
      </c>
      <c r="E153" s="183"/>
      <c r="F153" s="555"/>
      <c r="G153" s="300"/>
      <c r="H153" s="633"/>
      <c r="I153" s="1194"/>
      <c r="J153" s="1194"/>
      <c r="K153" s="1194"/>
      <c r="L153" s="1194"/>
      <c r="M153" s="1194"/>
      <c r="N153" s="1194"/>
      <c r="O153" s="1194"/>
      <c r="P153" s="1192">
        <f t="shared" si="40"/>
        <v>0</v>
      </c>
      <c r="Q153" s="631"/>
    </row>
    <row r="154" spans="1:17" ht="20.100000000000001" customHeight="1" x14ac:dyDescent="0.35">
      <c r="A154" s="301">
        <v>146</v>
      </c>
      <c r="B154" s="237"/>
      <c r="C154" s="630"/>
      <c r="D154" s="290" t="s">
        <v>596</v>
      </c>
      <c r="E154" s="183">
        <f>F154+G154+P156+Q155</f>
        <v>64866</v>
      </c>
      <c r="F154" s="555"/>
      <c r="G154" s="300"/>
      <c r="H154" s="633"/>
      <c r="I154" s="632"/>
      <c r="J154" s="632"/>
      <c r="K154" s="384"/>
      <c r="L154" s="384"/>
      <c r="M154" s="384"/>
      <c r="N154" s="632"/>
      <c r="O154" s="632"/>
      <c r="P154" s="296"/>
      <c r="Q154" s="631"/>
    </row>
    <row r="155" spans="1:17" ht="18" customHeight="1" x14ac:dyDescent="0.35">
      <c r="A155" s="301">
        <v>147</v>
      </c>
      <c r="B155" s="237"/>
      <c r="C155" s="630"/>
      <c r="D155" s="635" t="s">
        <v>268</v>
      </c>
      <c r="E155" s="183"/>
      <c r="F155" s="555"/>
      <c r="G155" s="300"/>
      <c r="H155" s="633"/>
      <c r="I155" s="632"/>
      <c r="J155" s="632"/>
      <c r="K155" s="384">
        <v>3330</v>
      </c>
      <c r="L155" s="384"/>
      <c r="M155" s="384">
        <v>61536</v>
      </c>
      <c r="N155" s="632"/>
      <c r="O155" s="632"/>
      <c r="P155" s="357">
        <f>SUM(I155:O155)</f>
        <v>64866</v>
      </c>
      <c r="Q155" s="631"/>
    </row>
    <row r="156" spans="1:17" ht="18" customHeight="1" x14ac:dyDescent="0.35">
      <c r="A156" s="301">
        <v>148</v>
      </c>
      <c r="B156" s="237"/>
      <c r="C156" s="630"/>
      <c r="D156" s="225" t="s">
        <v>796</v>
      </c>
      <c r="E156" s="183"/>
      <c r="F156" s="555"/>
      <c r="G156" s="300"/>
      <c r="H156" s="633"/>
      <c r="I156" s="632"/>
      <c r="J156" s="632"/>
      <c r="K156" s="288">
        <v>3330</v>
      </c>
      <c r="L156" s="288"/>
      <c r="M156" s="288">
        <v>61536</v>
      </c>
      <c r="N156" s="632"/>
      <c r="O156" s="632"/>
      <c r="P156" s="296">
        <f t="shared" ref="P156:P157" si="41">SUM(I156:O156)</f>
        <v>64866</v>
      </c>
      <c r="Q156" s="631"/>
    </row>
    <row r="157" spans="1:17" ht="18" customHeight="1" x14ac:dyDescent="0.35">
      <c r="A157" s="301">
        <v>149</v>
      </c>
      <c r="B157" s="237"/>
      <c r="C157" s="630"/>
      <c r="D157" s="187" t="s">
        <v>860</v>
      </c>
      <c r="E157" s="183"/>
      <c r="F157" s="555"/>
      <c r="G157" s="300"/>
      <c r="H157" s="633"/>
      <c r="I157" s="1194"/>
      <c r="J157" s="1194"/>
      <c r="K157" s="1194">
        <v>9</v>
      </c>
      <c r="L157" s="1194"/>
      <c r="M157" s="1194"/>
      <c r="N157" s="1194"/>
      <c r="O157" s="1194"/>
      <c r="P157" s="1192">
        <f t="shared" si="41"/>
        <v>9</v>
      </c>
      <c r="Q157" s="631"/>
    </row>
    <row r="158" spans="1:17" ht="20.100000000000001" customHeight="1" x14ac:dyDescent="0.35">
      <c r="A158" s="301">
        <v>150</v>
      </c>
      <c r="B158" s="237"/>
      <c r="C158" s="630"/>
      <c r="D158" s="290" t="s">
        <v>597</v>
      </c>
      <c r="E158" s="183">
        <f>F158+G158+P160+Q159</f>
        <v>125441</v>
      </c>
      <c r="F158" s="555"/>
      <c r="G158" s="300"/>
      <c r="H158" s="633"/>
      <c r="I158" s="632"/>
      <c r="J158" s="632"/>
      <c r="K158" s="384"/>
      <c r="L158" s="384"/>
      <c r="M158" s="384"/>
      <c r="N158" s="632"/>
      <c r="O158" s="632"/>
      <c r="P158" s="296"/>
      <c r="Q158" s="631"/>
    </row>
    <row r="159" spans="1:17" ht="18" customHeight="1" x14ac:dyDescent="0.35">
      <c r="A159" s="301">
        <v>151</v>
      </c>
      <c r="B159" s="237"/>
      <c r="C159" s="630"/>
      <c r="D159" s="635" t="s">
        <v>268</v>
      </c>
      <c r="E159" s="183"/>
      <c r="F159" s="555"/>
      <c r="G159" s="300"/>
      <c r="H159" s="633"/>
      <c r="I159" s="632"/>
      <c r="J159" s="632"/>
      <c r="K159" s="384">
        <v>8730</v>
      </c>
      <c r="L159" s="384"/>
      <c r="M159" s="384">
        <v>116711</v>
      </c>
      <c r="N159" s="632"/>
      <c r="O159" s="632"/>
      <c r="P159" s="357">
        <f>SUM(I159:O159)</f>
        <v>125441</v>
      </c>
      <c r="Q159" s="631"/>
    </row>
    <row r="160" spans="1:17" ht="18" customHeight="1" x14ac:dyDescent="0.35">
      <c r="A160" s="301">
        <v>152</v>
      </c>
      <c r="B160" s="237"/>
      <c r="C160" s="630"/>
      <c r="D160" s="225" t="s">
        <v>796</v>
      </c>
      <c r="E160" s="183"/>
      <c r="F160" s="555"/>
      <c r="G160" s="300"/>
      <c r="H160" s="633"/>
      <c r="I160" s="632"/>
      <c r="J160" s="632"/>
      <c r="K160" s="288">
        <v>8730</v>
      </c>
      <c r="L160" s="288"/>
      <c r="M160" s="288">
        <v>116711</v>
      </c>
      <c r="N160" s="632"/>
      <c r="O160" s="632"/>
      <c r="P160" s="296">
        <f t="shared" ref="P160:P161" si="42">SUM(I160:O160)</f>
        <v>125441</v>
      </c>
      <c r="Q160" s="631"/>
    </row>
    <row r="161" spans="1:39" ht="18" customHeight="1" x14ac:dyDescent="0.35">
      <c r="A161" s="301">
        <v>153</v>
      </c>
      <c r="B161" s="237"/>
      <c r="C161" s="630"/>
      <c r="D161" s="187" t="s">
        <v>860</v>
      </c>
      <c r="E161" s="183"/>
      <c r="F161" s="555"/>
      <c r="G161" s="300"/>
      <c r="H161" s="633"/>
      <c r="I161" s="1194"/>
      <c r="J161" s="1194"/>
      <c r="K161" s="1194">
        <v>313</v>
      </c>
      <c r="L161" s="1194"/>
      <c r="M161" s="1194"/>
      <c r="N161" s="1194"/>
      <c r="O161" s="1194"/>
      <c r="P161" s="1192">
        <f t="shared" si="42"/>
        <v>313</v>
      </c>
      <c r="Q161" s="631"/>
    </row>
    <row r="162" spans="1:39" ht="20.100000000000001" customHeight="1" x14ac:dyDescent="0.35">
      <c r="A162" s="301">
        <v>154</v>
      </c>
      <c r="B162" s="237"/>
      <c r="C162" s="630"/>
      <c r="D162" s="290" t="s">
        <v>598</v>
      </c>
      <c r="E162" s="183">
        <f>F162+G162+P164+Q163</f>
        <v>3500</v>
      </c>
      <c r="F162" s="555"/>
      <c r="G162" s="300"/>
      <c r="H162" s="633"/>
      <c r="I162" s="632"/>
      <c r="J162" s="632"/>
      <c r="K162" s="384"/>
      <c r="L162" s="384"/>
      <c r="M162" s="384"/>
      <c r="N162" s="632"/>
      <c r="O162" s="632"/>
      <c r="P162" s="296"/>
      <c r="Q162" s="631"/>
    </row>
    <row r="163" spans="1:39" ht="18" customHeight="1" x14ac:dyDescent="0.35">
      <c r="A163" s="301">
        <v>155</v>
      </c>
      <c r="B163" s="237"/>
      <c r="C163" s="636"/>
      <c r="D163" s="637" t="s">
        <v>268</v>
      </c>
      <c r="E163" s="420"/>
      <c r="F163" s="558"/>
      <c r="G163" s="559"/>
      <c r="H163" s="638"/>
      <c r="I163" s="639"/>
      <c r="J163" s="639"/>
      <c r="K163" s="417"/>
      <c r="L163" s="417"/>
      <c r="M163" s="417">
        <v>3500</v>
      </c>
      <c r="N163" s="639"/>
      <c r="O163" s="639"/>
      <c r="P163" s="418">
        <f>SUM(I163:O163)</f>
        <v>3500</v>
      </c>
      <c r="Q163" s="640"/>
    </row>
    <row r="164" spans="1:39" ht="18" customHeight="1" x14ac:dyDescent="0.35">
      <c r="A164" s="301">
        <v>156</v>
      </c>
      <c r="B164" s="237"/>
      <c r="C164" s="630"/>
      <c r="D164" s="225" t="s">
        <v>796</v>
      </c>
      <c r="E164" s="183"/>
      <c r="F164" s="555"/>
      <c r="G164" s="300"/>
      <c r="H164" s="633"/>
      <c r="I164" s="632"/>
      <c r="J164" s="632"/>
      <c r="K164" s="288"/>
      <c r="L164" s="288"/>
      <c r="M164" s="288">
        <v>3500</v>
      </c>
      <c r="N164" s="632"/>
      <c r="O164" s="632"/>
      <c r="P164" s="1202">
        <f t="shared" ref="P164:P165" si="43">SUM(I164:O164)</f>
        <v>3500</v>
      </c>
      <c r="Q164" s="631"/>
    </row>
    <row r="165" spans="1:39" ht="18" customHeight="1" thickBot="1" x14ac:dyDescent="0.4">
      <c r="A165" s="301">
        <v>157</v>
      </c>
      <c r="B165" s="237"/>
      <c r="C165" s="630"/>
      <c r="D165" s="187" t="s">
        <v>860</v>
      </c>
      <c r="E165" s="183"/>
      <c r="F165" s="555"/>
      <c r="G165" s="300"/>
      <c r="H165" s="633"/>
      <c r="I165" s="1194"/>
      <c r="J165" s="1194"/>
      <c r="K165" s="1194"/>
      <c r="L165" s="1194"/>
      <c r="M165" s="1194"/>
      <c r="N165" s="1194"/>
      <c r="O165" s="1194"/>
      <c r="P165" s="1204">
        <f t="shared" si="43"/>
        <v>0</v>
      </c>
      <c r="Q165" s="631"/>
    </row>
    <row r="166" spans="1:39" ht="24.95" customHeight="1" thickTop="1" x14ac:dyDescent="0.35">
      <c r="A166" s="301">
        <v>158</v>
      </c>
      <c r="B166" s="1270"/>
      <c r="C166" s="1283"/>
      <c r="D166" s="1237" t="s">
        <v>600</v>
      </c>
      <c r="E166" s="1253">
        <f>SUM(E146:E163)</f>
        <v>215632</v>
      </c>
      <c r="F166" s="1253">
        <f>SUM(F146:F163)</f>
        <v>0</v>
      </c>
      <c r="G166" s="1263">
        <f>SUM(G146:G163)</f>
        <v>0</v>
      </c>
      <c r="H166" s="1284"/>
      <c r="I166" s="1285"/>
      <c r="J166" s="1285"/>
      <c r="K166" s="1285"/>
      <c r="L166" s="1285"/>
      <c r="M166" s="1285"/>
      <c r="N166" s="1285"/>
      <c r="O166" s="1285"/>
      <c r="P166" s="1286"/>
      <c r="Q166" s="1287"/>
    </row>
    <row r="167" spans="1:39" s="1267" customFormat="1" ht="17.100000000000001" customHeight="1" x14ac:dyDescent="0.35">
      <c r="A167" s="301">
        <v>159</v>
      </c>
      <c r="B167" s="237"/>
      <c r="C167" s="630"/>
      <c r="D167" s="637" t="s">
        <v>268</v>
      </c>
      <c r="E167" s="555"/>
      <c r="F167" s="555"/>
      <c r="G167" s="300"/>
      <c r="H167" s="633"/>
      <c r="I167" s="1252">
        <f t="shared" ref="I167:O169" si="44">I163+I159+I155+I151+I147</f>
        <v>0</v>
      </c>
      <c r="J167" s="1252">
        <f t="shared" si="44"/>
        <v>0</v>
      </c>
      <c r="K167" s="1252">
        <f t="shared" si="44"/>
        <v>19314</v>
      </c>
      <c r="L167" s="1252">
        <f t="shared" si="44"/>
        <v>0</v>
      </c>
      <c r="M167" s="1252">
        <f t="shared" si="44"/>
        <v>193431</v>
      </c>
      <c r="N167" s="1252">
        <f t="shared" si="44"/>
        <v>0</v>
      </c>
      <c r="O167" s="1252">
        <f t="shared" si="44"/>
        <v>0</v>
      </c>
      <c r="P167" s="1249">
        <f t="shared" ref="P167:P169" si="45">SUM(I167:O167)</f>
        <v>212745</v>
      </c>
      <c r="Q167" s="631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</row>
    <row r="168" spans="1:39" s="1267" customFormat="1" ht="17.100000000000001" customHeight="1" x14ac:dyDescent="0.35">
      <c r="A168" s="301">
        <v>160</v>
      </c>
      <c r="B168" s="237"/>
      <c r="C168" s="630"/>
      <c r="D168" s="225" t="s">
        <v>796</v>
      </c>
      <c r="E168" s="555"/>
      <c r="F168" s="555"/>
      <c r="G168" s="300"/>
      <c r="H168" s="633"/>
      <c r="I168" s="632">
        <f t="shared" si="44"/>
        <v>0</v>
      </c>
      <c r="J168" s="632">
        <f t="shared" si="44"/>
        <v>0</v>
      </c>
      <c r="K168" s="632">
        <f t="shared" si="44"/>
        <v>19314</v>
      </c>
      <c r="L168" s="632">
        <f t="shared" si="44"/>
        <v>0</v>
      </c>
      <c r="M168" s="632">
        <f t="shared" si="44"/>
        <v>193431</v>
      </c>
      <c r="N168" s="632">
        <f t="shared" si="44"/>
        <v>0</v>
      </c>
      <c r="O168" s="632">
        <f t="shared" si="44"/>
        <v>0</v>
      </c>
      <c r="P168" s="296">
        <f t="shared" si="45"/>
        <v>212745</v>
      </c>
      <c r="Q168" s="631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  <c r="AM168" s="174"/>
    </row>
    <row r="169" spans="1:39" s="1267" customFormat="1" ht="17.100000000000001" customHeight="1" thickBot="1" x14ac:dyDescent="0.4">
      <c r="A169" s="301">
        <v>161</v>
      </c>
      <c r="B169" s="237"/>
      <c r="C169" s="1275"/>
      <c r="D169" s="1446" t="s">
        <v>860</v>
      </c>
      <c r="E169" s="622"/>
      <c r="F169" s="622"/>
      <c r="G169" s="1258"/>
      <c r="H169" s="1288"/>
      <c r="I169" s="1452">
        <f t="shared" si="44"/>
        <v>0</v>
      </c>
      <c r="J169" s="1452">
        <f t="shared" si="44"/>
        <v>0</v>
      </c>
      <c r="K169" s="1452">
        <f t="shared" si="44"/>
        <v>322</v>
      </c>
      <c r="L169" s="1452">
        <f t="shared" si="44"/>
        <v>0</v>
      </c>
      <c r="M169" s="1452">
        <f t="shared" si="44"/>
        <v>0</v>
      </c>
      <c r="N169" s="1452">
        <f t="shared" si="44"/>
        <v>0</v>
      </c>
      <c r="O169" s="1452">
        <f t="shared" si="44"/>
        <v>0</v>
      </c>
      <c r="P169" s="1448">
        <f t="shared" si="45"/>
        <v>322</v>
      </c>
      <c r="Q169" s="1277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  <c r="AL169" s="174"/>
      <c r="AM169" s="174"/>
    </row>
    <row r="170" spans="1:39" ht="24.95" customHeight="1" thickTop="1" x14ac:dyDescent="0.35">
      <c r="A170" s="301">
        <v>162</v>
      </c>
      <c r="B170" s="1266"/>
      <c r="C170" s="641">
        <v>10</v>
      </c>
      <c r="D170" s="408" t="s">
        <v>601</v>
      </c>
      <c r="E170" s="563"/>
      <c r="F170" s="563"/>
      <c r="G170" s="534"/>
      <c r="H170" s="561" t="s">
        <v>24</v>
      </c>
      <c r="I170" s="643"/>
      <c r="J170" s="643"/>
      <c r="K170" s="643"/>
      <c r="L170" s="643"/>
      <c r="M170" s="643"/>
      <c r="N170" s="643"/>
      <c r="O170" s="643"/>
      <c r="P170" s="532"/>
      <c r="Q170" s="644"/>
    </row>
    <row r="171" spans="1:39" ht="20.100000000000001" customHeight="1" x14ac:dyDescent="0.35">
      <c r="A171" s="301">
        <v>163</v>
      </c>
      <c r="B171" s="237"/>
      <c r="C171" s="641"/>
      <c r="D171" s="290" t="s">
        <v>603</v>
      </c>
      <c r="E171" s="420">
        <f>F171+G171+P177+336</f>
        <v>14154</v>
      </c>
      <c r="F171" s="563"/>
      <c r="G171" s="534"/>
      <c r="H171" s="642"/>
      <c r="I171" s="643"/>
      <c r="J171" s="643"/>
      <c r="K171" s="406"/>
      <c r="L171" s="406"/>
      <c r="M171" s="406"/>
      <c r="N171" s="643"/>
      <c r="O171" s="643"/>
      <c r="P171" s="532"/>
      <c r="Q171" s="644"/>
    </row>
    <row r="172" spans="1:39" ht="18" customHeight="1" x14ac:dyDescent="0.35">
      <c r="A172" s="301">
        <v>164</v>
      </c>
      <c r="B172" s="237"/>
      <c r="C172" s="645"/>
      <c r="D172" s="637" t="s">
        <v>268</v>
      </c>
      <c r="E172" s="420"/>
      <c r="F172" s="552"/>
      <c r="G172" s="564"/>
      <c r="H172" s="646"/>
      <c r="I172" s="647"/>
      <c r="J172" s="647"/>
      <c r="K172" s="649">
        <v>2642</v>
      </c>
      <c r="L172" s="649"/>
      <c r="M172" s="649">
        <v>11176</v>
      </c>
      <c r="N172" s="647"/>
      <c r="O172" s="647"/>
      <c r="P172" s="418">
        <f>SUM(I172:O172)</f>
        <v>13818</v>
      </c>
      <c r="Q172" s="648"/>
    </row>
    <row r="173" spans="1:39" ht="17.100000000000001" customHeight="1" x14ac:dyDescent="0.35">
      <c r="A173" s="301">
        <v>165</v>
      </c>
      <c r="B173" s="237"/>
      <c r="C173" s="630"/>
      <c r="D173" s="225" t="s">
        <v>796</v>
      </c>
      <c r="E173" s="183"/>
      <c r="F173" s="555"/>
      <c r="G173" s="300"/>
      <c r="H173" s="633"/>
      <c r="I173" s="632"/>
      <c r="J173" s="632"/>
      <c r="K173" s="288">
        <v>2642</v>
      </c>
      <c r="L173" s="288"/>
      <c r="M173" s="288">
        <v>11176</v>
      </c>
      <c r="N173" s="632"/>
      <c r="O173" s="632"/>
      <c r="P173" s="296">
        <f t="shared" ref="P173:P174" si="46">SUM(I173:O173)</f>
        <v>13818</v>
      </c>
      <c r="Q173" s="631"/>
    </row>
    <row r="174" spans="1:39" ht="17.100000000000001" customHeight="1" thickBot="1" x14ac:dyDescent="0.4">
      <c r="A174" s="301">
        <v>166</v>
      </c>
      <c r="B174" s="237"/>
      <c r="C174" s="630"/>
      <c r="D174" s="187" t="s">
        <v>860</v>
      </c>
      <c r="E174" s="183"/>
      <c r="F174" s="555"/>
      <c r="G174" s="300"/>
      <c r="H174" s="633"/>
      <c r="I174" s="1193"/>
      <c r="J174" s="1193"/>
      <c r="K174" s="1194"/>
      <c r="L174" s="1194"/>
      <c r="M174" s="1194"/>
      <c r="N174" s="1193"/>
      <c r="O174" s="1193"/>
      <c r="P174" s="1203">
        <f t="shared" si="46"/>
        <v>0</v>
      </c>
      <c r="Q174" s="631"/>
    </row>
    <row r="175" spans="1:39" ht="24.95" customHeight="1" thickTop="1" x14ac:dyDescent="0.35">
      <c r="A175" s="301">
        <v>167</v>
      </c>
      <c r="B175" s="237"/>
      <c r="C175" s="1283"/>
      <c r="D175" s="1237" t="s">
        <v>602</v>
      </c>
      <c r="E175" s="1253">
        <f>SUM(E171:E172)</f>
        <v>14154</v>
      </c>
      <c r="F175" s="1253">
        <f>SUM(F171:F172)</f>
        <v>0</v>
      </c>
      <c r="G175" s="1263">
        <f>SUM(G171:G172)</f>
        <v>0</v>
      </c>
      <c r="H175" s="1284"/>
      <c r="I175" s="1285"/>
      <c r="J175" s="1285"/>
      <c r="K175" s="1285"/>
      <c r="L175" s="1285"/>
      <c r="M175" s="1285"/>
      <c r="N175" s="1285"/>
      <c r="O175" s="1285"/>
      <c r="P175" s="1286"/>
      <c r="Q175" s="1287"/>
    </row>
    <row r="176" spans="1:39" ht="17.100000000000001" customHeight="1" x14ac:dyDescent="0.35">
      <c r="A176" s="301">
        <v>168</v>
      </c>
      <c r="B176" s="237"/>
      <c r="C176" s="630"/>
      <c r="D176" s="635" t="s">
        <v>268</v>
      </c>
      <c r="E176" s="555"/>
      <c r="F176" s="555"/>
      <c r="G176" s="300"/>
      <c r="H176" s="633"/>
      <c r="I176" s="1252">
        <f t="shared" ref="I176:O178" si="47">I172</f>
        <v>0</v>
      </c>
      <c r="J176" s="1252">
        <f t="shared" si="47"/>
        <v>0</v>
      </c>
      <c r="K176" s="1252">
        <f t="shared" si="47"/>
        <v>2642</v>
      </c>
      <c r="L176" s="1252">
        <f t="shared" si="47"/>
        <v>0</v>
      </c>
      <c r="M176" s="1252">
        <f t="shared" si="47"/>
        <v>11176</v>
      </c>
      <c r="N176" s="1252">
        <f t="shared" si="47"/>
        <v>0</v>
      </c>
      <c r="O176" s="1252">
        <f t="shared" si="47"/>
        <v>0</v>
      </c>
      <c r="P176" s="1249">
        <f t="shared" ref="P176:P178" si="48">SUM(I176:O176)</f>
        <v>13818</v>
      </c>
      <c r="Q176" s="631"/>
    </row>
    <row r="177" spans="1:17" ht="17.100000000000001" customHeight="1" x14ac:dyDescent="0.35">
      <c r="A177" s="301">
        <v>169</v>
      </c>
      <c r="B177" s="237"/>
      <c r="C177" s="630"/>
      <c r="D177" s="225" t="s">
        <v>796</v>
      </c>
      <c r="E177" s="555"/>
      <c r="F177" s="555"/>
      <c r="G177" s="300"/>
      <c r="H177" s="633"/>
      <c r="I177" s="632">
        <f t="shared" si="47"/>
        <v>0</v>
      </c>
      <c r="J177" s="632">
        <f t="shared" si="47"/>
        <v>0</v>
      </c>
      <c r="K177" s="632">
        <f t="shared" si="47"/>
        <v>2642</v>
      </c>
      <c r="L177" s="632">
        <f t="shared" si="47"/>
        <v>0</v>
      </c>
      <c r="M177" s="632">
        <f t="shared" si="47"/>
        <v>11176</v>
      </c>
      <c r="N177" s="632">
        <f t="shared" si="47"/>
        <v>0</v>
      </c>
      <c r="O177" s="632">
        <f t="shared" si="47"/>
        <v>0</v>
      </c>
      <c r="P177" s="296">
        <f t="shared" si="48"/>
        <v>13818</v>
      </c>
      <c r="Q177" s="631"/>
    </row>
    <row r="178" spans="1:17" ht="17.100000000000001" customHeight="1" thickBot="1" x14ac:dyDescent="0.4">
      <c r="A178" s="301">
        <v>170</v>
      </c>
      <c r="B178" s="237"/>
      <c r="C178" s="1275"/>
      <c r="D178" s="1446" t="s">
        <v>860</v>
      </c>
      <c r="E178" s="622"/>
      <c r="F178" s="622"/>
      <c r="G178" s="1258"/>
      <c r="H178" s="1288"/>
      <c r="I178" s="1452">
        <f t="shared" si="47"/>
        <v>0</v>
      </c>
      <c r="J178" s="1452">
        <f t="shared" si="47"/>
        <v>0</v>
      </c>
      <c r="K178" s="1452">
        <f t="shared" si="47"/>
        <v>0</v>
      </c>
      <c r="L178" s="1452">
        <f t="shared" si="47"/>
        <v>0</v>
      </c>
      <c r="M178" s="1452">
        <f t="shared" si="47"/>
        <v>0</v>
      </c>
      <c r="N178" s="1452">
        <f t="shared" si="47"/>
        <v>0</v>
      </c>
      <c r="O178" s="1452">
        <f t="shared" si="47"/>
        <v>0</v>
      </c>
      <c r="P178" s="1448">
        <f t="shared" si="48"/>
        <v>0</v>
      </c>
      <c r="Q178" s="1277"/>
    </row>
    <row r="179" spans="1:17" ht="24.95" customHeight="1" thickTop="1" x14ac:dyDescent="0.35">
      <c r="A179" s="301">
        <v>171</v>
      </c>
      <c r="B179" s="237"/>
      <c r="C179" s="641">
        <v>11</v>
      </c>
      <c r="D179" s="408" t="s">
        <v>604</v>
      </c>
      <c r="E179" s="563"/>
      <c r="F179" s="563"/>
      <c r="G179" s="534"/>
      <c r="H179" s="561" t="s">
        <v>24</v>
      </c>
      <c r="I179" s="643"/>
      <c r="J179" s="643"/>
      <c r="K179" s="643"/>
      <c r="L179" s="643"/>
      <c r="M179" s="643"/>
      <c r="N179" s="643"/>
      <c r="O179" s="643"/>
      <c r="P179" s="532"/>
      <c r="Q179" s="644"/>
    </row>
    <row r="180" spans="1:17" ht="20.100000000000001" customHeight="1" x14ac:dyDescent="0.35">
      <c r="A180" s="301">
        <v>172</v>
      </c>
      <c r="B180" s="237"/>
      <c r="C180" s="641"/>
      <c r="D180" s="290" t="s">
        <v>414</v>
      </c>
      <c r="E180" s="181">
        <f>F180+G180+P182+Q181+20000</f>
        <v>32000</v>
      </c>
      <c r="F180" s="563"/>
      <c r="G180" s="534"/>
      <c r="H180" s="642"/>
      <c r="I180" s="643"/>
      <c r="J180" s="643"/>
      <c r="K180" s="643"/>
      <c r="L180" s="643"/>
      <c r="M180" s="643"/>
      <c r="N180" s="643"/>
      <c r="O180" s="643"/>
      <c r="P180" s="532"/>
      <c r="Q180" s="644"/>
    </row>
    <row r="181" spans="1:17" ht="18" customHeight="1" x14ac:dyDescent="0.35">
      <c r="A181" s="301">
        <v>173</v>
      </c>
      <c r="B181" s="237"/>
      <c r="C181" s="641"/>
      <c r="D181" s="635" t="s">
        <v>268</v>
      </c>
      <c r="E181" s="183"/>
      <c r="F181" s="563"/>
      <c r="G181" s="534"/>
      <c r="H181" s="642"/>
      <c r="I181" s="643"/>
      <c r="J181" s="643"/>
      <c r="K181" s="384">
        <v>12000</v>
      </c>
      <c r="L181" s="384"/>
      <c r="M181" s="384"/>
      <c r="N181" s="643"/>
      <c r="O181" s="643"/>
      <c r="P181" s="357">
        <f>SUM(I181:O181)</f>
        <v>12000</v>
      </c>
      <c r="Q181" s="644"/>
    </row>
    <row r="182" spans="1:17" ht="18" customHeight="1" x14ac:dyDescent="0.35">
      <c r="A182" s="301">
        <v>174</v>
      </c>
      <c r="B182" s="237"/>
      <c r="C182" s="641"/>
      <c r="D182" s="225" t="s">
        <v>796</v>
      </c>
      <c r="E182" s="181"/>
      <c r="F182" s="563"/>
      <c r="G182" s="534"/>
      <c r="H182" s="642"/>
      <c r="I182" s="643"/>
      <c r="J182" s="643"/>
      <c r="K182" s="531">
        <v>12000</v>
      </c>
      <c r="L182" s="531"/>
      <c r="M182" s="531"/>
      <c r="N182" s="643"/>
      <c r="O182" s="643"/>
      <c r="P182" s="296">
        <f t="shared" ref="P182:P183" si="49">SUM(I182:O182)</f>
        <v>12000</v>
      </c>
      <c r="Q182" s="644"/>
    </row>
    <row r="183" spans="1:17" ht="18" customHeight="1" x14ac:dyDescent="0.35">
      <c r="A183" s="301">
        <v>175</v>
      </c>
      <c r="B183" s="237"/>
      <c r="C183" s="641"/>
      <c r="D183" s="187" t="s">
        <v>860</v>
      </c>
      <c r="E183" s="181"/>
      <c r="F183" s="563"/>
      <c r="G183" s="534"/>
      <c r="H183" s="642"/>
      <c r="I183" s="1289"/>
      <c r="J183" s="1289"/>
      <c r="K183" s="1289"/>
      <c r="L183" s="1289"/>
      <c r="M183" s="1289"/>
      <c r="N183" s="1289"/>
      <c r="O183" s="1289"/>
      <c r="P183" s="1192">
        <f t="shared" si="49"/>
        <v>0</v>
      </c>
      <c r="Q183" s="644"/>
    </row>
    <row r="184" spans="1:17" ht="20.100000000000001" customHeight="1" x14ac:dyDescent="0.35">
      <c r="A184" s="301">
        <v>176</v>
      </c>
      <c r="B184" s="237"/>
      <c r="C184" s="641"/>
      <c r="D184" s="290" t="s">
        <v>605</v>
      </c>
      <c r="E184" s="181">
        <f>F184+G184+P186+Q185</f>
        <v>350164</v>
      </c>
      <c r="F184" s="563"/>
      <c r="G184" s="534"/>
      <c r="H184" s="642"/>
      <c r="I184" s="643"/>
      <c r="J184" s="643"/>
      <c r="K184" s="643"/>
      <c r="L184" s="643"/>
      <c r="M184" s="643"/>
      <c r="N184" s="643"/>
      <c r="O184" s="643"/>
      <c r="P184" s="532"/>
      <c r="Q184" s="644"/>
    </row>
    <row r="185" spans="1:17" ht="18" customHeight="1" x14ac:dyDescent="0.35">
      <c r="A185" s="301">
        <v>177</v>
      </c>
      <c r="B185" s="237"/>
      <c r="C185" s="641"/>
      <c r="D185" s="635" t="s">
        <v>268</v>
      </c>
      <c r="E185" s="183"/>
      <c r="F185" s="563"/>
      <c r="G185" s="534"/>
      <c r="H185" s="642"/>
      <c r="I185" s="643"/>
      <c r="J185" s="643"/>
      <c r="K185" s="643"/>
      <c r="L185" s="643"/>
      <c r="M185" s="406">
        <v>350164</v>
      </c>
      <c r="N185" s="643"/>
      <c r="O185" s="643"/>
      <c r="P185" s="357">
        <f>SUM(I185:O185)</f>
        <v>350164</v>
      </c>
      <c r="Q185" s="644"/>
    </row>
    <row r="186" spans="1:17" ht="18" customHeight="1" x14ac:dyDescent="0.35">
      <c r="A186" s="301">
        <v>178</v>
      </c>
      <c r="B186" s="237"/>
      <c r="C186" s="641"/>
      <c r="D186" s="225" t="s">
        <v>796</v>
      </c>
      <c r="E186" s="181"/>
      <c r="F186" s="563"/>
      <c r="G186" s="534"/>
      <c r="H186" s="642"/>
      <c r="I186" s="643"/>
      <c r="J186" s="643"/>
      <c r="K186" s="643"/>
      <c r="L186" s="643"/>
      <c r="M186" s="531">
        <v>350164</v>
      </c>
      <c r="N186" s="643"/>
      <c r="O186" s="643"/>
      <c r="P186" s="296">
        <f t="shared" ref="P186:P187" si="50">SUM(I186:O186)</f>
        <v>350164</v>
      </c>
      <c r="Q186" s="644"/>
    </row>
    <row r="187" spans="1:17" ht="18" customHeight="1" x14ac:dyDescent="0.35">
      <c r="A187" s="301">
        <v>179</v>
      </c>
      <c r="B187" s="237"/>
      <c r="C187" s="641"/>
      <c r="D187" s="187" t="s">
        <v>860</v>
      </c>
      <c r="E187" s="181"/>
      <c r="F187" s="563"/>
      <c r="G187" s="534"/>
      <c r="H187" s="642"/>
      <c r="I187" s="1289"/>
      <c r="J187" s="1289"/>
      <c r="K187" s="1289"/>
      <c r="L187" s="1289"/>
      <c r="M187" s="1289"/>
      <c r="N187" s="1289"/>
      <c r="O187" s="1289"/>
      <c r="P187" s="1192">
        <f t="shared" si="50"/>
        <v>0</v>
      </c>
      <c r="Q187" s="644"/>
    </row>
    <row r="188" spans="1:17" ht="20.100000000000001" customHeight="1" x14ac:dyDescent="0.35">
      <c r="A188" s="301">
        <v>180</v>
      </c>
      <c r="B188" s="237"/>
      <c r="C188" s="641"/>
      <c r="D188" s="290" t="s">
        <v>606</v>
      </c>
      <c r="E188" s="181">
        <f>F188+G188+P190+Q189</f>
        <v>462703</v>
      </c>
      <c r="F188" s="563"/>
      <c r="G188" s="534"/>
      <c r="H188" s="642"/>
      <c r="I188" s="643"/>
      <c r="J188" s="643"/>
      <c r="K188" s="643"/>
      <c r="L188" s="643"/>
      <c r="M188" s="406"/>
      <c r="N188" s="643"/>
      <c r="O188" s="643"/>
      <c r="P188" s="532"/>
      <c r="Q188" s="644"/>
    </row>
    <row r="189" spans="1:17" ht="18" customHeight="1" x14ac:dyDescent="0.35">
      <c r="A189" s="301">
        <v>181</v>
      </c>
      <c r="B189" s="237"/>
      <c r="C189" s="645"/>
      <c r="D189" s="637" t="s">
        <v>268</v>
      </c>
      <c r="E189" s="420"/>
      <c r="F189" s="552"/>
      <c r="G189" s="564"/>
      <c r="H189" s="646"/>
      <c r="I189" s="647"/>
      <c r="J189" s="647"/>
      <c r="K189" s="647"/>
      <c r="L189" s="647"/>
      <c r="M189" s="649">
        <v>462703</v>
      </c>
      <c r="N189" s="647"/>
      <c r="O189" s="647"/>
      <c r="P189" s="418">
        <f>SUM(I189:O189)</f>
        <v>462703</v>
      </c>
      <c r="Q189" s="648"/>
    </row>
    <row r="190" spans="1:17" ht="18" customHeight="1" x14ac:dyDescent="0.35">
      <c r="A190" s="301">
        <v>182</v>
      </c>
      <c r="B190" s="237"/>
      <c r="C190" s="630"/>
      <c r="D190" s="225" t="s">
        <v>796</v>
      </c>
      <c r="E190" s="183"/>
      <c r="F190" s="555"/>
      <c r="G190" s="300"/>
      <c r="H190" s="633"/>
      <c r="I190" s="632"/>
      <c r="J190" s="632"/>
      <c r="K190" s="632"/>
      <c r="L190" s="632"/>
      <c r="M190" s="288">
        <v>462703</v>
      </c>
      <c r="N190" s="632"/>
      <c r="O190" s="632"/>
      <c r="P190" s="1202">
        <f t="shared" ref="P190:P191" si="51">SUM(I190:O190)</f>
        <v>462703</v>
      </c>
      <c r="Q190" s="631"/>
    </row>
    <row r="191" spans="1:17" ht="18" customHeight="1" thickBot="1" x14ac:dyDescent="0.4">
      <c r="A191" s="301">
        <v>183</v>
      </c>
      <c r="B191" s="237"/>
      <c r="C191" s="630"/>
      <c r="D191" s="187" t="s">
        <v>860</v>
      </c>
      <c r="E191" s="183"/>
      <c r="F191" s="555"/>
      <c r="G191" s="300"/>
      <c r="H191" s="633"/>
      <c r="I191" s="1194"/>
      <c r="J191" s="1194"/>
      <c r="K191" s="1194"/>
      <c r="L191" s="1194"/>
      <c r="M191" s="1194"/>
      <c r="N191" s="1194"/>
      <c r="O191" s="1194"/>
      <c r="P191" s="1204">
        <f t="shared" si="51"/>
        <v>0</v>
      </c>
      <c r="Q191" s="631"/>
    </row>
    <row r="192" spans="1:17" ht="24.95" customHeight="1" thickTop="1" x14ac:dyDescent="0.35">
      <c r="A192" s="301">
        <v>184</v>
      </c>
      <c r="B192" s="1270"/>
      <c r="C192" s="1283"/>
      <c r="D192" s="1237" t="s">
        <v>709</v>
      </c>
      <c r="E192" s="1253">
        <f>SUM(E180:E189)</f>
        <v>844867</v>
      </c>
      <c r="F192" s="1253">
        <f>SUM(F181:F189)</f>
        <v>0</v>
      </c>
      <c r="G192" s="1263">
        <f>SUM(G181:G189)</f>
        <v>0</v>
      </c>
      <c r="H192" s="1284"/>
      <c r="I192" s="1285"/>
      <c r="J192" s="1285"/>
      <c r="K192" s="1285"/>
      <c r="L192" s="1285"/>
      <c r="M192" s="1285"/>
      <c r="N192" s="1285"/>
      <c r="O192" s="1285"/>
      <c r="P192" s="1286"/>
      <c r="Q192" s="1287"/>
    </row>
    <row r="193" spans="1:51" s="1267" customFormat="1" ht="17.100000000000001" customHeight="1" x14ac:dyDescent="0.35">
      <c r="A193" s="301">
        <v>185</v>
      </c>
      <c r="B193" s="237"/>
      <c r="C193" s="630"/>
      <c r="D193" s="637" t="s">
        <v>268</v>
      </c>
      <c r="E193" s="555"/>
      <c r="F193" s="555"/>
      <c r="G193" s="300"/>
      <c r="H193" s="633"/>
      <c r="I193" s="1252">
        <f t="shared" ref="I193:O195" si="52">I189+I185+I181</f>
        <v>0</v>
      </c>
      <c r="J193" s="1252">
        <f t="shared" si="52"/>
        <v>0</v>
      </c>
      <c r="K193" s="1252">
        <f t="shared" si="52"/>
        <v>12000</v>
      </c>
      <c r="L193" s="1252">
        <f t="shared" si="52"/>
        <v>0</v>
      </c>
      <c r="M193" s="1252">
        <f t="shared" si="52"/>
        <v>812867</v>
      </c>
      <c r="N193" s="1252">
        <f t="shared" si="52"/>
        <v>0</v>
      </c>
      <c r="O193" s="1252">
        <f t="shared" si="52"/>
        <v>0</v>
      </c>
      <c r="P193" s="1249">
        <f t="shared" ref="P193:P195" si="53">SUM(I193:O193)</f>
        <v>824867</v>
      </c>
      <c r="Q193" s="631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4"/>
      <c r="AM193" s="174"/>
      <c r="AN193" s="174"/>
    </row>
    <row r="194" spans="1:51" s="1267" customFormat="1" ht="17.100000000000001" customHeight="1" x14ac:dyDescent="0.35">
      <c r="A194" s="301">
        <v>186</v>
      </c>
      <c r="B194" s="237"/>
      <c r="C194" s="630"/>
      <c r="D194" s="225" t="s">
        <v>796</v>
      </c>
      <c r="E194" s="555"/>
      <c r="F194" s="555"/>
      <c r="G194" s="300"/>
      <c r="H194" s="633"/>
      <c r="I194" s="632">
        <f t="shared" si="52"/>
        <v>0</v>
      </c>
      <c r="J194" s="632">
        <f t="shared" si="52"/>
        <v>0</v>
      </c>
      <c r="K194" s="632">
        <f t="shared" si="52"/>
        <v>12000</v>
      </c>
      <c r="L194" s="632">
        <f t="shared" si="52"/>
        <v>0</v>
      </c>
      <c r="M194" s="632">
        <f t="shared" si="52"/>
        <v>812867</v>
      </c>
      <c r="N194" s="632">
        <f t="shared" si="52"/>
        <v>0</v>
      </c>
      <c r="O194" s="632">
        <f t="shared" si="52"/>
        <v>0</v>
      </c>
      <c r="P194" s="296">
        <f t="shared" si="53"/>
        <v>824867</v>
      </c>
      <c r="Q194" s="631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</row>
    <row r="195" spans="1:51" s="1267" customFormat="1" ht="17.100000000000001" customHeight="1" thickBot="1" x14ac:dyDescent="0.4">
      <c r="A195" s="301">
        <v>187</v>
      </c>
      <c r="B195" s="237"/>
      <c r="C195" s="1275"/>
      <c r="D195" s="1446" t="s">
        <v>860</v>
      </c>
      <c r="E195" s="622"/>
      <c r="F195" s="622"/>
      <c r="G195" s="1258"/>
      <c r="H195" s="1288"/>
      <c r="I195" s="1452">
        <f t="shared" si="52"/>
        <v>0</v>
      </c>
      <c r="J195" s="1452">
        <f t="shared" si="52"/>
        <v>0</v>
      </c>
      <c r="K195" s="1452">
        <f t="shared" si="52"/>
        <v>0</v>
      </c>
      <c r="L195" s="1452">
        <f t="shared" si="52"/>
        <v>0</v>
      </c>
      <c r="M195" s="1452">
        <f t="shared" si="52"/>
        <v>0</v>
      </c>
      <c r="N195" s="1452">
        <f t="shared" si="52"/>
        <v>0</v>
      </c>
      <c r="O195" s="1452">
        <f t="shared" si="52"/>
        <v>0</v>
      </c>
      <c r="P195" s="1448">
        <f t="shared" si="53"/>
        <v>0</v>
      </c>
      <c r="Q195" s="1277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  <c r="AC195" s="174"/>
      <c r="AD195" s="174"/>
      <c r="AE195" s="174"/>
      <c r="AF195" s="174"/>
      <c r="AG195" s="174"/>
      <c r="AH195" s="174"/>
      <c r="AI195" s="174"/>
      <c r="AJ195" s="174"/>
      <c r="AK195" s="174"/>
      <c r="AL195" s="174"/>
      <c r="AM195" s="174"/>
      <c r="AN195" s="174"/>
    </row>
    <row r="196" spans="1:51" ht="24.95" customHeight="1" thickTop="1" x14ac:dyDescent="0.35">
      <c r="A196" s="301">
        <v>188</v>
      </c>
      <c r="B196" s="1266"/>
      <c r="C196" s="641">
        <v>12</v>
      </c>
      <c r="D196" s="408" t="s">
        <v>607</v>
      </c>
      <c r="E196" s="563"/>
      <c r="F196" s="563"/>
      <c r="G196" s="534"/>
      <c r="H196" s="561" t="s">
        <v>24</v>
      </c>
      <c r="I196" s="643"/>
      <c r="J196" s="643"/>
      <c r="K196" s="643"/>
      <c r="L196" s="643"/>
      <c r="M196" s="643"/>
      <c r="N196" s="643"/>
      <c r="O196" s="643"/>
      <c r="P196" s="532"/>
      <c r="Q196" s="644"/>
    </row>
    <row r="197" spans="1:51" ht="20.100000000000001" customHeight="1" x14ac:dyDescent="0.35">
      <c r="A197" s="301">
        <v>189</v>
      </c>
      <c r="B197" s="237"/>
      <c r="C197" s="641"/>
      <c r="D197" s="290" t="s">
        <v>414</v>
      </c>
      <c r="E197" s="181">
        <f>F197+G197+P199+Q198+254</f>
        <v>1671</v>
      </c>
      <c r="F197" s="563"/>
      <c r="G197" s="534"/>
      <c r="H197" s="642"/>
      <c r="I197" s="643"/>
      <c r="J197" s="643"/>
      <c r="K197" s="643"/>
      <c r="L197" s="643"/>
      <c r="M197" s="643"/>
      <c r="N197" s="643"/>
      <c r="O197" s="643"/>
      <c r="P197" s="532"/>
      <c r="Q197" s="644"/>
    </row>
    <row r="198" spans="1:51" ht="18" customHeight="1" x14ac:dyDescent="0.35">
      <c r="A198" s="301">
        <v>190</v>
      </c>
      <c r="B198" s="237"/>
      <c r="C198" s="641"/>
      <c r="D198" s="635" t="s">
        <v>268</v>
      </c>
      <c r="E198" s="183"/>
      <c r="F198" s="563"/>
      <c r="G198" s="534"/>
      <c r="H198" s="642"/>
      <c r="I198" s="406"/>
      <c r="J198" s="406"/>
      <c r="K198" s="406">
        <v>1417</v>
      </c>
      <c r="L198" s="406"/>
      <c r="M198" s="406"/>
      <c r="N198" s="643"/>
      <c r="O198" s="643"/>
      <c r="P198" s="357">
        <f>SUM(I198:O198)</f>
        <v>1417</v>
      </c>
      <c r="Q198" s="644"/>
    </row>
    <row r="199" spans="1:51" ht="18" customHeight="1" x14ac:dyDescent="0.35">
      <c r="A199" s="301">
        <v>191</v>
      </c>
      <c r="B199" s="237"/>
      <c r="C199" s="641"/>
      <c r="D199" s="225" t="s">
        <v>796</v>
      </c>
      <c r="E199" s="181"/>
      <c r="F199" s="563"/>
      <c r="G199" s="534"/>
      <c r="H199" s="642"/>
      <c r="I199" s="531"/>
      <c r="J199" s="531"/>
      <c r="K199" s="531">
        <v>1417</v>
      </c>
      <c r="L199" s="531"/>
      <c r="M199" s="531"/>
      <c r="N199" s="643"/>
      <c r="O199" s="643"/>
      <c r="P199" s="296">
        <f t="shared" ref="P199:P200" si="54">SUM(I199:O199)</f>
        <v>1417</v>
      </c>
      <c r="Q199" s="644"/>
    </row>
    <row r="200" spans="1:51" ht="18" customHeight="1" x14ac:dyDescent="0.35">
      <c r="A200" s="301">
        <v>192</v>
      </c>
      <c r="B200" s="237"/>
      <c r="C200" s="641"/>
      <c r="D200" s="187" t="s">
        <v>860</v>
      </c>
      <c r="E200" s="181"/>
      <c r="F200" s="563"/>
      <c r="G200" s="534"/>
      <c r="H200" s="642"/>
      <c r="I200" s="1289"/>
      <c r="J200" s="1289"/>
      <c r="K200" s="1289"/>
      <c r="L200" s="1289"/>
      <c r="M200" s="1289"/>
      <c r="N200" s="1289"/>
      <c r="O200" s="1289"/>
      <c r="P200" s="1192">
        <f t="shared" si="54"/>
        <v>0</v>
      </c>
      <c r="Q200" s="644"/>
    </row>
    <row r="201" spans="1:51" ht="20.100000000000001" customHeight="1" x14ac:dyDescent="0.35">
      <c r="A201" s="301">
        <v>193</v>
      </c>
      <c r="B201" s="237"/>
      <c r="C201" s="641"/>
      <c r="D201" s="290" t="s">
        <v>609</v>
      </c>
      <c r="E201" s="181">
        <f>F201+G201+P203+Q202</f>
        <v>8763</v>
      </c>
      <c r="F201" s="563"/>
      <c r="G201" s="534"/>
      <c r="H201" s="642"/>
      <c r="I201" s="406"/>
      <c r="J201" s="406"/>
      <c r="K201" s="406"/>
      <c r="L201" s="406"/>
      <c r="M201" s="406"/>
      <c r="N201" s="643"/>
      <c r="O201" s="643"/>
      <c r="P201" s="532"/>
      <c r="Q201" s="644"/>
    </row>
    <row r="202" spans="1:51" ht="18" customHeight="1" x14ac:dyDescent="0.35">
      <c r="A202" s="301">
        <v>194</v>
      </c>
      <c r="B202" s="237"/>
      <c r="C202" s="645"/>
      <c r="D202" s="637" t="s">
        <v>268</v>
      </c>
      <c r="E202" s="420"/>
      <c r="F202" s="552"/>
      <c r="G202" s="564"/>
      <c r="H202" s="646"/>
      <c r="I202" s="649"/>
      <c r="J202" s="649"/>
      <c r="K202" s="649"/>
      <c r="L202" s="649"/>
      <c r="M202" s="649">
        <v>8763</v>
      </c>
      <c r="N202" s="647"/>
      <c r="O202" s="647"/>
      <c r="P202" s="418">
        <f>SUM(I202:O202)</f>
        <v>8763</v>
      </c>
      <c r="Q202" s="648"/>
    </row>
    <row r="203" spans="1:51" ht="18" customHeight="1" x14ac:dyDescent="0.35">
      <c r="A203" s="301">
        <v>195</v>
      </c>
      <c r="B203" s="237"/>
      <c r="C203" s="630"/>
      <c r="D203" s="225" t="s">
        <v>796</v>
      </c>
      <c r="E203" s="183"/>
      <c r="F203" s="555"/>
      <c r="G203" s="300"/>
      <c r="H203" s="633"/>
      <c r="I203" s="288"/>
      <c r="J203" s="288"/>
      <c r="K203" s="288"/>
      <c r="L203" s="288"/>
      <c r="M203" s="288">
        <v>8763</v>
      </c>
      <c r="N203" s="632"/>
      <c r="O203" s="632"/>
      <c r="P203" s="1202">
        <f t="shared" ref="P203:P204" si="55">SUM(I203:O203)</f>
        <v>8763</v>
      </c>
      <c r="Q203" s="631"/>
    </row>
    <row r="204" spans="1:51" ht="18" customHeight="1" thickBot="1" x14ac:dyDescent="0.4">
      <c r="A204" s="301">
        <v>196</v>
      </c>
      <c r="B204" s="237"/>
      <c r="C204" s="630"/>
      <c r="D204" s="187" t="s">
        <v>860</v>
      </c>
      <c r="E204" s="183"/>
      <c r="F204" s="555"/>
      <c r="G204" s="300"/>
      <c r="H204" s="633"/>
      <c r="I204" s="1194"/>
      <c r="J204" s="1194"/>
      <c r="K204" s="1194"/>
      <c r="L204" s="1194"/>
      <c r="M204" s="1194"/>
      <c r="N204" s="1194"/>
      <c r="O204" s="1194"/>
      <c r="P204" s="1204">
        <f t="shared" si="55"/>
        <v>0</v>
      </c>
      <c r="Q204" s="631"/>
    </row>
    <row r="205" spans="1:51" ht="24.95" customHeight="1" thickTop="1" x14ac:dyDescent="0.35">
      <c r="A205" s="301">
        <v>197</v>
      </c>
      <c r="B205" s="1270"/>
      <c r="C205" s="1283"/>
      <c r="D205" s="1237" t="s">
        <v>608</v>
      </c>
      <c r="E205" s="1253">
        <f>SUM(E197:E202)</f>
        <v>10434</v>
      </c>
      <c r="F205" s="1253">
        <f>SUM(F198:F202)</f>
        <v>0</v>
      </c>
      <c r="G205" s="1263">
        <f>SUM(G198:G202)</f>
        <v>0</v>
      </c>
      <c r="H205" s="1284"/>
      <c r="I205" s="1285"/>
      <c r="J205" s="1285"/>
      <c r="K205" s="1285"/>
      <c r="L205" s="1285"/>
      <c r="M205" s="1285"/>
      <c r="N205" s="1285"/>
      <c r="O205" s="1285"/>
      <c r="P205" s="1286"/>
      <c r="Q205" s="1287"/>
    </row>
    <row r="206" spans="1:51" s="1267" customFormat="1" ht="17.100000000000001" customHeight="1" x14ac:dyDescent="0.35">
      <c r="A206" s="301">
        <v>198</v>
      </c>
      <c r="B206" s="237"/>
      <c r="C206" s="630"/>
      <c r="D206" s="637" t="s">
        <v>268</v>
      </c>
      <c r="E206" s="555"/>
      <c r="F206" s="555"/>
      <c r="G206" s="300"/>
      <c r="H206" s="633"/>
      <c r="I206" s="1252">
        <f t="shared" ref="I206:O208" si="56">I202+I198</f>
        <v>0</v>
      </c>
      <c r="J206" s="1252">
        <f t="shared" si="56"/>
        <v>0</v>
      </c>
      <c r="K206" s="1252">
        <f t="shared" si="56"/>
        <v>1417</v>
      </c>
      <c r="L206" s="1252">
        <f t="shared" si="56"/>
        <v>0</v>
      </c>
      <c r="M206" s="1252">
        <f t="shared" si="56"/>
        <v>8763</v>
      </c>
      <c r="N206" s="1252">
        <f t="shared" si="56"/>
        <v>0</v>
      </c>
      <c r="O206" s="1252">
        <f t="shared" si="56"/>
        <v>0</v>
      </c>
      <c r="P206" s="1249">
        <f t="shared" ref="P206:P208" si="57">SUM(I206:O206)</f>
        <v>10180</v>
      </c>
      <c r="Q206" s="631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4"/>
      <c r="AN206" s="174"/>
      <c r="AO206" s="174"/>
      <c r="AP206" s="174"/>
      <c r="AQ206" s="174"/>
      <c r="AR206" s="174"/>
      <c r="AS206" s="174"/>
      <c r="AT206" s="174"/>
      <c r="AU206" s="174"/>
      <c r="AV206" s="174"/>
      <c r="AW206" s="174"/>
      <c r="AX206" s="174"/>
      <c r="AY206" s="174"/>
    </row>
    <row r="207" spans="1:51" s="1267" customFormat="1" ht="17.100000000000001" customHeight="1" x14ac:dyDescent="0.35">
      <c r="A207" s="301">
        <v>199</v>
      </c>
      <c r="B207" s="237"/>
      <c r="C207" s="630"/>
      <c r="D207" s="225" t="s">
        <v>796</v>
      </c>
      <c r="E207" s="555"/>
      <c r="F207" s="555"/>
      <c r="G207" s="300"/>
      <c r="H207" s="633"/>
      <c r="I207" s="632">
        <f t="shared" si="56"/>
        <v>0</v>
      </c>
      <c r="J207" s="632">
        <f t="shared" si="56"/>
        <v>0</v>
      </c>
      <c r="K207" s="632">
        <f t="shared" si="56"/>
        <v>1417</v>
      </c>
      <c r="L207" s="632">
        <f t="shared" si="56"/>
        <v>0</v>
      </c>
      <c r="M207" s="632">
        <f t="shared" si="56"/>
        <v>8763</v>
      </c>
      <c r="N207" s="632">
        <f t="shared" si="56"/>
        <v>0</v>
      </c>
      <c r="O207" s="632">
        <f t="shared" si="56"/>
        <v>0</v>
      </c>
      <c r="P207" s="296">
        <f t="shared" si="57"/>
        <v>10180</v>
      </c>
      <c r="Q207" s="631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4"/>
      <c r="AH207" s="174"/>
      <c r="AI207" s="174"/>
      <c r="AJ207" s="174"/>
      <c r="AK207" s="174"/>
      <c r="AL207" s="174"/>
      <c r="AM207" s="174"/>
      <c r="AN207" s="174"/>
      <c r="AO207" s="174"/>
      <c r="AP207" s="174"/>
      <c r="AQ207" s="174"/>
      <c r="AR207" s="174"/>
      <c r="AS207" s="174"/>
      <c r="AT207" s="174"/>
      <c r="AU207" s="174"/>
      <c r="AV207" s="174"/>
      <c r="AW207" s="174"/>
      <c r="AX207" s="174"/>
      <c r="AY207" s="174"/>
    </row>
    <row r="208" spans="1:51" s="1267" customFormat="1" ht="17.100000000000001" customHeight="1" thickBot="1" x14ac:dyDescent="0.4">
      <c r="A208" s="301">
        <v>200</v>
      </c>
      <c r="B208" s="237"/>
      <c r="C208" s="1275"/>
      <c r="D208" s="1446" t="s">
        <v>860</v>
      </c>
      <c r="E208" s="622"/>
      <c r="F208" s="622"/>
      <c r="G208" s="1258"/>
      <c r="H208" s="1288"/>
      <c r="I208" s="1452">
        <f t="shared" si="56"/>
        <v>0</v>
      </c>
      <c r="J208" s="1452">
        <f t="shared" si="56"/>
        <v>0</v>
      </c>
      <c r="K208" s="1452">
        <f t="shared" si="56"/>
        <v>0</v>
      </c>
      <c r="L208" s="1452">
        <f t="shared" si="56"/>
        <v>0</v>
      </c>
      <c r="M208" s="1452">
        <f t="shared" si="56"/>
        <v>0</v>
      </c>
      <c r="N208" s="1452">
        <f t="shared" si="56"/>
        <v>0</v>
      </c>
      <c r="O208" s="1452">
        <f t="shared" si="56"/>
        <v>0</v>
      </c>
      <c r="P208" s="1448">
        <f t="shared" si="57"/>
        <v>0</v>
      </c>
      <c r="Q208" s="1277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4"/>
      <c r="AH208" s="174"/>
      <c r="AI208" s="174"/>
      <c r="AJ208" s="174"/>
      <c r="AK208" s="174"/>
      <c r="AL208" s="174"/>
      <c r="AM208" s="174"/>
      <c r="AN208" s="174"/>
      <c r="AO208" s="174"/>
      <c r="AP208" s="174"/>
      <c r="AQ208" s="174"/>
      <c r="AR208" s="174"/>
      <c r="AS208" s="174"/>
      <c r="AT208" s="174"/>
      <c r="AU208" s="174"/>
      <c r="AV208" s="174"/>
      <c r="AW208" s="174"/>
      <c r="AX208" s="174"/>
      <c r="AY208" s="174"/>
    </row>
    <row r="209" spans="1:17" ht="24.95" customHeight="1" thickTop="1" x14ac:dyDescent="0.35">
      <c r="A209" s="301">
        <v>201</v>
      </c>
      <c r="B209" s="1266"/>
      <c r="C209" s="641">
        <v>13</v>
      </c>
      <c r="D209" s="408" t="s">
        <v>611</v>
      </c>
      <c r="E209" s="563"/>
      <c r="F209" s="563"/>
      <c r="G209" s="534"/>
      <c r="H209" s="561" t="s">
        <v>24</v>
      </c>
      <c r="I209" s="643"/>
      <c r="J209" s="643"/>
      <c r="K209" s="643"/>
      <c r="L209" s="643"/>
      <c r="M209" s="643"/>
      <c r="N209" s="643"/>
      <c r="O209" s="643"/>
      <c r="P209" s="532"/>
      <c r="Q209" s="644"/>
    </row>
    <row r="210" spans="1:17" ht="20.100000000000001" customHeight="1" x14ac:dyDescent="0.35">
      <c r="A210" s="301">
        <v>202</v>
      </c>
      <c r="B210" s="237"/>
      <c r="C210" s="641"/>
      <c r="D210" s="290" t="s">
        <v>414</v>
      </c>
      <c r="E210" s="181">
        <f>F210+G210+P212+Q211+5066</f>
        <v>11416</v>
      </c>
      <c r="F210" s="563"/>
      <c r="G210" s="534"/>
      <c r="H210" s="642"/>
      <c r="I210" s="643"/>
      <c r="J210" s="643"/>
      <c r="K210" s="643"/>
      <c r="L210" s="643"/>
      <c r="M210" s="643"/>
      <c r="N210" s="643"/>
      <c r="O210" s="643"/>
      <c r="P210" s="532"/>
      <c r="Q210" s="644"/>
    </row>
    <row r="211" spans="1:17" ht="18" customHeight="1" x14ac:dyDescent="0.35">
      <c r="A211" s="301">
        <v>203</v>
      </c>
      <c r="B211" s="237"/>
      <c r="C211" s="641"/>
      <c r="D211" s="635" t="s">
        <v>268</v>
      </c>
      <c r="E211" s="183"/>
      <c r="F211" s="563"/>
      <c r="G211" s="534"/>
      <c r="H211" s="642"/>
      <c r="I211" s="643"/>
      <c r="J211" s="643"/>
      <c r="K211" s="406">
        <f>63627-28829-5461-15113-2286-2540-1524-1524</f>
        <v>6350</v>
      </c>
      <c r="L211" s="643"/>
      <c r="M211" s="643"/>
      <c r="N211" s="643"/>
      <c r="O211" s="643"/>
      <c r="P211" s="357">
        <f>SUM(I211:O211)</f>
        <v>6350</v>
      </c>
      <c r="Q211" s="644"/>
    </row>
    <row r="212" spans="1:17" ht="18" customHeight="1" x14ac:dyDescent="0.35">
      <c r="A212" s="301">
        <v>204</v>
      </c>
      <c r="B212" s="237"/>
      <c r="C212" s="641"/>
      <c r="D212" s="225" t="s">
        <v>796</v>
      </c>
      <c r="E212" s="181"/>
      <c r="F212" s="563"/>
      <c r="G212" s="534"/>
      <c r="H212" s="642"/>
      <c r="I212" s="643"/>
      <c r="J212" s="643"/>
      <c r="K212" s="531">
        <v>6350</v>
      </c>
      <c r="L212" s="643"/>
      <c r="M212" s="643"/>
      <c r="N212" s="643"/>
      <c r="O212" s="643"/>
      <c r="P212" s="296">
        <f t="shared" ref="P212:P213" si="58">SUM(I212:O212)</f>
        <v>6350</v>
      </c>
      <c r="Q212" s="644"/>
    </row>
    <row r="213" spans="1:17" ht="18" customHeight="1" x14ac:dyDescent="0.35">
      <c r="A213" s="301">
        <v>205</v>
      </c>
      <c r="B213" s="237"/>
      <c r="C213" s="641"/>
      <c r="D213" s="187" t="s">
        <v>860</v>
      </c>
      <c r="E213" s="181"/>
      <c r="F213" s="563"/>
      <c r="G213" s="534"/>
      <c r="H213" s="642"/>
      <c r="I213" s="1289"/>
      <c r="J213" s="1289"/>
      <c r="K213" s="1289"/>
      <c r="L213" s="1289"/>
      <c r="M213" s="1289"/>
      <c r="N213" s="1289"/>
      <c r="O213" s="1289"/>
      <c r="P213" s="1192">
        <f t="shared" si="58"/>
        <v>0</v>
      </c>
      <c r="Q213" s="644"/>
    </row>
    <row r="214" spans="1:17" ht="20.100000000000001" customHeight="1" x14ac:dyDescent="0.35">
      <c r="A214" s="301">
        <v>206</v>
      </c>
      <c r="B214" s="237"/>
      <c r="C214" s="641"/>
      <c r="D214" s="290" t="s">
        <v>689</v>
      </c>
      <c r="E214" s="181">
        <f>F214+G214+P216+Q215</f>
        <v>28829</v>
      </c>
      <c r="F214" s="563"/>
      <c r="G214" s="534"/>
      <c r="H214" s="642"/>
      <c r="I214" s="643"/>
      <c r="J214" s="643"/>
      <c r="K214" s="406"/>
      <c r="L214" s="643"/>
      <c r="M214" s="643"/>
      <c r="N214" s="643"/>
      <c r="O214" s="643"/>
      <c r="P214" s="407"/>
      <c r="Q214" s="644"/>
    </row>
    <row r="215" spans="1:17" ht="18" customHeight="1" x14ac:dyDescent="0.35">
      <c r="A215" s="301">
        <v>207</v>
      </c>
      <c r="B215" s="237"/>
      <c r="C215" s="641"/>
      <c r="D215" s="635" t="s">
        <v>268</v>
      </c>
      <c r="E215" s="183"/>
      <c r="F215" s="563"/>
      <c r="G215" s="534"/>
      <c r="H215" s="642"/>
      <c r="I215" s="643"/>
      <c r="J215" s="643"/>
      <c r="K215" s="406">
        <v>28829</v>
      </c>
      <c r="L215" s="643"/>
      <c r="M215" s="643"/>
      <c r="N215" s="643"/>
      <c r="O215" s="643"/>
      <c r="P215" s="357">
        <f>SUM(I215:O215)</f>
        <v>28829</v>
      </c>
      <c r="Q215" s="644"/>
    </row>
    <row r="216" spans="1:17" ht="18" customHeight="1" x14ac:dyDescent="0.35">
      <c r="A216" s="301">
        <v>208</v>
      </c>
      <c r="B216" s="237"/>
      <c r="C216" s="641"/>
      <c r="D216" s="225" t="s">
        <v>796</v>
      </c>
      <c r="E216" s="181"/>
      <c r="F216" s="563"/>
      <c r="G216" s="534"/>
      <c r="H216" s="642"/>
      <c r="I216" s="643"/>
      <c r="J216" s="643"/>
      <c r="K216" s="531">
        <v>28829</v>
      </c>
      <c r="L216" s="643"/>
      <c r="M216" s="643"/>
      <c r="N216" s="643"/>
      <c r="O216" s="643"/>
      <c r="P216" s="296">
        <f t="shared" ref="P216:P217" si="59">SUM(I216:O216)</f>
        <v>28829</v>
      </c>
      <c r="Q216" s="644"/>
    </row>
    <row r="217" spans="1:17" ht="18" customHeight="1" x14ac:dyDescent="0.35">
      <c r="A217" s="301">
        <v>209</v>
      </c>
      <c r="B217" s="237"/>
      <c r="C217" s="641"/>
      <c r="D217" s="187" t="s">
        <v>860</v>
      </c>
      <c r="E217" s="181"/>
      <c r="F217" s="563"/>
      <c r="G217" s="534"/>
      <c r="H217" s="642"/>
      <c r="I217" s="1289"/>
      <c r="J217" s="1289"/>
      <c r="K217" s="1289">
        <v>14415</v>
      </c>
      <c r="L217" s="1289"/>
      <c r="M217" s="1289"/>
      <c r="N217" s="1289"/>
      <c r="O217" s="1289"/>
      <c r="P217" s="1192">
        <f t="shared" si="59"/>
        <v>14415</v>
      </c>
      <c r="Q217" s="644"/>
    </row>
    <row r="218" spans="1:17" ht="20.100000000000001" customHeight="1" x14ac:dyDescent="0.35">
      <c r="A218" s="301">
        <v>210</v>
      </c>
      <c r="B218" s="237"/>
      <c r="C218" s="641"/>
      <c r="D218" s="290" t="s">
        <v>617</v>
      </c>
      <c r="E218" s="181">
        <f>F218+G218+P220+Q219</f>
        <v>20701</v>
      </c>
      <c r="F218" s="563"/>
      <c r="G218" s="534"/>
      <c r="H218" s="642"/>
      <c r="I218" s="643"/>
      <c r="J218" s="643"/>
      <c r="K218" s="643"/>
      <c r="L218" s="643"/>
      <c r="M218" s="643"/>
      <c r="N218" s="643"/>
      <c r="O218" s="643"/>
      <c r="P218" s="532"/>
      <c r="Q218" s="644"/>
    </row>
    <row r="219" spans="1:17" ht="18" customHeight="1" x14ac:dyDescent="0.35">
      <c r="A219" s="301">
        <v>211</v>
      </c>
      <c r="B219" s="237"/>
      <c r="C219" s="641"/>
      <c r="D219" s="635" t="s">
        <v>268</v>
      </c>
      <c r="E219" s="183"/>
      <c r="F219" s="563"/>
      <c r="G219" s="534"/>
      <c r="H219" s="642"/>
      <c r="I219" s="643"/>
      <c r="J219" s="643"/>
      <c r="K219" s="406">
        <v>5461</v>
      </c>
      <c r="L219" s="643"/>
      <c r="M219" s="406">
        <v>15240</v>
      </c>
      <c r="N219" s="643"/>
      <c r="O219" s="643"/>
      <c r="P219" s="357">
        <f>SUM(I219:O219)</f>
        <v>20701</v>
      </c>
      <c r="Q219" s="644"/>
    </row>
    <row r="220" spans="1:17" ht="18" customHeight="1" x14ac:dyDescent="0.35">
      <c r="A220" s="301">
        <v>212</v>
      </c>
      <c r="B220" s="237"/>
      <c r="C220" s="641"/>
      <c r="D220" s="225" t="s">
        <v>796</v>
      </c>
      <c r="E220" s="181"/>
      <c r="F220" s="563"/>
      <c r="G220" s="534"/>
      <c r="H220" s="642"/>
      <c r="I220" s="643"/>
      <c r="J220" s="643"/>
      <c r="K220" s="531">
        <v>5461</v>
      </c>
      <c r="L220" s="643"/>
      <c r="M220" s="531">
        <v>15240</v>
      </c>
      <c r="N220" s="643"/>
      <c r="O220" s="643"/>
      <c r="P220" s="296">
        <f t="shared" ref="P220:P221" si="60">SUM(I220:O220)</f>
        <v>20701</v>
      </c>
      <c r="Q220" s="644"/>
    </row>
    <row r="221" spans="1:17" ht="18" customHeight="1" x14ac:dyDescent="0.35">
      <c r="A221" s="301">
        <v>213</v>
      </c>
      <c r="B221" s="237"/>
      <c r="C221" s="641"/>
      <c r="D221" s="187" t="s">
        <v>860</v>
      </c>
      <c r="E221" s="181"/>
      <c r="F221" s="563"/>
      <c r="G221" s="534"/>
      <c r="H221" s="642"/>
      <c r="I221" s="1289"/>
      <c r="J221" s="1289"/>
      <c r="K221" s="1289"/>
      <c r="L221" s="1289"/>
      <c r="M221" s="1289"/>
      <c r="N221" s="1289"/>
      <c r="O221" s="1289"/>
      <c r="P221" s="1192">
        <f t="shared" si="60"/>
        <v>0</v>
      </c>
      <c r="Q221" s="644"/>
    </row>
    <row r="222" spans="1:17" ht="20.100000000000001" customHeight="1" x14ac:dyDescent="0.35">
      <c r="A222" s="301">
        <v>214</v>
      </c>
      <c r="B222" s="237"/>
      <c r="C222" s="641"/>
      <c r="D222" s="290" t="s">
        <v>618</v>
      </c>
      <c r="E222" s="181">
        <f>F222+G222+P224+Q223</f>
        <v>53213</v>
      </c>
      <c r="F222" s="563"/>
      <c r="G222" s="534"/>
      <c r="H222" s="642"/>
      <c r="I222" s="643"/>
      <c r="J222" s="643"/>
      <c r="K222" s="643"/>
      <c r="L222" s="643"/>
      <c r="M222" s="643"/>
      <c r="N222" s="643"/>
      <c r="O222" s="643"/>
      <c r="P222" s="532"/>
      <c r="Q222" s="644"/>
    </row>
    <row r="223" spans="1:17" ht="18" customHeight="1" x14ac:dyDescent="0.35">
      <c r="A223" s="301">
        <v>215</v>
      </c>
      <c r="B223" s="237"/>
      <c r="C223" s="641"/>
      <c r="D223" s="635" t="s">
        <v>268</v>
      </c>
      <c r="E223" s="183"/>
      <c r="F223" s="563"/>
      <c r="G223" s="534"/>
      <c r="H223" s="642"/>
      <c r="I223" s="643"/>
      <c r="J223" s="643"/>
      <c r="K223" s="406">
        <v>15113</v>
      </c>
      <c r="L223" s="643"/>
      <c r="M223" s="406">
        <v>38100</v>
      </c>
      <c r="N223" s="643"/>
      <c r="O223" s="643"/>
      <c r="P223" s="357">
        <f>SUM(I223:O223)</f>
        <v>53213</v>
      </c>
      <c r="Q223" s="644"/>
    </row>
    <row r="224" spans="1:17" ht="18" customHeight="1" x14ac:dyDescent="0.35">
      <c r="A224" s="301">
        <v>216</v>
      </c>
      <c r="B224" s="237"/>
      <c r="C224" s="641"/>
      <c r="D224" s="225" t="s">
        <v>796</v>
      </c>
      <c r="E224" s="181"/>
      <c r="F224" s="563"/>
      <c r="G224" s="534"/>
      <c r="H224" s="642"/>
      <c r="I224" s="643"/>
      <c r="J224" s="643"/>
      <c r="K224" s="531">
        <v>15113</v>
      </c>
      <c r="L224" s="643"/>
      <c r="M224" s="531">
        <v>38100</v>
      </c>
      <c r="N224" s="643"/>
      <c r="O224" s="643"/>
      <c r="P224" s="296">
        <f t="shared" ref="P224:P225" si="61">SUM(I224:O224)</f>
        <v>53213</v>
      </c>
      <c r="Q224" s="644"/>
    </row>
    <row r="225" spans="1:17" ht="18" customHeight="1" x14ac:dyDescent="0.35">
      <c r="A225" s="301">
        <v>217</v>
      </c>
      <c r="B225" s="237"/>
      <c r="C225" s="641"/>
      <c r="D225" s="187" t="s">
        <v>860</v>
      </c>
      <c r="E225" s="181"/>
      <c r="F225" s="563"/>
      <c r="G225" s="534"/>
      <c r="H225" s="642"/>
      <c r="I225" s="1289"/>
      <c r="J225" s="1289"/>
      <c r="K225" s="1289"/>
      <c r="L225" s="1289"/>
      <c r="M225" s="1289"/>
      <c r="N225" s="1289"/>
      <c r="O225" s="1289"/>
      <c r="P225" s="1192">
        <f t="shared" si="61"/>
        <v>0</v>
      </c>
      <c r="Q225" s="644"/>
    </row>
    <row r="226" spans="1:17" ht="20.100000000000001" customHeight="1" x14ac:dyDescent="0.35">
      <c r="A226" s="301">
        <v>218</v>
      </c>
      <c r="B226" s="237"/>
      <c r="C226" s="641"/>
      <c r="D226" s="290" t="s">
        <v>619</v>
      </c>
      <c r="E226" s="181">
        <f>F226+G226+P228+Q227</f>
        <v>9741</v>
      </c>
      <c r="F226" s="563"/>
      <c r="G226" s="534"/>
      <c r="H226" s="642"/>
      <c r="I226" s="643"/>
      <c r="J226" s="643"/>
      <c r="K226" s="643"/>
      <c r="L226" s="643"/>
      <c r="M226" s="643"/>
      <c r="N226" s="643"/>
      <c r="O226" s="643"/>
      <c r="P226" s="532"/>
      <c r="Q226" s="644"/>
    </row>
    <row r="227" spans="1:17" ht="18" customHeight="1" x14ac:dyDescent="0.35">
      <c r="A227" s="301">
        <v>219</v>
      </c>
      <c r="B227" s="237"/>
      <c r="C227" s="641"/>
      <c r="D227" s="635" t="s">
        <v>268</v>
      </c>
      <c r="E227" s="183"/>
      <c r="F227" s="563"/>
      <c r="G227" s="534"/>
      <c r="H227" s="642"/>
      <c r="I227" s="643"/>
      <c r="J227" s="643"/>
      <c r="K227" s="406">
        <v>2286</v>
      </c>
      <c r="L227" s="643"/>
      <c r="M227" s="406">
        <v>7455</v>
      </c>
      <c r="N227" s="643"/>
      <c r="O227" s="643"/>
      <c r="P227" s="357">
        <f>SUM(I227:O227)</f>
        <v>9741</v>
      </c>
      <c r="Q227" s="644"/>
    </row>
    <row r="228" spans="1:17" ht="18" customHeight="1" x14ac:dyDescent="0.35">
      <c r="A228" s="301">
        <v>220</v>
      </c>
      <c r="B228" s="237"/>
      <c r="C228" s="641"/>
      <c r="D228" s="225" t="s">
        <v>796</v>
      </c>
      <c r="E228" s="181"/>
      <c r="F228" s="563"/>
      <c r="G228" s="534"/>
      <c r="H228" s="642"/>
      <c r="I228" s="643"/>
      <c r="J228" s="643"/>
      <c r="K228" s="531">
        <v>2286</v>
      </c>
      <c r="L228" s="643"/>
      <c r="M228" s="531">
        <v>7455</v>
      </c>
      <c r="N228" s="643"/>
      <c r="O228" s="643"/>
      <c r="P228" s="296">
        <f t="shared" ref="P228:P229" si="62">SUM(I228:O228)</f>
        <v>9741</v>
      </c>
      <c r="Q228" s="644"/>
    </row>
    <row r="229" spans="1:17" ht="18" customHeight="1" x14ac:dyDescent="0.35">
      <c r="A229" s="301">
        <v>221</v>
      </c>
      <c r="B229" s="237"/>
      <c r="C229" s="641"/>
      <c r="D229" s="187" t="s">
        <v>860</v>
      </c>
      <c r="E229" s="181"/>
      <c r="F229" s="563"/>
      <c r="G229" s="534"/>
      <c r="H229" s="642"/>
      <c r="I229" s="1289"/>
      <c r="J229" s="1289"/>
      <c r="K229" s="1289">
        <v>2286</v>
      </c>
      <c r="L229" s="1289"/>
      <c r="M229" s="1289">
        <v>7455</v>
      </c>
      <c r="N229" s="1289"/>
      <c r="O229" s="1289"/>
      <c r="P229" s="1192">
        <f t="shared" si="62"/>
        <v>9741</v>
      </c>
      <c r="Q229" s="644"/>
    </row>
    <row r="230" spans="1:17" ht="20.100000000000001" customHeight="1" x14ac:dyDescent="0.35">
      <c r="A230" s="301">
        <v>222</v>
      </c>
      <c r="B230" s="237"/>
      <c r="C230" s="641"/>
      <c r="D230" s="290" t="s">
        <v>620</v>
      </c>
      <c r="E230" s="181">
        <f>F230+G230+P232+Q231</f>
        <v>9525</v>
      </c>
      <c r="F230" s="563"/>
      <c r="G230" s="534"/>
      <c r="H230" s="642"/>
      <c r="I230" s="643"/>
      <c r="J230" s="643"/>
      <c r="K230" s="406"/>
      <c r="L230" s="643"/>
      <c r="M230" s="643"/>
      <c r="N230" s="643"/>
      <c r="O230" s="643"/>
      <c r="P230" s="532"/>
      <c r="Q230" s="644"/>
    </row>
    <row r="231" spans="1:17" ht="18" customHeight="1" x14ac:dyDescent="0.35">
      <c r="A231" s="301">
        <v>223</v>
      </c>
      <c r="B231" s="237"/>
      <c r="C231" s="630"/>
      <c r="D231" s="635" t="s">
        <v>268</v>
      </c>
      <c r="E231" s="183"/>
      <c r="F231" s="555"/>
      <c r="G231" s="300"/>
      <c r="H231" s="633"/>
      <c r="I231" s="632"/>
      <c r="J231" s="632"/>
      <c r="K231" s="406">
        <v>2540</v>
      </c>
      <c r="L231" s="632"/>
      <c r="M231" s="406">
        <v>6985</v>
      </c>
      <c r="N231" s="632"/>
      <c r="O231" s="632"/>
      <c r="P231" s="357">
        <f>SUM(I231:O231)</f>
        <v>9525</v>
      </c>
      <c r="Q231" s="631"/>
    </row>
    <row r="232" spans="1:17" ht="18" customHeight="1" x14ac:dyDescent="0.35">
      <c r="A232" s="301">
        <v>224</v>
      </c>
      <c r="B232" s="237"/>
      <c r="C232" s="630"/>
      <c r="D232" s="225" t="s">
        <v>796</v>
      </c>
      <c r="E232" s="183"/>
      <c r="F232" s="555"/>
      <c r="G232" s="300"/>
      <c r="H232" s="633"/>
      <c r="I232" s="614"/>
      <c r="J232" s="614"/>
      <c r="K232" s="531">
        <v>2540</v>
      </c>
      <c r="L232" s="614"/>
      <c r="M232" s="530">
        <v>6985</v>
      </c>
      <c r="N232" s="614"/>
      <c r="O232" s="614"/>
      <c r="P232" s="296">
        <f t="shared" ref="P232:P233" si="63">SUM(I232:O232)</f>
        <v>9525</v>
      </c>
      <c r="Q232" s="631"/>
    </row>
    <row r="233" spans="1:17" ht="18" customHeight="1" x14ac:dyDescent="0.35">
      <c r="A233" s="301">
        <v>225</v>
      </c>
      <c r="B233" s="237"/>
      <c r="C233" s="630"/>
      <c r="D233" s="187" t="s">
        <v>860</v>
      </c>
      <c r="E233" s="183"/>
      <c r="F233" s="555"/>
      <c r="G233" s="300"/>
      <c r="H233" s="633"/>
      <c r="I233" s="1198"/>
      <c r="J233" s="1198"/>
      <c r="K233" s="1289"/>
      <c r="L233" s="1198"/>
      <c r="M233" s="1290"/>
      <c r="N233" s="1198"/>
      <c r="O233" s="1198"/>
      <c r="P233" s="1192">
        <f t="shared" si="63"/>
        <v>0</v>
      </c>
      <c r="Q233" s="631"/>
    </row>
    <row r="234" spans="1:17" ht="20.100000000000001" customHeight="1" x14ac:dyDescent="0.35">
      <c r="A234" s="301">
        <v>226</v>
      </c>
      <c r="B234" s="237"/>
      <c r="C234" s="630"/>
      <c r="D234" s="290" t="s">
        <v>621</v>
      </c>
      <c r="E234" s="183">
        <f>F234+G234+P236+Q235</f>
        <v>4242</v>
      </c>
      <c r="F234" s="555"/>
      <c r="G234" s="300"/>
      <c r="H234" s="633"/>
      <c r="I234" s="614"/>
      <c r="J234" s="614"/>
      <c r="K234" s="406"/>
      <c r="L234" s="614"/>
      <c r="M234" s="614"/>
      <c r="N234" s="614"/>
      <c r="O234" s="614"/>
      <c r="P234" s="357"/>
      <c r="Q234" s="631"/>
    </row>
    <row r="235" spans="1:17" ht="18" customHeight="1" x14ac:dyDescent="0.35">
      <c r="A235" s="301">
        <v>227</v>
      </c>
      <c r="B235" s="237"/>
      <c r="C235" s="630"/>
      <c r="D235" s="635" t="s">
        <v>268</v>
      </c>
      <c r="E235" s="183"/>
      <c r="F235" s="555"/>
      <c r="G235" s="300"/>
      <c r="H235" s="633"/>
      <c r="I235" s="614"/>
      <c r="J235" s="614"/>
      <c r="K235" s="406">
        <v>1524</v>
      </c>
      <c r="L235" s="614"/>
      <c r="M235" s="406">
        <v>2718</v>
      </c>
      <c r="N235" s="614"/>
      <c r="O235" s="614"/>
      <c r="P235" s="357">
        <f>SUM(I235:O235)</f>
        <v>4242</v>
      </c>
      <c r="Q235" s="631"/>
    </row>
    <row r="236" spans="1:17" ht="18" customHeight="1" x14ac:dyDescent="0.35">
      <c r="A236" s="301">
        <v>228</v>
      </c>
      <c r="B236" s="237"/>
      <c r="C236" s="630"/>
      <c r="D236" s="225" t="s">
        <v>796</v>
      </c>
      <c r="E236" s="183"/>
      <c r="F236" s="555"/>
      <c r="G236" s="300"/>
      <c r="H236" s="633"/>
      <c r="I236" s="614"/>
      <c r="J236" s="614"/>
      <c r="K236" s="531">
        <v>1524</v>
      </c>
      <c r="L236" s="614"/>
      <c r="M236" s="530">
        <v>2718</v>
      </c>
      <c r="N236" s="614"/>
      <c r="O236" s="614"/>
      <c r="P236" s="296">
        <f t="shared" ref="P236:P237" si="64">SUM(I236:O236)</f>
        <v>4242</v>
      </c>
      <c r="Q236" s="631"/>
    </row>
    <row r="237" spans="1:17" ht="18" customHeight="1" x14ac:dyDescent="0.35">
      <c r="A237" s="301">
        <v>229</v>
      </c>
      <c r="B237" s="237"/>
      <c r="C237" s="630"/>
      <c r="D237" s="187" t="s">
        <v>860</v>
      </c>
      <c r="E237" s="183"/>
      <c r="F237" s="555"/>
      <c r="G237" s="300"/>
      <c r="H237" s="633"/>
      <c r="I237" s="1198"/>
      <c r="J237" s="1198"/>
      <c r="K237" s="1289"/>
      <c r="L237" s="1198"/>
      <c r="M237" s="1290"/>
      <c r="N237" s="1198"/>
      <c r="O237" s="1198"/>
      <c r="P237" s="1192">
        <f t="shared" si="64"/>
        <v>0</v>
      </c>
      <c r="Q237" s="631"/>
    </row>
    <row r="238" spans="1:17" ht="20.100000000000001" customHeight="1" x14ac:dyDescent="0.35">
      <c r="A238" s="301">
        <v>230</v>
      </c>
      <c r="B238" s="237"/>
      <c r="C238" s="630"/>
      <c r="D238" s="290" t="s">
        <v>622</v>
      </c>
      <c r="E238" s="183">
        <f>F238+G238+P240+Q239</f>
        <v>19939</v>
      </c>
      <c r="F238" s="555"/>
      <c r="G238" s="300"/>
      <c r="H238" s="633"/>
      <c r="I238" s="614"/>
      <c r="J238" s="614"/>
      <c r="K238" s="406"/>
      <c r="L238" s="614"/>
      <c r="M238" s="614"/>
      <c r="N238" s="614"/>
      <c r="O238" s="614"/>
      <c r="P238" s="296"/>
      <c r="Q238" s="631"/>
    </row>
    <row r="239" spans="1:17" ht="18" customHeight="1" x14ac:dyDescent="0.35">
      <c r="A239" s="301">
        <v>231</v>
      </c>
      <c r="B239" s="237"/>
      <c r="C239" s="636"/>
      <c r="D239" s="637" t="s">
        <v>268</v>
      </c>
      <c r="E239" s="420"/>
      <c r="F239" s="558"/>
      <c r="G239" s="559"/>
      <c r="H239" s="638"/>
      <c r="I239" s="628"/>
      <c r="J239" s="628"/>
      <c r="K239" s="649">
        <v>1524</v>
      </c>
      <c r="L239" s="628"/>
      <c r="M239" s="649">
        <v>18415</v>
      </c>
      <c r="N239" s="628"/>
      <c r="O239" s="628"/>
      <c r="P239" s="418">
        <f>SUM(I239:O239)</f>
        <v>19939</v>
      </c>
      <c r="Q239" s="640"/>
    </row>
    <row r="240" spans="1:17" ht="18" customHeight="1" x14ac:dyDescent="0.35">
      <c r="A240" s="301">
        <v>232</v>
      </c>
      <c r="B240" s="237"/>
      <c r="C240" s="191"/>
      <c r="D240" s="225" t="s">
        <v>796</v>
      </c>
      <c r="E240" s="183"/>
      <c r="F240" s="555"/>
      <c r="G240" s="300"/>
      <c r="H240" s="633"/>
      <c r="I240" s="632"/>
      <c r="J240" s="632"/>
      <c r="K240" s="288">
        <v>1524</v>
      </c>
      <c r="L240" s="632"/>
      <c r="M240" s="288">
        <v>18415</v>
      </c>
      <c r="N240" s="632"/>
      <c r="O240" s="632"/>
      <c r="P240" s="1202">
        <f t="shared" ref="P240:P241" si="65">SUM(I240:O240)</f>
        <v>19939</v>
      </c>
      <c r="Q240" s="631"/>
    </row>
    <row r="241" spans="1:17" ht="18" customHeight="1" thickBot="1" x14ac:dyDescent="0.4">
      <c r="A241" s="301">
        <v>233</v>
      </c>
      <c r="B241" s="237"/>
      <c r="C241" s="191"/>
      <c r="D241" s="187" t="s">
        <v>860</v>
      </c>
      <c r="E241" s="183"/>
      <c r="F241" s="555"/>
      <c r="G241" s="300"/>
      <c r="H241" s="633"/>
      <c r="I241" s="1194"/>
      <c r="J241" s="1194"/>
      <c r="K241" s="1194">
        <v>1524</v>
      </c>
      <c r="L241" s="1194"/>
      <c r="M241" s="1194">
        <v>18415</v>
      </c>
      <c r="N241" s="1194"/>
      <c r="O241" s="1194"/>
      <c r="P241" s="1204">
        <f t="shared" si="65"/>
        <v>19939</v>
      </c>
      <c r="Q241" s="631"/>
    </row>
    <row r="242" spans="1:17" ht="24.95" customHeight="1" thickTop="1" x14ac:dyDescent="0.35">
      <c r="A242" s="301">
        <v>234</v>
      </c>
      <c r="B242" s="1270"/>
      <c r="C242" s="1283"/>
      <c r="D242" s="1237" t="s">
        <v>612</v>
      </c>
      <c r="E242" s="1253">
        <f>SUM(E210:E239)</f>
        <v>157606</v>
      </c>
      <c r="F242" s="1253">
        <f>SUM(F211:F239)</f>
        <v>0</v>
      </c>
      <c r="G242" s="1263">
        <f>SUM(G211:G239)</f>
        <v>0</v>
      </c>
      <c r="H242" s="1284"/>
      <c r="I242" s="1240"/>
      <c r="J242" s="1240"/>
      <c r="K242" s="1240"/>
      <c r="L242" s="1240"/>
      <c r="M242" s="1240"/>
      <c r="N242" s="1240"/>
      <c r="O242" s="1240"/>
      <c r="P242" s="1286"/>
      <c r="Q242" s="1287"/>
    </row>
    <row r="243" spans="1:17" ht="17.100000000000001" customHeight="1" x14ac:dyDescent="0.35">
      <c r="A243" s="301">
        <v>235</v>
      </c>
      <c r="B243" s="237"/>
      <c r="C243" s="630"/>
      <c r="D243" s="637" t="s">
        <v>268</v>
      </c>
      <c r="E243" s="555"/>
      <c r="F243" s="555"/>
      <c r="G243" s="300"/>
      <c r="H243" s="633"/>
      <c r="I243" s="1248">
        <f t="shared" ref="I243:O245" si="66">I239+I235+I231+I227+I223+I219+I215+I211</f>
        <v>0</v>
      </c>
      <c r="J243" s="1248">
        <f t="shared" si="66"/>
        <v>0</v>
      </c>
      <c r="K243" s="1248">
        <f t="shared" si="66"/>
        <v>63627</v>
      </c>
      <c r="L243" s="1248">
        <f t="shared" si="66"/>
        <v>0</v>
      </c>
      <c r="M243" s="1248">
        <f t="shared" si="66"/>
        <v>88913</v>
      </c>
      <c r="N243" s="1248">
        <f t="shared" si="66"/>
        <v>0</v>
      </c>
      <c r="O243" s="1248">
        <f t="shared" si="66"/>
        <v>0</v>
      </c>
      <c r="P243" s="1249">
        <f t="shared" ref="P243:P245" si="67">SUM(I243:O243)</f>
        <v>152540</v>
      </c>
      <c r="Q243" s="631"/>
    </row>
    <row r="244" spans="1:17" ht="17.100000000000001" customHeight="1" x14ac:dyDescent="0.35">
      <c r="A244" s="301">
        <v>236</v>
      </c>
      <c r="B244" s="237"/>
      <c r="C244" s="630"/>
      <c r="D244" s="225" t="s">
        <v>796</v>
      </c>
      <c r="E244" s="555"/>
      <c r="F244" s="555"/>
      <c r="G244" s="300"/>
      <c r="H244" s="633"/>
      <c r="I244" s="614">
        <f t="shared" si="66"/>
        <v>0</v>
      </c>
      <c r="J244" s="614">
        <f t="shared" si="66"/>
        <v>0</v>
      </c>
      <c r="K244" s="614">
        <f t="shared" si="66"/>
        <v>63627</v>
      </c>
      <c r="L244" s="614">
        <f t="shared" si="66"/>
        <v>0</v>
      </c>
      <c r="M244" s="614">
        <f t="shared" si="66"/>
        <v>88913</v>
      </c>
      <c r="N244" s="614">
        <f t="shared" si="66"/>
        <v>0</v>
      </c>
      <c r="O244" s="614">
        <f t="shared" si="66"/>
        <v>0</v>
      </c>
      <c r="P244" s="296">
        <f t="shared" si="67"/>
        <v>152540</v>
      </c>
      <c r="Q244" s="631"/>
    </row>
    <row r="245" spans="1:17" ht="17.100000000000001" customHeight="1" thickBot="1" x14ac:dyDescent="0.4">
      <c r="A245" s="301">
        <v>237</v>
      </c>
      <c r="B245" s="237"/>
      <c r="C245" s="1275"/>
      <c r="D245" s="1446" t="s">
        <v>860</v>
      </c>
      <c r="E245" s="622"/>
      <c r="F245" s="622"/>
      <c r="G245" s="1258"/>
      <c r="H245" s="1288"/>
      <c r="I245" s="1447">
        <f t="shared" si="66"/>
        <v>0</v>
      </c>
      <c r="J245" s="1447">
        <f t="shared" si="66"/>
        <v>0</v>
      </c>
      <c r="K245" s="1447">
        <f t="shared" si="66"/>
        <v>18225</v>
      </c>
      <c r="L245" s="1447">
        <f t="shared" si="66"/>
        <v>0</v>
      </c>
      <c r="M245" s="1447">
        <f t="shared" si="66"/>
        <v>25870</v>
      </c>
      <c r="N245" s="1447">
        <f t="shared" si="66"/>
        <v>0</v>
      </c>
      <c r="O245" s="1447">
        <f t="shared" si="66"/>
        <v>0</v>
      </c>
      <c r="P245" s="1448">
        <f t="shared" si="67"/>
        <v>44095</v>
      </c>
      <c r="Q245" s="1277"/>
    </row>
    <row r="246" spans="1:17" ht="24.95" customHeight="1" thickTop="1" x14ac:dyDescent="0.35">
      <c r="A246" s="301">
        <v>238</v>
      </c>
      <c r="B246" s="1266"/>
      <c r="C246" s="641">
        <v>14</v>
      </c>
      <c r="D246" s="408" t="s">
        <v>613</v>
      </c>
      <c r="E246" s="563"/>
      <c r="F246" s="563"/>
      <c r="G246" s="534"/>
      <c r="H246" s="561" t="s">
        <v>24</v>
      </c>
      <c r="I246" s="618"/>
      <c r="J246" s="618"/>
      <c r="K246" s="618"/>
      <c r="L246" s="618"/>
      <c r="M246" s="618"/>
      <c r="N246" s="618"/>
      <c r="O246" s="618"/>
      <c r="P246" s="532"/>
      <c r="Q246" s="644"/>
    </row>
    <row r="247" spans="1:17" ht="20.100000000000001" customHeight="1" x14ac:dyDescent="0.35">
      <c r="A247" s="301">
        <v>239</v>
      </c>
      <c r="B247" s="237"/>
      <c r="C247" s="630"/>
      <c r="D247" s="290" t="s">
        <v>825</v>
      </c>
      <c r="E247" s="183">
        <f>F247+G247+P249+Q248+38146</f>
        <v>428960</v>
      </c>
      <c r="F247" s="555"/>
      <c r="G247" s="300"/>
      <c r="H247" s="633"/>
      <c r="I247" s="406"/>
      <c r="J247" s="406"/>
      <c r="K247" s="406"/>
      <c r="L247" s="406"/>
      <c r="M247" s="406"/>
      <c r="N247" s="614"/>
      <c r="O247" s="614"/>
      <c r="P247" s="296"/>
      <c r="Q247" s="631"/>
    </row>
    <row r="248" spans="1:17" ht="18" customHeight="1" x14ac:dyDescent="0.35">
      <c r="A248" s="301">
        <v>240</v>
      </c>
      <c r="B248" s="237"/>
      <c r="C248" s="630"/>
      <c r="D248" s="635" t="s">
        <v>268</v>
      </c>
      <c r="E248" s="183"/>
      <c r="F248" s="555"/>
      <c r="G248" s="1216"/>
      <c r="H248" s="633"/>
      <c r="I248" s="1251">
        <v>7521</v>
      </c>
      <c r="J248" s="1251">
        <v>1982</v>
      </c>
      <c r="K248" s="1251">
        <v>377589</v>
      </c>
      <c r="L248" s="1251"/>
      <c r="M248" s="1251">
        <v>3175</v>
      </c>
      <c r="N248" s="1248"/>
      <c r="O248" s="1248"/>
      <c r="P248" s="1249">
        <f>SUM(I248:O248)</f>
        <v>390267</v>
      </c>
      <c r="Q248" s="631"/>
    </row>
    <row r="249" spans="1:17" ht="18" customHeight="1" x14ac:dyDescent="0.35">
      <c r="A249" s="301">
        <v>241</v>
      </c>
      <c r="B249" s="237"/>
      <c r="C249" s="630"/>
      <c r="D249" s="225" t="s">
        <v>796</v>
      </c>
      <c r="E249" s="183"/>
      <c r="F249" s="555"/>
      <c r="G249" s="1216"/>
      <c r="H249" s="633"/>
      <c r="I249" s="370">
        <v>6784</v>
      </c>
      <c r="J249" s="370">
        <v>1865</v>
      </c>
      <c r="K249" s="370">
        <v>347003</v>
      </c>
      <c r="L249" s="370">
        <v>32000</v>
      </c>
      <c r="M249" s="370">
        <v>3162</v>
      </c>
      <c r="N249" s="614"/>
      <c r="O249" s="614"/>
      <c r="P249" s="296">
        <f t="shared" ref="P249:P250" si="68">SUM(I249:O249)</f>
        <v>390814</v>
      </c>
      <c r="Q249" s="631"/>
    </row>
    <row r="250" spans="1:17" ht="18" customHeight="1" thickBot="1" x14ac:dyDescent="0.4">
      <c r="A250" s="301">
        <v>242</v>
      </c>
      <c r="B250" s="237"/>
      <c r="C250" s="630"/>
      <c r="D250" s="187" t="s">
        <v>861</v>
      </c>
      <c r="E250" s="183"/>
      <c r="F250" s="555"/>
      <c r="G250" s="1216"/>
      <c r="H250" s="633"/>
      <c r="I250" s="1198">
        <v>2608</v>
      </c>
      <c r="J250" s="1198">
        <v>305</v>
      </c>
      <c r="K250" s="1198">
        <v>91611</v>
      </c>
      <c r="L250" s="1198">
        <v>31768</v>
      </c>
      <c r="M250" s="1198">
        <v>3161</v>
      </c>
      <c r="N250" s="1198"/>
      <c r="O250" s="1198"/>
      <c r="P250" s="1192">
        <f t="shared" si="68"/>
        <v>129453</v>
      </c>
      <c r="Q250" s="631"/>
    </row>
    <row r="251" spans="1:17" ht="24.95" customHeight="1" thickTop="1" x14ac:dyDescent="0.35">
      <c r="A251" s="301">
        <v>243</v>
      </c>
      <c r="B251" s="237"/>
      <c r="C251" s="1283"/>
      <c r="D251" s="1237" t="s">
        <v>614</v>
      </c>
      <c r="E251" s="1253">
        <f>SUM(E247:E250)</f>
        <v>428960</v>
      </c>
      <c r="F251" s="1253">
        <f>SUM(F247:F250)</f>
        <v>0</v>
      </c>
      <c r="G251" s="1292">
        <f>SUM(G247:G250)</f>
        <v>0</v>
      </c>
      <c r="H251" s="1284"/>
      <c r="I251" s="1240"/>
      <c r="J251" s="1240"/>
      <c r="K251" s="1240"/>
      <c r="L251" s="1240"/>
      <c r="M251" s="1240"/>
      <c r="N251" s="1240"/>
      <c r="O251" s="1240"/>
      <c r="P251" s="1286"/>
      <c r="Q251" s="1287"/>
    </row>
    <row r="252" spans="1:17" ht="17.100000000000001" customHeight="1" x14ac:dyDescent="0.35">
      <c r="A252" s="301">
        <v>244</v>
      </c>
      <c r="B252" s="237"/>
      <c r="C252" s="630"/>
      <c r="D252" s="635" t="s">
        <v>268</v>
      </c>
      <c r="E252" s="555"/>
      <c r="F252" s="555"/>
      <c r="G252" s="300"/>
      <c r="H252" s="633"/>
      <c r="I252" s="1248">
        <f t="shared" ref="I252:O254" si="69">I248</f>
        <v>7521</v>
      </c>
      <c r="J252" s="1248">
        <f t="shared" si="69"/>
        <v>1982</v>
      </c>
      <c r="K252" s="1248">
        <f t="shared" si="69"/>
        <v>377589</v>
      </c>
      <c r="L252" s="1248">
        <f t="shared" si="69"/>
        <v>0</v>
      </c>
      <c r="M252" s="1248">
        <f t="shared" si="69"/>
        <v>3175</v>
      </c>
      <c r="N252" s="1248">
        <f t="shared" si="69"/>
        <v>0</v>
      </c>
      <c r="O252" s="1248">
        <f t="shared" si="69"/>
        <v>0</v>
      </c>
      <c r="P252" s="1249">
        <f t="shared" ref="P252:P254" si="70">SUM(I252:O252)</f>
        <v>390267</v>
      </c>
      <c r="Q252" s="631"/>
    </row>
    <row r="253" spans="1:17" ht="17.100000000000001" customHeight="1" x14ac:dyDescent="0.35">
      <c r="A253" s="301">
        <v>245</v>
      </c>
      <c r="B253" s="237"/>
      <c r="C253" s="630"/>
      <c r="D253" s="225" t="s">
        <v>796</v>
      </c>
      <c r="E253" s="555"/>
      <c r="F253" s="555"/>
      <c r="G253" s="300"/>
      <c r="H253" s="633"/>
      <c r="I253" s="614">
        <f t="shared" si="69"/>
        <v>6784</v>
      </c>
      <c r="J253" s="614">
        <f t="shared" si="69"/>
        <v>1865</v>
      </c>
      <c r="K253" s="614">
        <f t="shared" si="69"/>
        <v>347003</v>
      </c>
      <c r="L253" s="614">
        <f t="shared" si="69"/>
        <v>32000</v>
      </c>
      <c r="M253" s="614">
        <f t="shared" si="69"/>
        <v>3162</v>
      </c>
      <c r="N253" s="614">
        <f t="shared" si="69"/>
        <v>0</v>
      </c>
      <c r="O253" s="614">
        <f t="shared" si="69"/>
        <v>0</v>
      </c>
      <c r="P253" s="296">
        <f t="shared" si="70"/>
        <v>390814</v>
      </c>
      <c r="Q253" s="631"/>
    </row>
    <row r="254" spans="1:17" ht="17.100000000000001" customHeight="1" thickBot="1" x14ac:dyDescent="0.4">
      <c r="A254" s="301">
        <v>246</v>
      </c>
      <c r="B254" s="237"/>
      <c r="C254" s="630"/>
      <c r="D254" s="1446" t="s">
        <v>860</v>
      </c>
      <c r="E254" s="555"/>
      <c r="F254" s="555"/>
      <c r="G254" s="300"/>
      <c r="H254" s="633"/>
      <c r="I254" s="1197">
        <f t="shared" si="69"/>
        <v>2608</v>
      </c>
      <c r="J254" s="1197">
        <f t="shared" si="69"/>
        <v>305</v>
      </c>
      <c r="K254" s="1197">
        <f t="shared" si="69"/>
        <v>91611</v>
      </c>
      <c r="L254" s="1197">
        <f t="shared" si="69"/>
        <v>31768</v>
      </c>
      <c r="M254" s="1197">
        <f t="shared" si="69"/>
        <v>3161</v>
      </c>
      <c r="N254" s="1197">
        <f t="shared" si="69"/>
        <v>0</v>
      </c>
      <c r="O254" s="1197">
        <f t="shared" si="69"/>
        <v>0</v>
      </c>
      <c r="P254" s="1191">
        <f t="shared" si="70"/>
        <v>129453</v>
      </c>
      <c r="Q254" s="631"/>
    </row>
    <row r="255" spans="1:17" ht="24.95" customHeight="1" thickTop="1" x14ac:dyDescent="0.35">
      <c r="A255" s="301">
        <v>247</v>
      </c>
      <c r="B255" s="237"/>
      <c r="C255" s="1412">
        <v>15</v>
      </c>
      <c r="D255" s="408" t="s">
        <v>801</v>
      </c>
      <c r="E255" s="1413"/>
      <c r="F255" s="1413"/>
      <c r="G255" s="1292"/>
      <c r="H255" s="1422" t="s">
        <v>24</v>
      </c>
      <c r="I255" s="1414"/>
      <c r="J255" s="1414"/>
      <c r="K255" s="1414"/>
      <c r="L255" s="1414"/>
      <c r="M255" s="1414"/>
      <c r="N255" s="1414"/>
      <c r="O255" s="1414"/>
      <c r="P255" s="1417"/>
      <c r="Q255" s="1416"/>
    </row>
    <row r="256" spans="1:17" ht="20.100000000000001" customHeight="1" x14ac:dyDescent="0.35">
      <c r="A256" s="301">
        <v>248</v>
      </c>
      <c r="B256" s="237"/>
      <c r="C256" s="191"/>
      <c r="D256" s="290" t="s">
        <v>414</v>
      </c>
      <c r="E256" s="183">
        <f>F256+G256+P257+Q256+3300</f>
        <v>25185</v>
      </c>
      <c r="F256" s="555"/>
      <c r="G256" s="300"/>
      <c r="H256" s="633"/>
      <c r="I256" s="632"/>
      <c r="J256" s="632"/>
      <c r="K256" s="632"/>
      <c r="L256" s="632"/>
      <c r="M256" s="632"/>
      <c r="N256" s="632"/>
      <c r="O256" s="632"/>
      <c r="P256" s="296"/>
      <c r="Q256" s="631"/>
    </row>
    <row r="257" spans="1:17" ht="18" customHeight="1" x14ac:dyDescent="0.35">
      <c r="A257" s="301">
        <v>249</v>
      </c>
      <c r="B257" s="237"/>
      <c r="C257" s="191"/>
      <c r="D257" s="225" t="s">
        <v>796</v>
      </c>
      <c r="E257" s="183"/>
      <c r="F257" s="555"/>
      <c r="G257" s="300"/>
      <c r="H257" s="633"/>
      <c r="I257" s="632"/>
      <c r="J257" s="632"/>
      <c r="K257" s="632">
        <v>21885</v>
      </c>
      <c r="L257" s="632"/>
      <c r="M257" s="632"/>
      <c r="N257" s="632"/>
      <c r="O257" s="632"/>
      <c r="P257" s="296">
        <f t="shared" ref="P257:P260" si="71">SUM(I257:O257)</f>
        <v>21885</v>
      </c>
      <c r="Q257" s="631"/>
    </row>
    <row r="258" spans="1:17" ht="17.100000000000001" customHeight="1" x14ac:dyDescent="0.35">
      <c r="A258" s="301">
        <v>250</v>
      </c>
      <c r="B258" s="237"/>
      <c r="C258" s="191"/>
      <c r="D258" s="187" t="s">
        <v>860</v>
      </c>
      <c r="E258" s="555"/>
      <c r="F258" s="555"/>
      <c r="G258" s="300"/>
      <c r="H258" s="633"/>
      <c r="I258" s="632"/>
      <c r="J258" s="632"/>
      <c r="K258" s="1194"/>
      <c r="L258" s="632"/>
      <c r="M258" s="632"/>
      <c r="N258" s="632"/>
      <c r="O258" s="632"/>
      <c r="P258" s="1192">
        <f t="shared" si="71"/>
        <v>0</v>
      </c>
      <c r="Q258" s="631"/>
    </row>
    <row r="259" spans="1:17" ht="35.25" customHeight="1" x14ac:dyDescent="0.35">
      <c r="A259" s="301">
        <v>251</v>
      </c>
      <c r="B259" s="237"/>
      <c r="C259" s="191"/>
      <c r="D259" s="1424" t="s">
        <v>803</v>
      </c>
      <c r="E259" s="1425">
        <f>F259+G259+P260+Q259</f>
        <v>89195</v>
      </c>
      <c r="F259" s="555"/>
      <c r="G259" s="300"/>
      <c r="H259" s="633"/>
      <c r="I259" s="632"/>
      <c r="J259" s="632"/>
      <c r="K259" s="632"/>
      <c r="L259" s="632"/>
      <c r="M259" s="632"/>
      <c r="N259" s="632"/>
      <c r="O259" s="632"/>
      <c r="P259" s="296"/>
      <c r="Q259" s="631"/>
    </row>
    <row r="260" spans="1:17" ht="18" customHeight="1" x14ac:dyDescent="0.35">
      <c r="A260" s="301">
        <v>252</v>
      </c>
      <c r="B260" s="237"/>
      <c r="C260" s="191"/>
      <c r="D260" s="225" t="s">
        <v>796</v>
      </c>
      <c r="E260" s="1425"/>
      <c r="F260" s="555"/>
      <c r="G260" s="300"/>
      <c r="H260" s="633"/>
      <c r="I260" s="632"/>
      <c r="J260" s="632"/>
      <c r="K260" s="632"/>
      <c r="L260" s="632"/>
      <c r="M260" s="632">
        <v>89195</v>
      </c>
      <c r="N260" s="632"/>
      <c r="O260" s="632"/>
      <c r="P260" s="296">
        <f t="shared" si="71"/>
        <v>89195</v>
      </c>
      <c r="Q260" s="631"/>
    </row>
    <row r="261" spans="1:17" ht="17.100000000000001" customHeight="1" thickBot="1" x14ac:dyDescent="0.4">
      <c r="A261" s="301">
        <v>253</v>
      </c>
      <c r="B261" s="237"/>
      <c r="C261" s="621"/>
      <c r="D261" s="1446" t="s">
        <v>860</v>
      </c>
      <c r="E261" s="622"/>
      <c r="F261" s="622"/>
      <c r="G261" s="1258"/>
      <c r="H261" s="1288"/>
      <c r="I261" s="1281"/>
      <c r="J261" s="1281"/>
      <c r="K261" s="1281"/>
      <c r="L261" s="1281"/>
      <c r="M261" s="1453"/>
      <c r="N261" s="1281"/>
      <c r="O261" s="1281"/>
      <c r="P261" s="1454">
        <f t="shared" ref="P261" si="72">SUM(I261:O261)</f>
        <v>0</v>
      </c>
      <c r="Q261" s="1277"/>
    </row>
    <row r="262" spans="1:17" ht="24.95" customHeight="1" thickTop="1" x14ac:dyDescent="0.35">
      <c r="A262" s="301">
        <v>254</v>
      </c>
      <c r="B262" s="237"/>
      <c r="C262" s="400"/>
      <c r="D262" s="1445" t="s">
        <v>802</v>
      </c>
      <c r="E262" s="563">
        <f>SUM(E256:E261)</f>
        <v>114380</v>
      </c>
      <c r="F262" s="563">
        <f>SUM(F256:F261)</f>
        <v>0</v>
      </c>
      <c r="G262" s="534">
        <f>SUM(G256:G261)</f>
        <v>0</v>
      </c>
      <c r="H262" s="642"/>
      <c r="I262" s="643"/>
      <c r="J262" s="643"/>
      <c r="K262" s="643"/>
      <c r="L262" s="643"/>
      <c r="M262" s="643"/>
      <c r="N262" s="643"/>
      <c r="O262" s="643"/>
      <c r="P262" s="532"/>
      <c r="Q262" s="644"/>
    </row>
    <row r="263" spans="1:17" ht="18" customHeight="1" x14ac:dyDescent="0.35">
      <c r="A263" s="301">
        <v>255</v>
      </c>
      <c r="B263" s="237"/>
      <c r="C263" s="400"/>
      <c r="D263" s="225" t="s">
        <v>796</v>
      </c>
      <c r="E263" s="563"/>
      <c r="F263" s="563"/>
      <c r="G263" s="534"/>
      <c r="H263" s="642"/>
      <c r="I263" s="1193">
        <f t="shared" ref="I263:O264" si="73">I260+I257</f>
        <v>0</v>
      </c>
      <c r="J263" s="1193">
        <f t="shared" si="73"/>
        <v>0</v>
      </c>
      <c r="K263" s="1193">
        <f t="shared" si="73"/>
        <v>21885</v>
      </c>
      <c r="L263" s="1193">
        <f t="shared" si="73"/>
        <v>0</v>
      </c>
      <c r="M263" s="1193">
        <f t="shared" si="73"/>
        <v>89195</v>
      </c>
      <c r="N263" s="1193">
        <f t="shared" si="73"/>
        <v>0</v>
      </c>
      <c r="O263" s="1193">
        <f t="shared" si="73"/>
        <v>0</v>
      </c>
      <c r="P263" s="1191">
        <f t="shared" ref="P263:P264" si="74">SUM(I263:O263)</f>
        <v>111080</v>
      </c>
      <c r="Q263" s="644"/>
    </row>
    <row r="264" spans="1:17" ht="17.100000000000001" customHeight="1" thickBot="1" x14ac:dyDescent="0.4">
      <c r="A264" s="301">
        <v>256</v>
      </c>
      <c r="B264" s="237"/>
      <c r="C264" s="621"/>
      <c r="D264" s="1446" t="s">
        <v>860</v>
      </c>
      <c r="E264" s="622"/>
      <c r="F264" s="622"/>
      <c r="G264" s="1258"/>
      <c r="H264" s="1288"/>
      <c r="I264" s="1452">
        <f t="shared" si="73"/>
        <v>0</v>
      </c>
      <c r="J264" s="1452">
        <f t="shared" si="73"/>
        <v>0</v>
      </c>
      <c r="K264" s="1452">
        <f t="shared" si="73"/>
        <v>0</v>
      </c>
      <c r="L264" s="1452">
        <f t="shared" si="73"/>
        <v>0</v>
      </c>
      <c r="M264" s="1452">
        <f t="shared" si="73"/>
        <v>0</v>
      </c>
      <c r="N264" s="1452">
        <f t="shared" si="73"/>
        <v>0</v>
      </c>
      <c r="O264" s="1452">
        <f t="shared" si="73"/>
        <v>0</v>
      </c>
      <c r="P264" s="1448">
        <f t="shared" si="74"/>
        <v>0</v>
      </c>
      <c r="Q264" s="1277"/>
    </row>
    <row r="265" spans="1:17" ht="24.95" customHeight="1" thickTop="1" x14ac:dyDescent="0.35">
      <c r="A265" s="301">
        <v>257</v>
      </c>
      <c r="B265" s="237"/>
      <c r="C265" s="551">
        <v>16</v>
      </c>
      <c r="D265" s="408" t="s">
        <v>805</v>
      </c>
      <c r="E265" s="552"/>
      <c r="F265" s="552"/>
      <c r="G265" s="564"/>
      <c r="H265" s="1423" t="s">
        <v>24</v>
      </c>
      <c r="I265" s="647"/>
      <c r="J265" s="647"/>
      <c r="K265" s="647"/>
      <c r="L265" s="647"/>
      <c r="M265" s="647"/>
      <c r="N265" s="647"/>
      <c r="O265" s="647"/>
      <c r="P265" s="1419"/>
      <c r="Q265" s="648"/>
    </row>
    <row r="266" spans="1:17" ht="20.100000000000001" customHeight="1" x14ac:dyDescent="0.35">
      <c r="A266" s="301">
        <v>258</v>
      </c>
      <c r="B266" s="237"/>
      <c r="C266" s="191"/>
      <c r="D266" s="290" t="s">
        <v>804</v>
      </c>
      <c r="E266" s="183">
        <f>F266+G266+P267+Q266</f>
        <v>14871</v>
      </c>
      <c r="F266" s="555"/>
      <c r="G266" s="300"/>
      <c r="H266" s="633"/>
      <c r="I266" s="632"/>
      <c r="J266" s="632"/>
      <c r="K266" s="632"/>
      <c r="L266" s="632"/>
      <c r="M266" s="632"/>
      <c r="N266" s="632"/>
      <c r="O266" s="632"/>
      <c r="P266" s="296"/>
      <c r="Q266" s="631"/>
    </row>
    <row r="267" spans="1:17" ht="18" customHeight="1" x14ac:dyDescent="0.35">
      <c r="A267" s="301">
        <v>259</v>
      </c>
      <c r="B267" s="237"/>
      <c r="C267" s="191"/>
      <c r="D267" s="225" t="s">
        <v>796</v>
      </c>
      <c r="E267" s="183"/>
      <c r="F267" s="555"/>
      <c r="G267" s="300"/>
      <c r="H267" s="633"/>
      <c r="I267" s="632">
        <v>600</v>
      </c>
      <c r="J267" s="632">
        <v>400</v>
      </c>
      <c r="K267" s="632">
        <v>13871</v>
      </c>
      <c r="L267" s="632"/>
      <c r="M267" s="632"/>
      <c r="N267" s="632"/>
      <c r="O267" s="632"/>
      <c r="P267" s="296">
        <f t="shared" ref="P267" si="75">SUM(I267:O267)</f>
        <v>14871</v>
      </c>
      <c r="Q267" s="631"/>
    </row>
    <row r="268" spans="1:17" ht="17.100000000000001" customHeight="1" thickBot="1" x14ac:dyDescent="0.4">
      <c r="A268" s="301">
        <v>260</v>
      </c>
      <c r="B268" s="237"/>
      <c r="C268" s="191"/>
      <c r="D268" s="187" t="s">
        <v>860</v>
      </c>
      <c r="E268" s="555"/>
      <c r="F268" s="555"/>
      <c r="G268" s="300"/>
      <c r="H268" s="633"/>
      <c r="I268" s="1194"/>
      <c r="J268" s="1194"/>
      <c r="K268" s="1194">
        <v>4082</v>
      </c>
      <c r="L268" s="632"/>
      <c r="M268" s="632"/>
      <c r="N268" s="632"/>
      <c r="O268" s="632"/>
      <c r="P268" s="1192">
        <f t="shared" ref="P268" si="76">SUM(I268:O268)</f>
        <v>4082</v>
      </c>
      <c r="Q268" s="631"/>
    </row>
    <row r="269" spans="1:17" ht="24.95" customHeight="1" thickTop="1" x14ac:dyDescent="0.35">
      <c r="A269" s="301">
        <v>261</v>
      </c>
      <c r="B269" s="237"/>
      <c r="C269" s="1412"/>
      <c r="D269" s="1420" t="s">
        <v>806</v>
      </c>
      <c r="E269" s="1413">
        <f>SUM(E266:E268)</f>
        <v>14871</v>
      </c>
      <c r="F269" s="1413">
        <f>SUM(F266:F268)</f>
        <v>0</v>
      </c>
      <c r="G269" s="1292">
        <f>SUM(G266:G268)</f>
        <v>0</v>
      </c>
      <c r="H269" s="1415"/>
      <c r="I269" s="1414"/>
      <c r="J269" s="1414"/>
      <c r="K269" s="1414"/>
      <c r="L269" s="1414"/>
      <c r="M269" s="1414"/>
      <c r="N269" s="1414"/>
      <c r="O269" s="1414"/>
      <c r="P269" s="1417"/>
      <c r="Q269" s="1416"/>
    </row>
    <row r="270" spans="1:17" ht="18" customHeight="1" x14ac:dyDescent="0.35">
      <c r="A270" s="301">
        <v>262</v>
      </c>
      <c r="B270" s="237"/>
      <c r="C270" s="400"/>
      <c r="D270" s="225" t="s">
        <v>796</v>
      </c>
      <c r="E270" s="563"/>
      <c r="F270" s="563"/>
      <c r="G270" s="534"/>
      <c r="H270" s="642"/>
      <c r="I270" s="643">
        <f>I267</f>
        <v>600</v>
      </c>
      <c r="J270" s="643">
        <f t="shared" ref="J270:O270" si="77">J267</f>
        <v>400</v>
      </c>
      <c r="K270" s="643">
        <f t="shared" si="77"/>
        <v>13871</v>
      </c>
      <c r="L270" s="643">
        <f t="shared" si="77"/>
        <v>0</v>
      </c>
      <c r="M270" s="643">
        <f t="shared" si="77"/>
        <v>0</v>
      </c>
      <c r="N270" s="643">
        <f t="shared" si="77"/>
        <v>0</v>
      </c>
      <c r="O270" s="643">
        <f t="shared" si="77"/>
        <v>0</v>
      </c>
      <c r="P270" s="296">
        <f t="shared" ref="P270" si="78">SUM(I270:O270)</f>
        <v>14871</v>
      </c>
      <c r="Q270" s="644"/>
    </row>
    <row r="271" spans="1:17" ht="17.100000000000001" customHeight="1" thickBot="1" x14ac:dyDescent="0.4">
      <c r="A271" s="301">
        <v>263</v>
      </c>
      <c r="B271" s="237"/>
      <c r="C271" s="621"/>
      <c r="D271" s="1446" t="s">
        <v>860</v>
      </c>
      <c r="E271" s="622"/>
      <c r="F271" s="622"/>
      <c r="G271" s="1258"/>
      <c r="H271" s="1288"/>
      <c r="I271" s="1452">
        <f>I268</f>
        <v>0</v>
      </c>
      <c r="J271" s="1452">
        <f t="shared" ref="J271:O271" si="79">J268</f>
        <v>0</v>
      </c>
      <c r="K271" s="1452">
        <f t="shared" si="79"/>
        <v>4082</v>
      </c>
      <c r="L271" s="1452">
        <f t="shared" si="79"/>
        <v>0</v>
      </c>
      <c r="M271" s="1452">
        <f t="shared" si="79"/>
        <v>0</v>
      </c>
      <c r="N271" s="1452">
        <f t="shared" si="79"/>
        <v>0</v>
      </c>
      <c r="O271" s="1452">
        <f t="shared" si="79"/>
        <v>0</v>
      </c>
      <c r="P271" s="1448">
        <f t="shared" ref="P271" si="80">SUM(I271:O271)</f>
        <v>4082</v>
      </c>
      <c r="Q271" s="1277"/>
    </row>
    <row r="272" spans="1:17" ht="24.95" customHeight="1" thickTop="1" x14ac:dyDescent="0.35">
      <c r="A272" s="301">
        <v>264</v>
      </c>
      <c r="B272" s="237"/>
      <c r="C272" s="400">
        <v>17</v>
      </c>
      <c r="D272" s="408" t="s">
        <v>807</v>
      </c>
      <c r="E272" s="563"/>
      <c r="F272" s="563"/>
      <c r="G272" s="534"/>
      <c r="H272" s="561" t="s">
        <v>24</v>
      </c>
      <c r="I272" s="643"/>
      <c r="J272" s="643"/>
      <c r="K272" s="643"/>
      <c r="L272" s="643"/>
      <c r="M272" s="643"/>
      <c r="N272" s="643"/>
      <c r="O272" s="643"/>
      <c r="P272" s="532"/>
      <c r="Q272" s="644"/>
    </row>
    <row r="273" spans="1:17" ht="20.100000000000001" customHeight="1" x14ac:dyDescent="0.35">
      <c r="A273" s="301">
        <v>265</v>
      </c>
      <c r="B273" s="237"/>
      <c r="C273" s="191"/>
      <c r="D273" s="290" t="s">
        <v>414</v>
      </c>
      <c r="E273" s="183">
        <f>F273+G273+P274+Q273+2978+387</f>
        <v>14266</v>
      </c>
      <c r="F273" s="555"/>
      <c r="G273" s="300"/>
      <c r="H273" s="633"/>
      <c r="I273" s="632"/>
      <c r="J273" s="632"/>
      <c r="K273" s="632"/>
      <c r="L273" s="632"/>
      <c r="M273" s="632"/>
      <c r="N273" s="632"/>
      <c r="O273" s="632"/>
      <c r="P273" s="296"/>
      <c r="Q273" s="631"/>
    </row>
    <row r="274" spans="1:17" ht="18" customHeight="1" x14ac:dyDescent="0.35">
      <c r="A274" s="301">
        <v>266</v>
      </c>
      <c r="B274" s="237"/>
      <c r="C274" s="191"/>
      <c r="D274" s="225" t="s">
        <v>796</v>
      </c>
      <c r="E274" s="183"/>
      <c r="F274" s="555"/>
      <c r="G274" s="300"/>
      <c r="H274" s="633"/>
      <c r="I274" s="632"/>
      <c r="J274" s="632"/>
      <c r="K274" s="632">
        <v>10901</v>
      </c>
      <c r="L274" s="632"/>
      <c r="M274" s="632"/>
      <c r="N274" s="632"/>
      <c r="O274" s="632"/>
      <c r="P274" s="296">
        <f t="shared" ref="P274:P277" si="81">SUM(I274:O274)</f>
        <v>10901</v>
      </c>
      <c r="Q274" s="631"/>
    </row>
    <row r="275" spans="1:17" ht="17.100000000000001" customHeight="1" x14ac:dyDescent="0.35">
      <c r="A275" s="301">
        <v>267</v>
      </c>
      <c r="B275" s="237"/>
      <c r="C275" s="191"/>
      <c r="D275" s="187" t="s">
        <v>860</v>
      </c>
      <c r="E275" s="555"/>
      <c r="F275" s="555"/>
      <c r="G275" s="300"/>
      <c r="H275" s="633"/>
      <c r="I275" s="632"/>
      <c r="J275" s="632"/>
      <c r="K275" s="1194">
        <v>2</v>
      </c>
      <c r="L275" s="632"/>
      <c r="M275" s="632"/>
      <c r="N275" s="632"/>
      <c r="O275" s="632"/>
      <c r="P275" s="1192">
        <f t="shared" si="81"/>
        <v>2</v>
      </c>
      <c r="Q275" s="631"/>
    </row>
    <row r="276" spans="1:17" ht="20.100000000000001" customHeight="1" x14ac:dyDescent="0.35">
      <c r="A276" s="301">
        <v>268</v>
      </c>
      <c r="B276" s="237"/>
      <c r="C276" s="191"/>
      <c r="D276" s="290" t="s">
        <v>808</v>
      </c>
      <c r="E276" s="183">
        <f>F276+G276+P277+Q276</f>
        <v>311904</v>
      </c>
      <c r="F276" s="555"/>
      <c r="G276" s="300"/>
      <c r="H276" s="633"/>
      <c r="I276" s="632"/>
      <c r="J276" s="632"/>
      <c r="K276" s="632"/>
      <c r="L276" s="632"/>
      <c r="M276" s="632"/>
      <c r="N276" s="632"/>
      <c r="O276" s="632"/>
      <c r="P276" s="296"/>
      <c r="Q276" s="631"/>
    </row>
    <row r="277" spans="1:17" ht="18" customHeight="1" x14ac:dyDescent="0.35">
      <c r="A277" s="301">
        <v>269</v>
      </c>
      <c r="B277" s="237"/>
      <c r="C277" s="191"/>
      <c r="D277" s="225" t="s">
        <v>796</v>
      </c>
      <c r="E277" s="183"/>
      <c r="F277" s="555"/>
      <c r="G277" s="300"/>
      <c r="H277" s="633"/>
      <c r="I277" s="632"/>
      <c r="J277" s="632"/>
      <c r="K277" s="632"/>
      <c r="L277" s="632"/>
      <c r="M277" s="632">
        <v>311904</v>
      </c>
      <c r="N277" s="632"/>
      <c r="O277" s="632"/>
      <c r="P277" s="296">
        <f t="shared" si="81"/>
        <v>311904</v>
      </c>
      <c r="Q277" s="631"/>
    </row>
    <row r="278" spans="1:17" ht="17.100000000000001" customHeight="1" thickBot="1" x14ac:dyDescent="0.4">
      <c r="A278" s="301">
        <v>270</v>
      </c>
      <c r="B278" s="237"/>
      <c r="C278" s="191"/>
      <c r="D278" s="187" t="s">
        <v>860</v>
      </c>
      <c r="E278" s="555"/>
      <c r="F278" s="555"/>
      <c r="G278" s="300"/>
      <c r="H278" s="633"/>
      <c r="I278" s="1194"/>
      <c r="J278" s="1194"/>
      <c r="K278" s="1194"/>
      <c r="L278" s="1194"/>
      <c r="M278" s="1194"/>
      <c r="N278" s="1194"/>
      <c r="O278" s="1194"/>
      <c r="P278" s="1192">
        <f t="shared" ref="P278" si="82">SUM(I278:O278)</f>
        <v>0</v>
      </c>
      <c r="Q278" s="631"/>
    </row>
    <row r="279" spans="1:17" ht="24.95" customHeight="1" thickTop="1" x14ac:dyDescent="0.35">
      <c r="A279" s="301">
        <v>271</v>
      </c>
      <c r="B279" s="237"/>
      <c r="C279" s="1412"/>
      <c r="D279" s="1420" t="s">
        <v>824</v>
      </c>
      <c r="E279" s="1413">
        <f>SUM(E273:E278)</f>
        <v>326170</v>
      </c>
      <c r="F279" s="1413">
        <f>SUM(F273:F278)</f>
        <v>0</v>
      </c>
      <c r="G279" s="1292">
        <f>SUM(G273:G278)</f>
        <v>0</v>
      </c>
      <c r="H279" s="1415"/>
      <c r="I279" s="1414"/>
      <c r="J279" s="1414"/>
      <c r="K279" s="1414"/>
      <c r="L279" s="1414"/>
      <c r="M279" s="1414"/>
      <c r="N279" s="1414"/>
      <c r="O279" s="1414"/>
      <c r="P279" s="1417"/>
      <c r="Q279" s="1416"/>
    </row>
    <row r="280" spans="1:17" ht="18" customHeight="1" x14ac:dyDescent="0.35">
      <c r="A280" s="301">
        <v>272</v>
      </c>
      <c r="B280" s="237"/>
      <c r="C280" s="400"/>
      <c r="D280" s="1235" t="s">
        <v>796</v>
      </c>
      <c r="E280" s="563"/>
      <c r="F280" s="563"/>
      <c r="G280" s="534"/>
      <c r="H280" s="642"/>
      <c r="I280" s="643">
        <f t="shared" ref="I280:O281" si="83">I277+I274</f>
        <v>0</v>
      </c>
      <c r="J280" s="643">
        <f t="shared" si="83"/>
        <v>0</v>
      </c>
      <c r="K280" s="643">
        <f t="shared" si="83"/>
        <v>10901</v>
      </c>
      <c r="L280" s="643">
        <f t="shared" si="83"/>
        <v>0</v>
      </c>
      <c r="M280" s="643">
        <f t="shared" si="83"/>
        <v>311904</v>
      </c>
      <c r="N280" s="643">
        <f t="shared" si="83"/>
        <v>0</v>
      </c>
      <c r="O280" s="643">
        <f t="shared" si="83"/>
        <v>0</v>
      </c>
      <c r="P280" s="296">
        <f t="shared" ref="P280" si="84">SUM(I280:O280)</f>
        <v>322805</v>
      </c>
      <c r="Q280" s="644"/>
    </row>
    <row r="281" spans="1:17" ht="17.100000000000001" customHeight="1" x14ac:dyDescent="0.35">
      <c r="A281" s="301">
        <v>273</v>
      </c>
      <c r="B281" s="237"/>
      <c r="C281" s="191"/>
      <c r="D281" s="187" t="s">
        <v>860</v>
      </c>
      <c r="E281" s="555"/>
      <c r="F281" s="555"/>
      <c r="G281" s="559"/>
      <c r="H281" s="633"/>
      <c r="I281" s="1193">
        <f t="shared" si="83"/>
        <v>0</v>
      </c>
      <c r="J281" s="1193">
        <f t="shared" si="83"/>
        <v>0</v>
      </c>
      <c r="K281" s="1193">
        <f t="shared" si="83"/>
        <v>2</v>
      </c>
      <c r="L281" s="1193">
        <f t="shared" si="83"/>
        <v>0</v>
      </c>
      <c r="M281" s="1193">
        <f t="shared" si="83"/>
        <v>0</v>
      </c>
      <c r="N281" s="1193">
        <f t="shared" si="83"/>
        <v>0</v>
      </c>
      <c r="O281" s="1193">
        <f t="shared" si="83"/>
        <v>0</v>
      </c>
      <c r="P281" s="1191">
        <f t="shared" ref="P281" si="85">SUM(I281:O281)</f>
        <v>2</v>
      </c>
      <c r="Q281" s="631"/>
    </row>
    <row r="282" spans="1:17" ht="53.25" customHeight="1" x14ac:dyDescent="0.35">
      <c r="A282" s="301">
        <v>274</v>
      </c>
      <c r="B282" s="237"/>
      <c r="C282" s="1434">
        <v>18</v>
      </c>
      <c r="D282" s="1424" t="s">
        <v>858</v>
      </c>
      <c r="E282" s="552">
        <f>P283+Q284+F282+G282</f>
        <v>44373</v>
      </c>
      <c r="F282" s="552"/>
      <c r="G282" s="300"/>
      <c r="H282" s="646"/>
      <c r="I282" s="609"/>
      <c r="J282" s="647"/>
      <c r="K282" s="647"/>
      <c r="L282" s="647"/>
      <c r="M282" s="647"/>
      <c r="N282" s="647"/>
      <c r="O282" s="647"/>
      <c r="P282" s="1419"/>
      <c r="Q282" s="648"/>
    </row>
    <row r="283" spans="1:17" ht="18" customHeight="1" x14ac:dyDescent="0.35">
      <c r="A283" s="301">
        <v>275</v>
      </c>
      <c r="B283" s="237"/>
      <c r="C283" s="175"/>
      <c r="D283" s="225" t="s">
        <v>796</v>
      </c>
      <c r="E283" s="555"/>
      <c r="F283" s="555"/>
      <c r="G283" s="300"/>
      <c r="H283" s="633"/>
      <c r="I283" s="614"/>
      <c r="J283" s="632"/>
      <c r="K283" s="632">
        <v>2000</v>
      </c>
      <c r="L283" s="632"/>
      <c r="M283" s="632"/>
      <c r="N283" s="632"/>
      <c r="O283" s="632">
        <v>42373</v>
      </c>
      <c r="P283" s="296">
        <f t="shared" ref="P283" si="86">SUM(I283:O283)</f>
        <v>44373</v>
      </c>
      <c r="Q283" s="631"/>
    </row>
    <row r="284" spans="1:17" ht="17.100000000000001" customHeight="1" thickBot="1" x14ac:dyDescent="0.4">
      <c r="A284" s="301">
        <v>276</v>
      </c>
      <c r="B284" s="237"/>
      <c r="C284" s="621"/>
      <c r="D284" s="1446" t="s">
        <v>860</v>
      </c>
      <c r="E284" s="622"/>
      <c r="F284" s="622"/>
      <c r="G284" s="1258"/>
      <c r="H284" s="1288"/>
      <c r="I284" s="625"/>
      <c r="J284" s="1281"/>
      <c r="K284" s="1453"/>
      <c r="L284" s="1281"/>
      <c r="M284" s="1281"/>
      <c r="N284" s="1281"/>
      <c r="O284" s="1453"/>
      <c r="P284" s="1454">
        <f t="shared" ref="P284" si="87">SUM(I284:O284)</f>
        <v>0</v>
      </c>
      <c r="Q284" s="1277"/>
    </row>
    <row r="285" spans="1:17" ht="22.5" customHeight="1" thickTop="1" x14ac:dyDescent="0.35">
      <c r="A285" s="301">
        <v>277</v>
      </c>
      <c r="B285" s="237"/>
      <c r="C285" s="400">
        <v>19</v>
      </c>
      <c r="D285" s="1291" t="s">
        <v>470</v>
      </c>
      <c r="E285" s="181">
        <f>F285+G285+P287+Q286</f>
        <v>4875</v>
      </c>
      <c r="F285" s="179">
        <v>3</v>
      </c>
      <c r="G285" s="180">
        <v>635</v>
      </c>
      <c r="H285" s="372" t="s">
        <v>24</v>
      </c>
      <c r="I285" s="530"/>
      <c r="J285" s="531"/>
      <c r="K285" s="531"/>
      <c r="L285" s="531"/>
      <c r="M285" s="406"/>
      <c r="N285" s="531"/>
      <c r="O285" s="531"/>
      <c r="P285" s="532"/>
      <c r="Q285" s="289"/>
    </row>
    <row r="286" spans="1:17" ht="18" customHeight="1" x14ac:dyDescent="0.35">
      <c r="A286" s="301">
        <v>278</v>
      </c>
      <c r="B286" s="237"/>
      <c r="C286" s="191"/>
      <c r="D286" s="367" t="s">
        <v>268</v>
      </c>
      <c r="E286" s="183"/>
      <c r="F286" s="291"/>
      <c r="G286" s="184"/>
      <c r="H286" s="373"/>
      <c r="I286" s="370"/>
      <c r="J286" s="288"/>
      <c r="K286" s="384">
        <v>2289</v>
      </c>
      <c r="L286" s="288"/>
      <c r="M286" s="384">
        <v>2000</v>
      </c>
      <c r="N286" s="288"/>
      <c r="O286" s="288"/>
      <c r="P286" s="357">
        <f>SUM(I286:O286)</f>
        <v>4289</v>
      </c>
      <c r="Q286" s="292"/>
    </row>
    <row r="287" spans="1:17" ht="18" customHeight="1" x14ac:dyDescent="0.35">
      <c r="A287" s="301">
        <v>279</v>
      </c>
      <c r="B287" s="1234"/>
      <c r="C287" s="630"/>
      <c r="D287" s="225" t="s">
        <v>796</v>
      </c>
      <c r="E287" s="183"/>
      <c r="F287" s="291"/>
      <c r="G287" s="1174"/>
      <c r="H287" s="373"/>
      <c r="I287" s="614"/>
      <c r="J287" s="614"/>
      <c r="K287" s="370">
        <v>2439</v>
      </c>
      <c r="L287" s="370"/>
      <c r="M287" s="370">
        <v>1798</v>
      </c>
      <c r="N287" s="614"/>
      <c r="O287" s="614"/>
      <c r="P287" s="296">
        <f t="shared" ref="P287:P288" si="88">SUM(I287:O287)</f>
        <v>4237</v>
      </c>
      <c r="Q287" s="292"/>
    </row>
    <row r="288" spans="1:17" ht="18" customHeight="1" thickBot="1" x14ac:dyDescent="0.4">
      <c r="A288" s="301">
        <v>280</v>
      </c>
      <c r="B288" s="1234"/>
      <c r="C288" s="630"/>
      <c r="D288" s="187" t="s">
        <v>861</v>
      </c>
      <c r="E288" s="183"/>
      <c r="F288" s="291"/>
      <c r="G288" s="1174"/>
      <c r="H288" s="373"/>
      <c r="I288" s="1198"/>
      <c r="J288" s="1198"/>
      <c r="K288" s="1198">
        <v>1775</v>
      </c>
      <c r="L288" s="1198"/>
      <c r="M288" s="1198"/>
      <c r="N288" s="1198"/>
      <c r="O288" s="1198"/>
      <c r="P288" s="1191">
        <f t="shared" si="88"/>
        <v>1775</v>
      </c>
      <c r="Q288" s="292"/>
    </row>
    <row r="289" spans="1:17" s="178" customFormat="1" ht="21.95" customHeight="1" thickBot="1" x14ac:dyDescent="0.25">
      <c r="A289" s="301">
        <v>281</v>
      </c>
      <c r="B289" s="1776" t="s">
        <v>13</v>
      </c>
      <c r="C289" s="1777"/>
      <c r="D289" s="1777"/>
      <c r="E289" s="1777"/>
      <c r="F289" s="1777"/>
      <c r="G289" s="1778"/>
      <c r="H289" s="305"/>
      <c r="I289" s="423"/>
      <c r="J289" s="423"/>
      <c r="K289" s="423"/>
      <c r="L289" s="423"/>
      <c r="M289" s="423"/>
      <c r="N289" s="423"/>
      <c r="O289" s="1295"/>
      <c r="P289" s="602"/>
      <c r="Q289" s="424"/>
    </row>
    <row r="290" spans="1:17" s="178" customFormat="1" ht="17.100000000000001" customHeight="1" x14ac:dyDescent="0.35">
      <c r="A290" s="301">
        <v>282</v>
      </c>
      <c r="B290" s="1219"/>
      <c r="C290" s="1175"/>
      <c r="D290" s="1436" t="s">
        <v>268</v>
      </c>
      <c r="E290" s="1205"/>
      <c r="F290" s="1205"/>
      <c r="G290" s="1206"/>
      <c r="H290" s="1232"/>
      <c r="I290" s="1298">
        <f t="shared" ref="I290:O290" si="89">I286+I252+I243+I206+I193+I176+I167+I142+I133+I124+I95+I71+I62+I16+I41</f>
        <v>7657</v>
      </c>
      <c r="J290" s="1298">
        <f t="shared" si="89"/>
        <v>2054</v>
      </c>
      <c r="K290" s="1298">
        <f t="shared" si="89"/>
        <v>1046434</v>
      </c>
      <c r="L290" s="1298">
        <f t="shared" si="89"/>
        <v>0</v>
      </c>
      <c r="M290" s="1298">
        <f t="shared" si="89"/>
        <v>18997100</v>
      </c>
      <c r="N290" s="1298">
        <f t="shared" si="89"/>
        <v>0</v>
      </c>
      <c r="O290" s="1298">
        <f t="shared" si="89"/>
        <v>0</v>
      </c>
      <c r="P290" s="1299">
        <f t="shared" ref="P290:P292" si="90">SUM(I290:O290)</f>
        <v>20053245</v>
      </c>
      <c r="Q290" s="1182"/>
    </row>
    <row r="291" spans="1:17" s="178" customFormat="1" ht="17.100000000000001" customHeight="1" x14ac:dyDescent="0.3">
      <c r="A291" s="301">
        <v>283</v>
      </c>
      <c r="B291" s="1220"/>
      <c r="C291" s="1176"/>
      <c r="D291" s="1280" t="s">
        <v>796</v>
      </c>
      <c r="E291" s="1207"/>
      <c r="F291" s="1207"/>
      <c r="G291" s="1208"/>
      <c r="H291" s="1233"/>
      <c r="I291" s="1177">
        <f>I287+I253+I244+I207+I194+I177+I168+I143+I134+I125+I96+I72+I63+I17+I42+I283+I280+I270+I263</f>
        <v>7954</v>
      </c>
      <c r="J291" s="1177">
        <f t="shared" ref="J291:O291" si="91">J287+J253+J244+J207+J194+J177+J168+J143+J134+J125+J96+J72+J63+J17+J42+J283+J280+J270+J263</f>
        <v>2390</v>
      </c>
      <c r="K291" s="1177">
        <f t="shared" si="91"/>
        <v>1061575</v>
      </c>
      <c r="L291" s="1177">
        <f t="shared" si="91"/>
        <v>32098</v>
      </c>
      <c r="M291" s="1177">
        <f t="shared" si="91"/>
        <v>19397093</v>
      </c>
      <c r="N291" s="1177">
        <f t="shared" si="91"/>
        <v>0</v>
      </c>
      <c r="O291" s="1177">
        <f t="shared" si="91"/>
        <v>43073</v>
      </c>
      <c r="P291" s="1180">
        <f t="shared" si="90"/>
        <v>20544183</v>
      </c>
      <c r="Q291" s="1184"/>
    </row>
    <row r="292" spans="1:17" s="178" customFormat="1" ht="17.100000000000001" customHeight="1" thickBot="1" x14ac:dyDescent="0.35">
      <c r="A292" s="301">
        <v>284</v>
      </c>
      <c r="B292" s="1221"/>
      <c r="C292" s="1186"/>
      <c r="D292" s="1455" t="s">
        <v>860</v>
      </c>
      <c r="E292" s="1209"/>
      <c r="F292" s="1209"/>
      <c r="G292" s="1210"/>
      <c r="H292" s="1294"/>
      <c r="I292" s="1456">
        <f t="shared" ref="I292:O292" si="92">I288+I254+I245+I208+I195+I178+I169+I144+I135+I126+I97+I73+I64+I18+I43+I264+I271+I281+I284</f>
        <v>3178</v>
      </c>
      <c r="J292" s="1456">
        <f t="shared" si="92"/>
        <v>430</v>
      </c>
      <c r="K292" s="1456">
        <f t="shared" si="92"/>
        <v>391641</v>
      </c>
      <c r="L292" s="1456">
        <f t="shared" si="92"/>
        <v>31868</v>
      </c>
      <c r="M292" s="1456">
        <f t="shared" si="92"/>
        <v>2676667</v>
      </c>
      <c r="N292" s="1456">
        <f t="shared" si="92"/>
        <v>0</v>
      </c>
      <c r="O292" s="1456">
        <f t="shared" si="92"/>
        <v>700</v>
      </c>
      <c r="P292" s="1444">
        <f t="shared" si="90"/>
        <v>3104484</v>
      </c>
      <c r="Q292" s="1188"/>
    </row>
    <row r="293" spans="1:17" ht="18" customHeight="1" x14ac:dyDescent="0.35">
      <c r="B293" s="293" t="s">
        <v>27</v>
      </c>
      <c r="C293" s="294"/>
      <c r="D293" s="293"/>
      <c r="E293" s="185"/>
      <c r="F293" s="186"/>
      <c r="G293" s="185"/>
      <c r="H293" s="281"/>
      <c r="I293" s="185"/>
      <c r="J293" s="185"/>
      <c r="K293" s="185"/>
      <c r="L293" s="185"/>
      <c r="M293" s="185"/>
      <c r="N293" s="185"/>
      <c r="O293" s="185"/>
      <c r="P293" s="303"/>
    </row>
    <row r="294" spans="1:17" ht="18" customHeight="1" x14ac:dyDescent="0.35">
      <c r="B294" s="293" t="s">
        <v>28</v>
      </c>
      <c r="C294" s="294"/>
      <c r="D294" s="293"/>
      <c r="E294" s="239"/>
      <c r="F294" s="186"/>
      <c r="G294" s="185"/>
      <c r="H294" s="281"/>
      <c r="I294" s="185"/>
      <c r="J294" s="185"/>
      <c r="K294" s="185"/>
      <c r="L294" s="185"/>
      <c r="M294" s="185"/>
      <c r="N294" s="185"/>
      <c r="O294" s="185"/>
      <c r="P294" s="303"/>
    </row>
    <row r="295" spans="1:17" ht="18" customHeight="1" x14ac:dyDescent="0.35">
      <c r="B295" s="293" t="s">
        <v>29</v>
      </c>
      <c r="C295" s="294"/>
      <c r="D295" s="293"/>
      <c r="E295" s="239"/>
      <c r="F295" s="186"/>
      <c r="G295" s="185"/>
      <c r="H295" s="281"/>
      <c r="I295" s="185"/>
      <c r="J295" s="185"/>
      <c r="K295" s="185"/>
      <c r="L295" s="185"/>
      <c r="M295" s="185"/>
      <c r="N295" s="185"/>
      <c r="O295" s="185"/>
      <c r="P295" s="303"/>
    </row>
    <row r="296" spans="1:17" x14ac:dyDescent="0.35">
      <c r="B296" s="182" t="s">
        <v>460</v>
      </c>
      <c r="C296" s="182"/>
    </row>
  </sheetData>
  <mergeCells count="18">
    <mergeCell ref="B289:G289"/>
    <mergeCell ref="I6:P6"/>
    <mergeCell ref="Q6:Q8"/>
    <mergeCell ref="C6:C8"/>
    <mergeCell ref="D6:D8"/>
    <mergeCell ref="E6:E8"/>
    <mergeCell ref="F6:F8"/>
    <mergeCell ref="G6:G8"/>
    <mergeCell ref="H6:H8"/>
    <mergeCell ref="I1:Q1"/>
    <mergeCell ref="A2:Q2"/>
    <mergeCell ref="A3:Q3"/>
    <mergeCell ref="B6:B8"/>
    <mergeCell ref="R6:S6"/>
    <mergeCell ref="I7:L7"/>
    <mergeCell ref="M7:O7"/>
    <mergeCell ref="P7:P8"/>
    <mergeCell ref="B1:F1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57" fitToHeight="0" orientation="landscape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N37"/>
  <sheetViews>
    <sheetView view="pageBreakPreview" topLeftCell="A9" zoomScale="75" zoomScaleNormal="75" zoomScaleSheetLayoutView="75" workbookViewId="0">
      <selection activeCell="J31" sqref="J31"/>
    </sheetView>
  </sheetViews>
  <sheetFormatPr defaultRowHeight="16.5" x14ac:dyDescent="0.3"/>
  <cols>
    <col min="1" max="1" width="4.7109375" style="66" customWidth="1"/>
    <col min="2" max="3" width="6.7109375" style="136" customWidth="1"/>
    <col min="4" max="4" width="63.7109375" style="62" customWidth="1"/>
    <col min="5" max="7" width="15.7109375" style="2" customWidth="1"/>
    <col min="8" max="9" width="6.7109375" style="136" customWidth="1"/>
    <col min="10" max="10" width="63.7109375" style="62" customWidth="1"/>
    <col min="11" max="11" width="15.7109375" style="2" customWidth="1"/>
    <col min="12" max="13" width="15.7109375" style="62" customWidth="1"/>
    <col min="14" max="16384" width="9.140625" style="62"/>
  </cols>
  <sheetData>
    <row r="1" spans="1:18" s="1" customFormat="1" ht="18" customHeight="1" x14ac:dyDescent="0.3">
      <c r="A1" s="96"/>
      <c r="B1" s="1585" t="s">
        <v>888</v>
      </c>
      <c r="C1" s="1585"/>
      <c r="D1" s="1585"/>
      <c r="E1" s="62"/>
      <c r="F1" s="239"/>
      <c r="G1" s="239"/>
      <c r="H1" s="239"/>
      <c r="I1" s="281"/>
      <c r="J1" s="1433"/>
      <c r="K1" s="1433"/>
      <c r="L1" s="1433"/>
      <c r="M1" s="1433"/>
      <c r="N1" s="1433"/>
      <c r="O1" s="1433"/>
      <c r="P1" s="1433"/>
      <c r="Q1" s="1433"/>
      <c r="R1" s="1433"/>
    </row>
    <row r="2" spans="1:18" s="1" customFormat="1" ht="24.75" customHeight="1" x14ac:dyDescent="0.2">
      <c r="A2" s="96"/>
      <c r="B2" s="1586" t="s">
        <v>190</v>
      </c>
      <c r="C2" s="1586"/>
      <c r="D2" s="1586"/>
      <c r="E2" s="1586"/>
      <c r="F2" s="1586"/>
      <c r="G2" s="1586"/>
      <c r="H2" s="1586"/>
      <c r="I2" s="1586"/>
      <c r="J2" s="1586"/>
      <c r="K2" s="1586"/>
      <c r="L2" s="1586"/>
    </row>
    <row r="3" spans="1:18" s="1" customFormat="1" ht="24.75" customHeight="1" x14ac:dyDescent="0.2">
      <c r="A3" s="96"/>
      <c r="B3" s="1586" t="s">
        <v>871</v>
      </c>
      <c r="C3" s="1586"/>
      <c r="D3" s="1586"/>
      <c r="E3" s="1586"/>
      <c r="F3" s="1586"/>
      <c r="G3" s="1586"/>
      <c r="H3" s="1586"/>
      <c r="I3" s="1586"/>
      <c r="J3" s="1586"/>
      <c r="K3" s="1586"/>
      <c r="L3" s="1586"/>
    </row>
    <row r="4" spans="1:18" s="378" customFormat="1" ht="12.95" customHeight="1" x14ac:dyDescent="0.2">
      <c r="A4" s="376"/>
      <c r="B4" s="377"/>
      <c r="C4" s="377"/>
      <c r="D4" s="377"/>
      <c r="E4" s="377"/>
      <c r="F4" s="377"/>
      <c r="G4" s="377"/>
      <c r="H4" s="377"/>
      <c r="I4" s="377"/>
      <c r="J4" s="377"/>
      <c r="L4" s="69"/>
      <c r="M4" s="69" t="s">
        <v>0</v>
      </c>
    </row>
    <row r="5" spans="1:18" s="375" customFormat="1" ht="18" customHeight="1" thickBot="1" x14ac:dyDescent="0.35">
      <c r="B5" s="64" t="s">
        <v>1</v>
      </c>
      <c r="C5" s="64" t="s">
        <v>3</v>
      </c>
      <c r="D5" s="64" t="s">
        <v>2</v>
      </c>
      <c r="E5" s="64" t="s">
        <v>4</v>
      </c>
      <c r="F5" s="64" t="s">
        <v>5</v>
      </c>
      <c r="G5" s="64" t="s">
        <v>15</v>
      </c>
      <c r="H5" s="64" t="s">
        <v>16</v>
      </c>
      <c r="I5" s="64" t="s">
        <v>17</v>
      </c>
      <c r="J5" s="64" t="s">
        <v>34</v>
      </c>
      <c r="K5" s="17" t="s">
        <v>30</v>
      </c>
      <c r="L5" s="375" t="s">
        <v>23</v>
      </c>
      <c r="M5" s="375" t="s">
        <v>35</v>
      </c>
    </row>
    <row r="6" spans="1:18" ht="49.5" x14ac:dyDescent="0.3">
      <c r="A6" s="66">
        <v>1</v>
      </c>
      <c r="B6" s="949" t="s">
        <v>387</v>
      </c>
      <c r="C6" s="950" t="s">
        <v>388</v>
      </c>
      <c r="D6" s="965" t="s">
        <v>696</v>
      </c>
      <c r="E6" s="1300" t="s">
        <v>710</v>
      </c>
      <c r="F6" s="1300" t="s">
        <v>795</v>
      </c>
      <c r="G6" s="1488" t="s">
        <v>865</v>
      </c>
      <c r="H6" s="950" t="s">
        <v>387</v>
      </c>
      <c r="I6" s="950" t="s">
        <v>388</v>
      </c>
      <c r="J6" s="965" t="s">
        <v>696</v>
      </c>
      <c r="K6" s="1300" t="s">
        <v>710</v>
      </c>
      <c r="L6" s="1484" t="s">
        <v>795</v>
      </c>
      <c r="M6" s="1502" t="s">
        <v>865</v>
      </c>
    </row>
    <row r="7" spans="1:18" ht="24.75" customHeight="1" x14ac:dyDescent="0.35">
      <c r="A7" s="66">
        <v>2</v>
      </c>
      <c r="B7" s="61">
        <v>1</v>
      </c>
      <c r="C7" s="66"/>
      <c r="D7" s="91" t="s">
        <v>191</v>
      </c>
      <c r="E7" s="210"/>
      <c r="F7" s="210"/>
      <c r="G7" s="1489"/>
      <c r="H7" s="66">
        <v>1</v>
      </c>
      <c r="I7" s="66"/>
      <c r="J7" s="91" t="s">
        <v>192</v>
      </c>
      <c r="K7" s="1304"/>
      <c r="L7" s="1485"/>
      <c r="M7" s="1503"/>
    </row>
    <row r="8" spans="1:18" ht="15" customHeight="1" x14ac:dyDescent="0.3">
      <c r="A8" s="66">
        <v>3</v>
      </c>
      <c r="B8" s="61"/>
      <c r="C8" s="66">
        <v>1</v>
      </c>
      <c r="D8" s="62" t="s">
        <v>193</v>
      </c>
      <c r="E8" s="193">
        <f>'1.Onbe'!J8+'1.Onbe'!J19</f>
        <v>6460743</v>
      </c>
      <c r="F8" s="193">
        <f>'1.Onbe'!K8+'1.Onbe'!K19</f>
        <v>6650882</v>
      </c>
      <c r="G8" s="1490">
        <f>'1.Onbe'!L8+'1.Onbe'!L19</f>
        <v>3881377</v>
      </c>
      <c r="H8" s="66"/>
      <c r="I8" s="66">
        <v>1</v>
      </c>
      <c r="J8" s="62" t="s">
        <v>38</v>
      </c>
      <c r="K8" s="198">
        <f>'4.Inki'!K247+'6.Önk.műk.'!J660+'9.Projekt'!I90+'10.MVP és hazai'!I63+'11.EKF'!I290</f>
        <v>5918546</v>
      </c>
      <c r="L8" s="198">
        <f>'4.Inki'!K248+'6.Önk.műk.'!J661+'9.Projekt'!I91+'10.MVP és hazai'!I64+'11.EKF'!I291</f>
        <v>6433891</v>
      </c>
      <c r="M8" s="1507">
        <f>'4.Inki'!K249+'6.Önk.műk.'!J662+'9.Projekt'!I92+'10.MVP és hazai'!I65+'11.EKF'!I292</f>
        <v>2789571</v>
      </c>
    </row>
    <row r="9" spans="1:18" ht="16.5" customHeight="1" x14ac:dyDescent="0.3">
      <c r="A9" s="66">
        <v>4</v>
      </c>
      <c r="B9" s="61"/>
      <c r="C9" s="66">
        <v>2</v>
      </c>
      <c r="D9" s="62" t="s">
        <v>153</v>
      </c>
      <c r="E9" s="193">
        <f>'1.Onbe'!J20</f>
        <v>7599100</v>
      </c>
      <c r="F9" s="193">
        <f>'1.Onbe'!K20</f>
        <v>7599100</v>
      </c>
      <c r="G9" s="1490">
        <f>'1.Onbe'!L20</f>
        <v>5215292</v>
      </c>
      <c r="H9" s="66"/>
      <c r="I9" s="66">
        <v>2</v>
      </c>
      <c r="J9" s="62" t="s">
        <v>194</v>
      </c>
      <c r="K9" s="198">
        <f>'4.Inki'!L247+'6.Önk.műk.'!K660+'9.Projekt'!J90+'10.MVP és hazai'!J63+'11.EKF'!J290</f>
        <v>882036</v>
      </c>
      <c r="L9" s="198">
        <f>'4.Inki'!L248+'6.Önk.műk.'!K661+'9.Projekt'!J91+'10.MVP és hazai'!J64+'11.EKF'!J291</f>
        <v>983694</v>
      </c>
      <c r="M9" s="1507">
        <f>'4.Inki'!L249+'6.Önk.műk.'!K662+'9.Projekt'!J92+'10.MVP és hazai'!J65+'11.EKF'!J292</f>
        <v>437397</v>
      </c>
    </row>
    <row r="10" spans="1:18" x14ac:dyDescent="0.3">
      <c r="A10" s="66">
        <v>5</v>
      </c>
      <c r="B10" s="61"/>
      <c r="C10" s="66">
        <v>3</v>
      </c>
      <c r="D10" s="194" t="s">
        <v>121</v>
      </c>
      <c r="E10" s="193">
        <f>'1.Onbe'!J31+'1.Onbe'!J36</f>
        <v>5979804</v>
      </c>
      <c r="F10" s="193">
        <f>'1.Onbe'!K31+'1.Onbe'!K36</f>
        <v>6064807</v>
      </c>
      <c r="G10" s="1490">
        <f>'1.Onbe'!L31+'1.Onbe'!L36</f>
        <v>1656250</v>
      </c>
      <c r="H10" s="66"/>
      <c r="I10" s="66">
        <v>3</v>
      </c>
      <c r="J10" s="62" t="s">
        <v>40</v>
      </c>
      <c r="K10" s="198">
        <f>'4.Inki'!M247+'6.Önk.műk.'!L660+'7.Beruh.'!I220+'8.Felúj.'!I117+'9.Projekt'!K90+'10.MVP és hazai'!K63+'11.EKF'!K290</f>
        <v>6600914</v>
      </c>
      <c r="L10" s="193">
        <f>'4.Inki'!M248+'6.Önk.műk.'!L661+'7.Beruh.'!I221+'8.Felúj.'!I118+'9.Projekt'!K91+'10.MVP és hazai'!K64+'11.EKF'!K291</f>
        <v>8264901</v>
      </c>
      <c r="M10" s="1507">
        <f>'4.Inki'!M249+'6.Önk.műk.'!L662+'7.Beruh.'!I222+'8.Felúj.'!I119+'9.Projekt'!K92+'10.MVP és hazai'!K65+'11.EKF'!K292</f>
        <v>2863528</v>
      </c>
    </row>
    <row r="11" spans="1:18" x14ac:dyDescent="0.3">
      <c r="A11" s="66">
        <v>6</v>
      </c>
      <c r="B11" s="61"/>
      <c r="C11" s="66">
        <v>4</v>
      </c>
      <c r="D11" s="62" t="s">
        <v>158</v>
      </c>
      <c r="E11" s="193">
        <f>'1.Onbe'!J37+'1.Onbe'!J40</f>
        <v>872101</v>
      </c>
      <c r="F11" s="193">
        <f>'1.Onbe'!K37+'1.Onbe'!K40</f>
        <v>1088704</v>
      </c>
      <c r="G11" s="1490">
        <f>'1.Onbe'!L37+'1.Onbe'!L40</f>
        <v>917431</v>
      </c>
      <c r="H11" s="66"/>
      <c r="I11" s="66">
        <v>4</v>
      </c>
      <c r="J11" s="62" t="s">
        <v>195</v>
      </c>
      <c r="K11" s="198">
        <f>'6.Önk.műk.'!M660</f>
        <v>40710</v>
      </c>
      <c r="L11" s="193">
        <f>'6.Önk.műk.'!M661</f>
        <v>67216</v>
      </c>
      <c r="M11" s="1507">
        <f>'6.Önk.műk.'!M662</f>
        <v>6863</v>
      </c>
    </row>
    <row r="12" spans="1:18" x14ac:dyDescent="0.3">
      <c r="A12" s="66">
        <v>7</v>
      </c>
      <c r="B12" s="61"/>
      <c r="C12" s="66"/>
      <c r="D12" s="194"/>
      <c r="E12" s="193"/>
      <c r="F12" s="193"/>
      <c r="G12" s="1490"/>
      <c r="H12" s="66"/>
      <c r="I12" s="66">
        <v>5</v>
      </c>
      <c r="J12" s="68" t="s">
        <v>196</v>
      </c>
      <c r="K12" s="198">
        <f>'4.Inki'!O247+'6.Önk.műk.'!N660+'9.Projekt'!L90+'10.MVP és hazai'!L63+'11.EKF'!L290</f>
        <v>5428994</v>
      </c>
      <c r="L12" s="193">
        <f>'4.Inki'!O248+'6.Önk.műk.'!N661+'9.Projekt'!L91+'10.MVP és hazai'!L64+'11.EKF'!L291</f>
        <v>5868312</v>
      </c>
      <c r="M12" s="1507">
        <f>'4.Inki'!O249+'6.Önk.műk.'!N662+'9.Projekt'!L92+'10.MVP és hazai'!L65+'11.EKF'!L292</f>
        <v>3086210</v>
      </c>
    </row>
    <row r="13" spans="1:18" x14ac:dyDescent="0.3">
      <c r="A13" s="66">
        <v>8</v>
      </c>
      <c r="B13" s="61"/>
      <c r="C13" s="66"/>
      <c r="D13" s="194"/>
      <c r="E13" s="193"/>
      <c r="F13" s="193"/>
      <c r="G13" s="1490"/>
      <c r="H13" s="66"/>
      <c r="I13" s="66">
        <v>6</v>
      </c>
      <c r="J13" s="68" t="s">
        <v>359</v>
      </c>
      <c r="K13" s="198">
        <f>'2.Onki'!J16+'2.Onki'!J26</f>
        <v>794089</v>
      </c>
      <c r="L13" s="193">
        <f>'2.Onki'!K16+'2.Onki'!K26</f>
        <v>1019972</v>
      </c>
      <c r="M13" s="1503"/>
    </row>
    <row r="14" spans="1:18" s="1" customFormat="1" ht="24.95" customHeight="1" x14ac:dyDescent="0.3">
      <c r="A14" s="66">
        <v>9</v>
      </c>
      <c r="B14" s="951"/>
      <c r="C14" s="952"/>
      <c r="D14" s="195" t="s">
        <v>197</v>
      </c>
      <c r="E14" s="196">
        <f>SUM(E8:E13)</f>
        <v>20911748</v>
      </c>
      <c r="F14" s="196">
        <f t="shared" ref="F14:G14" si="0">SUM(F8:F13)</f>
        <v>21403493</v>
      </c>
      <c r="G14" s="1491">
        <f t="shared" si="0"/>
        <v>11670350</v>
      </c>
      <c r="H14" s="962"/>
      <c r="I14" s="962"/>
      <c r="J14" s="195" t="s">
        <v>198</v>
      </c>
      <c r="K14" s="1305">
        <f>SUM(K8:K13)</f>
        <v>19665289</v>
      </c>
      <c r="L14" s="1305">
        <f>SUM(L8:L13)</f>
        <v>22637986</v>
      </c>
      <c r="M14" s="1499">
        <f>SUM(M8:M13)</f>
        <v>9183569</v>
      </c>
    </row>
    <row r="15" spans="1:18" ht="24.75" customHeight="1" x14ac:dyDescent="0.35">
      <c r="A15" s="66">
        <v>10</v>
      </c>
      <c r="B15" s="61">
        <v>2</v>
      </c>
      <c r="C15" s="66"/>
      <c r="D15" s="91" t="s">
        <v>199</v>
      </c>
      <c r="E15" s="210"/>
      <c r="F15" s="210"/>
      <c r="G15" s="1489"/>
      <c r="H15" s="66">
        <v>2</v>
      </c>
      <c r="I15" s="66"/>
      <c r="J15" s="91" t="s">
        <v>200</v>
      </c>
      <c r="K15" s="1304"/>
      <c r="L15" s="1485"/>
      <c r="M15" s="1503"/>
    </row>
    <row r="16" spans="1:18" x14ac:dyDescent="0.3">
      <c r="A16" s="66">
        <v>11</v>
      </c>
      <c r="B16" s="61"/>
      <c r="C16" s="66">
        <v>5</v>
      </c>
      <c r="D16" s="197" t="s">
        <v>201</v>
      </c>
      <c r="E16" s="198">
        <f>'1.Onbe'!J42+'1.Onbe'!J45</f>
        <v>4544995</v>
      </c>
      <c r="F16" s="198">
        <f>'1.Onbe'!K42+'1.Onbe'!K45</f>
        <v>4509679</v>
      </c>
      <c r="G16" s="1489">
        <f>'1.Onbe'!L42+'1.Onbe'!L45</f>
        <v>3633080</v>
      </c>
      <c r="H16" s="1302"/>
      <c r="I16" s="1302">
        <v>7</v>
      </c>
      <c r="J16" s="197" t="s">
        <v>202</v>
      </c>
      <c r="K16" s="198">
        <f>'2.Onki'!J28+'2.Onki'!J9</f>
        <v>38313897</v>
      </c>
      <c r="L16" s="198">
        <f>'2.Onki'!K28+'2.Onki'!K9</f>
        <v>39083459</v>
      </c>
      <c r="M16" s="1510">
        <f>'2.Onki'!L28+'2.Onki'!L9</f>
        <v>8370222</v>
      </c>
    </row>
    <row r="17" spans="1:40" x14ac:dyDescent="0.3">
      <c r="A17" s="66">
        <v>12</v>
      </c>
      <c r="B17" s="61"/>
      <c r="C17" s="66">
        <v>6</v>
      </c>
      <c r="D17" s="197" t="s">
        <v>164</v>
      </c>
      <c r="E17" s="198">
        <f>'1.Onbe'!J46+'1.Onbe'!J48</f>
        <v>427000</v>
      </c>
      <c r="F17" s="198">
        <f>'1.Onbe'!K46+'1.Onbe'!K48</f>
        <v>476460</v>
      </c>
      <c r="G17" s="1489">
        <f>'1.Onbe'!L46+'1.Onbe'!L48</f>
        <v>25663</v>
      </c>
      <c r="H17" s="1302"/>
      <c r="I17" s="1302">
        <v>8</v>
      </c>
      <c r="J17" s="197" t="s">
        <v>139</v>
      </c>
      <c r="K17" s="198">
        <f>'2.Onki'!J29</f>
        <v>337493</v>
      </c>
      <c r="L17" s="198">
        <f>'2.Onki'!K29</f>
        <v>382439</v>
      </c>
      <c r="M17" s="1510">
        <f>'2.Onki'!L29</f>
        <v>293272</v>
      </c>
    </row>
    <row r="18" spans="1:40" x14ac:dyDescent="0.3">
      <c r="A18" s="66">
        <v>13</v>
      </c>
      <c r="B18" s="61"/>
      <c r="C18" s="66">
        <v>7</v>
      </c>
      <c r="D18" s="62" t="s">
        <v>167</v>
      </c>
      <c r="E18" s="198">
        <f>'1.Onbe'!J49+'1.Onbe'!J50</f>
        <v>14624773</v>
      </c>
      <c r="F18" s="198">
        <f>'1.Onbe'!K49+'1.Onbe'!K50</f>
        <v>15092780</v>
      </c>
      <c r="G18" s="1489">
        <f>'1.Onbe'!L49+'1.Onbe'!L50</f>
        <v>12270291</v>
      </c>
      <c r="H18" s="1302"/>
      <c r="I18" s="1302">
        <v>9</v>
      </c>
      <c r="J18" s="197" t="s">
        <v>203</v>
      </c>
      <c r="K18" s="198">
        <f>'2.Onki'!J30</f>
        <v>152701</v>
      </c>
      <c r="L18" s="198">
        <f>'2.Onki'!K30</f>
        <v>159201</v>
      </c>
      <c r="M18" s="1510">
        <f>'2.Onki'!L30</f>
        <v>27580</v>
      </c>
    </row>
    <row r="19" spans="1:40" x14ac:dyDescent="0.3">
      <c r="A19" s="66">
        <v>14</v>
      </c>
      <c r="B19" s="61"/>
      <c r="C19" s="66"/>
      <c r="E19" s="198"/>
      <c r="F19" s="198"/>
      <c r="G19" s="1489"/>
      <c r="H19" s="1302"/>
      <c r="I19" s="1302">
        <v>10</v>
      </c>
      <c r="J19" s="197" t="s">
        <v>360</v>
      </c>
      <c r="K19" s="198">
        <f>'2.Onki'!J22</f>
        <v>121816</v>
      </c>
      <c r="L19" s="198">
        <f>'2.Onki'!K22</f>
        <v>131816</v>
      </c>
      <c r="M19" s="1510">
        <f>'2.Onki'!L22</f>
        <v>0</v>
      </c>
    </row>
    <row r="20" spans="1:40" s="1" customFormat="1" ht="24.95" customHeight="1" thickBot="1" x14ac:dyDescent="0.35">
      <c r="A20" s="66">
        <v>15</v>
      </c>
      <c r="B20" s="953"/>
      <c r="C20" s="954"/>
      <c r="D20" s="199" t="s">
        <v>204</v>
      </c>
      <c r="E20" s="211">
        <f>SUM(E16:E19)</f>
        <v>19596768</v>
      </c>
      <c r="F20" s="211">
        <f>SUM(F16:F19)</f>
        <v>20078919</v>
      </c>
      <c r="G20" s="1492">
        <f>SUM(G16:G19)</f>
        <v>15929034</v>
      </c>
      <c r="H20" s="963"/>
      <c r="I20" s="963"/>
      <c r="J20" s="199" t="s">
        <v>205</v>
      </c>
      <c r="K20" s="211">
        <f>SUM(K16:K19)</f>
        <v>38925907</v>
      </c>
      <c r="L20" s="211">
        <f>SUM(L16:L19)</f>
        <v>39756915</v>
      </c>
      <c r="M20" s="1500">
        <f>SUM(M16:M19)</f>
        <v>8691074</v>
      </c>
    </row>
    <row r="21" spans="1:40" s="1" customFormat="1" ht="24.75" customHeight="1" thickTop="1" thickBot="1" x14ac:dyDescent="0.35">
      <c r="A21" s="66">
        <v>16</v>
      </c>
      <c r="B21" s="955"/>
      <c r="C21" s="956"/>
      <c r="D21" s="200" t="s">
        <v>170</v>
      </c>
      <c r="E21" s="1301">
        <f>SUM(E14,E20)</f>
        <v>40508516</v>
      </c>
      <c r="F21" s="1301">
        <f>SUM(F14,F20)</f>
        <v>41482412</v>
      </c>
      <c r="G21" s="1493">
        <f>SUM(G14,G20)</f>
        <v>27599384</v>
      </c>
      <c r="H21" s="956"/>
      <c r="I21" s="956"/>
      <c r="J21" s="200" t="s">
        <v>183</v>
      </c>
      <c r="K21" s="1306">
        <f>SUM(K14,K20)</f>
        <v>58591196</v>
      </c>
      <c r="L21" s="1306">
        <f>SUM(L14,L20)</f>
        <v>62394901</v>
      </c>
      <c r="M21" s="1501">
        <f>SUM(M14,M20)</f>
        <v>17874643</v>
      </c>
    </row>
    <row r="22" spans="1:40" s="1" customFormat="1" ht="24.95" customHeight="1" thickTop="1" x14ac:dyDescent="0.35">
      <c r="A22" s="66">
        <v>17</v>
      </c>
      <c r="B22" s="61">
        <v>1</v>
      </c>
      <c r="C22" s="66"/>
      <c r="D22" s="91" t="s">
        <v>206</v>
      </c>
      <c r="E22" s="212"/>
      <c r="F22" s="212"/>
      <c r="G22" s="1494"/>
      <c r="H22" s="66">
        <v>1</v>
      </c>
      <c r="I22" s="66"/>
      <c r="J22" s="91" t="s">
        <v>207</v>
      </c>
      <c r="K22" s="212"/>
      <c r="L22" s="1486"/>
      <c r="M22" s="1504"/>
    </row>
    <row r="23" spans="1:40" s="1" customFormat="1" x14ac:dyDescent="0.3">
      <c r="A23" s="66">
        <v>18</v>
      </c>
      <c r="B23" s="61"/>
      <c r="C23" s="66">
        <v>8</v>
      </c>
      <c r="D23" s="1" t="s">
        <v>267</v>
      </c>
      <c r="E23" s="212">
        <f>'1.Onbe'!J58</f>
        <v>3169018</v>
      </c>
      <c r="F23" s="212">
        <f>'1.Onbe'!K58</f>
        <v>5745192</v>
      </c>
      <c r="G23" s="1494">
        <f>'1.Onbe'!L58</f>
        <v>5745192</v>
      </c>
      <c r="H23" s="66"/>
      <c r="I23" s="66">
        <v>11</v>
      </c>
      <c r="J23" s="1" t="s">
        <v>232</v>
      </c>
      <c r="K23" s="212">
        <f>'2.Onki'!J37</f>
        <v>187380</v>
      </c>
      <c r="L23" s="212">
        <f>'2.Onki'!K37</f>
        <v>246524</v>
      </c>
      <c r="M23" s="1511">
        <f>'2.Onki'!L37</f>
        <v>246423</v>
      </c>
    </row>
    <row r="24" spans="1:40" s="1" customFormat="1" x14ac:dyDescent="0.3">
      <c r="A24" s="66">
        <v>19</v>
      </c>
      <c r="B24" s="61"/>
      <c r="C24" s="66">
        <v>9</v>
      </c>
      <c r="D24" s="1" t="s">
        <v>231</v>
      </c>
      <c r="E24" s="212">
        <f>'1.Onbe'!J56</f>
        <v>0</v>
      </c>
      <c r="F24" s="212">
        <f>'1.Onbe'!K56</f>
        <v>59144</v>
      </c>
      <c r="G24" s="1494">
        <f>'1.Onbe'!L56</f>
        <v>59053</v>
      </c>
      <c r="H24" s="66"/>
      <c r="I24" s="66"/>
      <c r="K24" s="212"/>
      <c r="L24" s="1486"/>
      <c r="M24" s="1504"/>
    </row>
    <row r="25" spans="1:40" s="1" customFormat="1" ht="24" customHeight="1" x14ac:dyDescent="0.35">
      <c r="A25" s="66">
        <v>20</v>
      </c>
      <c r="B25" s="61">
        <v>2</v>
      </c>
      <c r="C25" s="66"/>
      <c r="D25" s="91" t="s">
        <v>208</v>
      </c>
      <c r="E25" s="212"/>
      <c r="F25" s="212"/>
      <c r="G25" s="1494"/>
      <c r="H25" s="66">
        <v>2</v>
      </c>
      <c r="I25" s="66"/>
      <c r="J25" s="91" t="s">
        <v>209</v>
      </c>
      <c r="K25" s="212"/>
      <c r="L25" s="1486"/>
      <c r="M25" s="1504"/>
    </row>
    <row r="26" spans="1:40" s="1" customFormat="1" x14ac:dyDescent="0.3">
      <c r="A26" s="66">
        <v>21</v>
      </c>
      <c r="B26" s="61"/>
      <c r="C26" s="66">
        <v>10</v>
      </c>
      <c r="D26" s="1" t="s">
        <v>210</v>
      </c>
      <c r="E26" s="212">
        <f>'1.Onbe'!J69+'1.Onbe'!J68</f>
        <v>561891</v>
      </c>
      <c r="F26" s="212">
        <f>'1.Onbe'!K69+'1.Onbe'!K68</f>
        <v>561891</v>
      </c>
      <c r="G26" s="1494">
        <f>'1.Onbe'!L69+'1.Onbe'!L68</f>
        <v>0</v>
      </c>
      <c r="H26" s="66"/>
      <c r="I26" s="66">
        <v>12</v>
      </c>
      <c r="J26" s="1" t="s">
        <v>211</v>
      </c>
      <c r="K26" s="212">
        <f>'2.Onki'!J39</f>
        <v>214550</v>
      </c>
      <c r="L26" s="212">
        <f>'2.Onki'!K39</f>
        <v>214550</v>
      </c>
      <c r="M26" s="1511">
        <f>'2.Onki'!L39</f>
        <v>110859</v>
      </c>
    </row>
    <row r="27" spans="1:40" s="1" customFormat="1" x14ac:dyDescent="0.3">
      <c r="A27" s="66">
        <v>22</v>
      </c>
      <c r="B27" s="61"/>
      <c r="C27" s="66">
        <v>11</v>
      </c>
      <c r="D27" s="1" t="s">
        <v>267</v>
      </c>
      <c r="E27" s="212">
        <f>'1.Onbe'!J62</f>
        <v>14753701</v>
      </c>
      <c r="F27" s="212">
        <f>'1.Onbe'!K62</f>
        <v>15007336</v>
      </c>
      <c r="G27" s="1494">
        <f>'1.Onbe'!L62</f>
        <v>15007336</v>
      </c>
      <c r="H27" s="66"/>
      <c r="I27" s="66"/>
      <c r="K27" s="212"/>
      <c r="L27" s="1486"/>
      <c r="M27" s="1504"/>
    </row>
    <row r="28" spans="1:40" s="201" customFormat="1" ht="24.75" customHeight="1" thickBot="1" x14ac:dyDescent="0.35">
      <c r="A28" s="66">
        <v>23</v>
      </c>
      <c r="B28" s="953"/>
      <c r="C28" s="954"/>
      <c r="D28" s="116" t="s">
        <v>212</v>
      </c>
      <c r="E28" s="213">
        <f>SUM(E22:E27)</f>
        <v>18484610</v>
      </c>
      <c r="F28" s="213">
        <f>SUM(F22:F27)</f>
        <v>21373563</v>
      </c>
      <c r="G28" s="1492">
        <f>SUM(G22:G27)</f>
        <v>20811581</v>
      </c>
      <c r="H28" s="954"/>
      <c r="I28" s="954"/>
      <c r="J28" s="116" t="s">
        <v>213</v>
      </c>
      <c r="K28" s="213">
        <f>SUM(K22:K27)</f>
        <v>401930</v>
      </c>
      <c r="L28" s="213">
        <f>SUM(L22:L27)</f>
        <v>461074</v>
      </c>
      <c r="M28" s="1500">
        <f>SUM(M22:M27)</f>
        <v>357282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s="1" customFormat="1" ht="30" customHeight="1" thickTop="1" thickBot="1" x14ac:dyDescent="0.35">
      <c r="A29" s="66">
        <v>24</v>
      </c>
      <c r="B29" s="953"/>
      <c r="C29" s="954"/>
      <c r="D29" s="116" t="s">
        <v>214</v>
      </c>
      <c r="E29" s="211">
        <f>SUM(E21,E28)</f>
        <v>58993126</v>
      </c>
      <c r="F29" s="211">
        <f>SUM(F21,F28)</f>
        <v>62855975</v>
      </c>
      <c r="G29" s="1492">
        <f>SUM(G21,G28)</f>
        <v>48410965</v>
      </c>
      <c r="H29" s="954"/>
      <c r="I29" s="954"/>
      <c r="J29" s="116" t="s">
        <v>215</v>
      </c>
      <c r="K29" s="211">
        <f>SUM(K21,K28)</f>
        <v>58993126</v>
      </c>
      <c r="L29" s="211">
        <f>SUM(L21,L28)</f>
        <v>62855975</v>
      </c>
      <c r="M29" s="1500">
        <f>SUM(M21,M28)</f>
        <v>18231925</v>
      </c>
    </row>
    <row r="30" spans="1:40" s="1" customFormat="1" ht="18" thickTop="1" x14ac:dyDescent="0.3">
      <c r="A30" s="66">
        <v>25</v>
      </c>
      <c r="B30" s="957"/>
      <c r="C30" s="958"/>
      <c r="D30" s="202" t="s">
        <v>171</v>
      </c>
      <c r="E30" s="214">
        <f>+E21-K21</f>
        <v>-18082680</v>
      </c>
      <c r="F30" s="214">
        <f>+F21-L21</f>
        <v>-20912489</v>
      </c>
      <c r="G30" s="1495">
        <f>+G21-M21</f>
        <v>9724741</v>
      </c>
      <c r="H30" s="1303"/>
      <c r="I30" s="1303"/>
      <c r="J30" s="203"/>
      <c r="K30" s="212"/>
      <c r="L30" s="1486"/>
      <c r="M30" s="1504"/>
    </row>
    <row r="31" spans="1:40" s="1" customFormat="1" ht="17.25" x14ac:dyDescent="0.3">
      <c r="A31" s="66">
        <v>26</v>
      </c>
      <c r="B31" s="61"/>
      <c r="C31" s="66"/>
      <c r="D31" s="204" t="s">
        <v>216</v>
      </c>
      <c r="E31" s="215">
        <f>+E14-K14</f>
        <v>1246459</v>
      </c>
      <c r="F31" s="215">
        <f>+F14-L14</f>
        <v>-1234493</v>
      </c>
      <c r="G31" s="1494">
        <f>+G14-M14</f>
        <v>2486781</v>
      </c>
      <c r="H31" s="1303"/>
      <c r="I31" s="1303"/>
      <c r="J31" s="203"/>
      <c r="K31" s="212"/>
      <c r="L31" s="1486"/>
      <c r="M31" s="1504"/>
    </row>
    <row r="32" spans="1:40" s="1" customFormat="1" ht="17.25" x14ac:dyDescent="0.3">
      <c r="A32" s="66">
        <v>27</v>
      </c>
      <c r="B32" s="61"/>
      <c r="C32" s="66"/>
      <c r="D32" s="204" t="s">
        <v>217</v>
      </c>
      <c r="E32" s="215">
        <f>+E20-K20</f>
        <v>-19329139</v>
      </c>
      <c r="F32" s="215">
        <f>+F20-L20</f>
        <v>-19677996</v>
      </c>
      <c r="G32" s="1494">
        <f>+G20-M20</f>
        <v>7237960</v>
      </c>
      <c r="H32" s="1303"/>
      <c r="I32" s="1303"/>
      <c r="J32" s="203"/>
      <c r="K32" s="212"/>
      <c r="L32" s="1486"/>
      <c r="M32" s="1504"/>
    </row>
    <row r="33" spans="1:13" s="1" customFormat="1" ht="17.25" x14ac:dyDescent="0.3">
      <c r="A33" s="66">
        <v>28</v>
      </c>
      <c r="B33" s="61"/>
      <c r="C33" s="66"/>
      <c r="D33" s="205" t="s">
        <v>218</v>
      </c>
      <c r="E33" s="215">
        <f>+E30-K28</f>
        <v>-18484610</v>
      </c>
      <c r="F33" s="215">
        <f>+F30-L28</f>
        <v>-21373563</v>
      </c>
      <c r="G33" s="1494">
        <f>+G30-M28</f>
        <v>9367459</v>
      </c>
      <c r="H33" s="1303"/>
      <c r="I33" s="1303"/>
      <c r="J33" s="203"/>
      <c r="K33" s="212"/>
      <c r="L33" s="1486"/>
      <c r="M33" s="1504"/>
    </row>
    <row r="34" spans="1:13" s="1" customFormat="1" ht="32.25" customHeight="1" x14ac:dyDescent="0.3">
      <c r="A34" s="66">
        <v>29</v>
      </c>
      <c r="B34" s="61"/>
      <c r="C34" s="66"/>
      <c r="D34" s="206" t="s">
        <v>317</v>
      </c>
      <c r="E34" s="215">
        <f>E27+E23</f>
        <v>17922719</v>
      </c>
      <c r="F34" s="215">
        <f>F27+F23+F24</f>
        <v>20811672</v>
      </c>
      <c r="G34" s="1494">
        <f>G27+G23+G24</f>
        <v>20811581</v>
      </c>
      <c r="H34" s="1303"/>
      <c r="I34" s="1303"/>
      <c r="J34" s="203"/>
      <c r="K34" s="212"/>
      <c r="L34" s="1486"/>
      <c r="M34" s="1504"/>
    </row>
    <row r="35" spans="1:13" s="1" customFormat="1" ht="33.75" customHeight="1" x14ac:dyDescent="0.3">
      <c r="A35" s="66">
        <v>30</v>
      </c>
      <c r="B35" s="959"/>
      <c r="C35" s="115"/>
      <c r="D35" s="207" t="s">
        <v>318</v>
      </c>
      <c r="E35" s="216">
        <f>E26</f>
        <v>561891</v>
      </c>
      <c r="F35" s="216">
        <f>F26</f>
        <v>561891</v>
      </c>
      <c r="G35" s="1496">
        <f>G26</f>
        <v>0</v>
      </c>
      <c r="H35" s="964"/>
      <c r="I35" s="964"/>
      <c r="J35" s="208"/>
      <c r="K35" s="1307"/>
      <c r="L35" s="1486"/>
      <c r="M35" s="1504"/>
    </row>
    <row r="36" spans="1:13" ht="20.100000000000001" customHeight="1" x14ac:dyDescent="0.3">
      <c r="A36" s="66">
        <v>31</v>
      </c>
      <c r="B36" s="61"/>
      <c r="C36" s="66"/>
      <c r="D36" s="62" t="s">
        <v>219</v>
      </c>
      <c r="E36" s="217">
        <f>(E14+E23+E24)/E29</f>
        <v>0.4081961345801543</v>
      </c>
      <c r="F36" s="217">
        <f>(F14+F23+F24)/F29</f>
        <v>0.43285986733958071</v>
      </c>
      <c r="G36" s="1497">
        <f>(G14+G23+G24)/G29</f>
        <v>0.36096357509089111</v>
      </c>
      <c r="H36" s="66"/>
      <c r="I36" s="66"/>
      <c r="J36" s="62" t="s">
        <v>220</v>
      </c>
      <c r="K36" s="217">
        <f>(K14+K23)/K29</f>
        <v>0.3365251232830076</v>
      </c>
      <c r="L36" s="1487">
        <f>(L14+L23)/L29</f>
        <v>0.36407851441330757</v>
      </c>
      <c r="M36" s="1505">
        <f>(M14+M23)/M29</f>
        <v>0.51722415488216411</v>
      </c>
    </row>
    <row r="37" spans="1:13" ht="19.5" customHeight="1" thickBot="1" x14ac:dyDescent="0.35">
      <c r="A37" s="66">
        <v>32</v>
      </c>
      <c r="B37" s="960"/>
      <c r="C37" s="961"/>
      <c r="D37" s="209" t="s">
        <v>221</v>
      </c>
      <c r="E37" s="218">
        <f>(E20+E26+E27)/E29</f>
        <v>0.59180386541984564</v>
      </c>
      <c r="F37" s="218">
        <f>(F20+F26+F27)/F29</f>
        <v>0.56714013266041929</v>
      </c>
      <c r="G37" s="1498">
        <f>(G20+G26+G27)/G29</f>
        <v>0.63903642490910895</v>
      </c>
      <c r="H37" s="961"/>
      <c r="I37" s="961"/>
      <c r="J37" s="209" t="s">
        <v>222</v>
      </c>
      <c r="K37" s="218">
        <f>(K20+K26)/K29</f>
        <v>0.66347487671699246</v>
      </c>
      <c r="L37" s="218">
        <f>(L20+L26)/L29</f>
        <v>0.63592148558669248</v>
      </c>
      <c r="M37" s="1506">
        <f>(M20+M26)/M29</f>
        <v>0.48277584511783589</v>
      </c>
    </row>
  </sheetData>
  <mergeCells count="3">
    <mergeCell ref="B2:L2"/>
    <mergeCell ref="B3:L3"/>
    <mergeCell ref="B1:D1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58" fitToHeight="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78743-12C3-47EA-8293-689B6EA3A39D}">
  <dimension ref="A1:P24"/>
  <sheetViews>
    <sheetView view="pageBreakPreview" topLeftCell="A6" zoomScaleNormal="100" zoomScaleSheetLayoutView="100" workbookViewId="0">
      <selection activeCell="R22" sqref="R22"/>
    </sheetView>
  </sheetViews>
  <sheetFormatPr defaultRowHeight="16.5" x14ac:dyDescent="0.3"/>
  <cols>
    <col min="1" max="1" width="3" style="1557" customWidth="1"/>
    <col min="2" max="2" width="3.7109375" style="1581" customWidth="1"/>
    <col min="3" max="3" width="16.5703125" style="1582" customWidth="1"/>
    <col min="4" max="4" width="15.42578125" style="1581" customWidth="1"/>
    <col min="5" max="6" width="9.85546875" style="1581" bestFit="1" customWidth="1"/>
    <col min="7" max="7" width="9.42578125" style="1581" customWidth="1"/>
    <col min="8" max="8" width="10.5703125" style="1581" customWidth="1"/>
    <col min="9" max="10" width="9.42578125" style="1581" customWidth="1"/>
    <col min="11" max="11" width="9.85546875" style="1581" customWidth="1"/>
    <col min="12" max="12" width="13" style="1581" customWidth="1"/>
    <col min="13" max="13" width="13.85546875" style="1558" customWidth="1"/>
    <col min="14" max="14" width="13.42578125" style="1558" customWidth="1"/>
    <col min="15" max="237" width="8" style="1558" customWidth="1"/>
    <col min="238" max="238" width="2.42578125" style="1558" bestFit="1" customWidth="1"/>
    <col min="239" max="239" width="28.28515625" style="1558" bestFit="1" customWidth="1"/>
    <col min="240" max="240" width="14.28515625" style="1558" bestFit="1" customWidth="1"/>
    <col min="241" max="241" width="13.5703125" style="1558" bestFit="1" customWidth="1"/>
    <col min="242" max="242" width="10.7109375" style="1558" bestFit="1" customWidth="1"/>
    <col min="243" max="243" width="9.42578125" style="1558" bestFit="1" customWidth="1"/>
    <col min="244" max="244" width="9.85546875" style="1558" bestFit="1" customWidth="1"/>
    <col min="245" max="245" width="11.28515625" style="1558" bestFit="1" customWidth="1"/>
    <col min="246" max="246" width="9.140625" style="1558"/>
    <col min="247" max="248" width="3.7109375" style="1558" customWidth="1"/>
    <col min="249" max="249" width="18.85546875" style="1558" customWidth="1"/>
    <col min="250" max="250" width="19.7109375" style="1558" customWidth="1"/>
    <col min="251" max="251" width="13.5703125" style="1558" customWidth="1"/>
    <col min="252" max="254" width="11.7109375" style="1558" customWidth="1"/>
    <col min="255" max="255" width="12.7109375" style="1558" customWidth="1"/>
    <col min="256" max="265" width="11.7109375" style="1558" customWidth="1"/>
    <col min="266" max="493" width="8" style="1558" customWidth="1"/>
    <col min="494" max="494" width="2.42578125" style="1558" bestFit="1" customWidth="1"/>
    <col min="495" max="495" width="28.28515625" style="1558" bestFit="1" customWidth="1"/>
    <col min="496" max="496" width="14.28515625" style="1558" bestFit="1" customWidth="1"/>
    <col min="497" max="497" width="13.5703125" style="1558" bestFit="1" customWidth="1"/>
    <col min="498" max="498" width="10.7109375" style="1558" bestFit="1" customWidth="1"/>
    <col min="499" max="499" width="9.42578125" style="1558" bestFit="1" customWidth="1"/>
    <col min="500" max="500" width="9.85546875" style="1558" bestFit="1" customWidth="1"/>
    <col min="501" max="501" width="11.28515625" style="1558" bestFit="1" customWidth="1"/>
    <col min="502" max="502" width="9.140625" style="1558"/>
    <col min="503" max="504" width="3.7109375" style="1558" customWidth="1"/>
    <col min="505" max="505" width="18.85546875" style="1558" customWidth="1"/>
    <col min="506" max="506" width="19.7109375" style="1558" customWidth="1"/>
    <col min="507" max="507" width="13.5703125" style="1558" customWidth="1"/>
    <col min="508" max="510" width="11.7109375" style="1558" customWidth="1"/>
    <col min="511" max="511" width="12.7109375" style="1558" customWidth="1"/>
    <col min="512" max="521" width="11.7109375" style="1558" customWidth="1"/>
    <col min="522" max="749" width="8" style="1558" customWidth="1"/>
    <col min="750" max="750" width="2.42578125" style="1558" bestFit="1" customWidth="1"/>
    <col min="751" max="751" width="28.28515625" style="1558" bestFit="1" customWidth="1"/>
    <col min="752" max="752" width="14.28515625" style="1558" bestFit="1" customWidth="1"/>
    <col min="753" max="753" width="13.5703125" style="1558" bestFit="1" customWidth="1"/>
    <col min="754" max="754" width="10.7109375" style="1558" bestFit="1" customWidth="1"/>
    <col min="755" max="755" width="9.42578125" style="1558" bestFit="1" customWidth="1"/>
    <col min="756" max="756" width="9.85546875" style="1558" bestFit="1" customWidth="1"/>
    <col min="757" max="757" width="11.28515625" style="1558" bestFit="1" customWidth="1"/>
    <col min="758" max="758" width="9.140625" style="1558"/>
    <col min="759" max="760" width="3.7109375" style="1558" customWidth="1"/>
    <col min="761" max="761" width="18.85546875" style="1558" customWidth="1"/>
    <col min="762" max="762" width="19.7109375" style="1558" customWidth="1"/>
    <col min="763" max="763" width="13.5703125" style="1558" customWidth="1"/>
    <col min="764" max="766" width="11.7109375" style="1558" customWidth="1"/>
    <col min="767" max="767" width="12.7109375" style="1558" customWidth="1"/>
    <col min="768" max="777" width="11.7109375" style="1558" customWidth="1"/>
    <col min="778" max="1005" width="8" style="1558" customWidth="1"/>
    <col min="1006" max="1006" width="2.42578125" style="1558" bestFit="1" customWidth="1"/>
    <col min="1007" max="1007" width="28.28515625" style="1558" bestFit="1" customWidth="1"/>
    <col min="1008" max="1008" width="14.28515625" style="1558" bestFit="1" customWidth="1"/>
    <col min="1009" max="1009" width="13.5703125" style="1558" bestFit="1" customWidth="1"/>
    <col min="1010" max="1010" width="10.7109375" style="1558" bestFit="1" customWidth="1"/>
    <col min="1011" max="1011" width="9.42578125" style="1558" bestFit="1" customWidth="1"/>
    <col min="1012" max="1012" width="9.85546875" style="1558" bestFit="1" customWidth="1"/>
    <col min="1013" max="1013" width="11.28515625" style="1558" bestFit="1" customWidth="1"/>
    <col min="1014" max="1014" width="9.140625" style="1558"/>
    <col min="1015" max="1016" width="3.7109375" style="1558" customWidth="1"/>
    <col min="1017" max="1017" width="18.85546875" style="1558" customWidth="1"/>
    <col min="1018" max="1018" width="19.7109375" style="1558" customWidth="1"/>
    <col min="1019" max="1019" width="13.5703125" style="1558" customWidth="1"/>
    <col min="1020" max="1022" width="11.7109375" style="1558" customWidth="1"/>
    <col min="1023" max="1023" width="12.7109375" style="1558" customWidth="1"/>
    <col min="1024" max="1033" width="11.7109375" style="1558" customWidth="1"/>
    <col min="1034" max="1261" width="8" style="1558" customWidth="1"/>
    <col min="1262" max="1262" width="2.42578125" style="1558" bestFit="1" customWidth="1"/>
    <col min="1263" max="1263" width="28.28515625" style="1558" bestFit="1" customWidth="1"/>
    <col min="1264" max="1264" width="14.28515625" style="1558" bestFit="1" customWidth="1"/>
    <col min="1265" max="1265" width="13.5703125" style="1558" bestFit="1" customWidth="1"/>
    <col min="1266" max="1266" width="10.7109375" style="1558" bestFit="1" customWidth="1"/>
    <col min="1267" max="1267" width="9.42578125" style="1558" bestFit="1" customWidth="1"/>
    <col min="1268" max="1268" width="9.85546875" style="1558" bestFit="1" customWidth="1"/>
    <col min="1269" max="1269" width="11.28515625" style="1558" bestFit="1" customWidth="1"/>
    <col min="1270" max="1270" width="9.140625" style="1558"/>
    <col min="1271" max="1272" width="3.7109375" style="1558" customWidth="1"/>
    <col min="1273" max="1273" width="18.85546875" style="1558" customWidth="1"/>
    <col min="1274" max="1274" width="19.7109375" style="1558" customWidth="1"/>
    <col min="1275" max="1275" width="13.5703125" style="1558" customWidth="1"/>
    <col min="1276" max="1278" width="11.7109375" style="1558" customWidth="1"/>
    <col min="1279" max="1279" width="12.7109375" style="1558" customWidth="1"/>
    <col min="1280" max="1289" width="11.7109375" style="1558" customWidth="1"/>
    <col min="1290" max="1517" width="8" style="1558" customWidth="1"/>
    <col min="1518" max="1518" width="2.42578125" style="1558" bestFit="1" customWidth="1"/>
    <col min="1519" max="1519" width="28.28515625" style="1558" bestFit="1" customWidth="1"/>
    <col min="1520" max="1520" width="14.28515625" style="1558" bestFit="1" customWidth="1"/>
    <col min="1521" max="1521" width="13.5703125" style="1558" bestFit="1" customWidth="1"/>
    <col min="1522" max="1522" width="10.7109375" style="1558" bestFit="1" customWidth="1"/>
    <col min="1523" max="1523" width="9.42578125" style="1558" bestFit="1" customWidth="1"/>
    <col min="1524" max="1524" width="9.85546875" style="1558" bestFit="1" customWidth="1"/>
    <col min="1525" max="1525" width="11.28515625" style="1558" bestFit="1" customWidth="1"/>
    <col min="1526" max="1526" width="9.140625" style="1558"/>
    <col min="1527" max="1528" width="3.7109375" style="1558" customWidth="1"/>
    <col min="1529" max="1529" width="18.85546875" style="1558" customWidth="1"/>
    <col min="1530" max="1530" width="19.7109375" style="1558" customWidth="1"/>
    <col min="1531" max="1531" width="13.5703125" style="1558" customWidth="1"/>
    <col min="1532" max="1534" width="11.7109375" style="1558" customWidth="1"/>
    <col min="1535" max="1535" width="12.7109375" style="1558" customWidth="1"/>
    <col min="1536" max="1545" width="11.7109375" style="1558" customWidth="1"/>
    <col min="1546" max="1773" width="8" style="1558" customWidth="1"/>
    <col min="1774" max="1774" width="2.42578125" style="1558" bestFit="1" customWidth="1"/>
    <col min="1775" max="1775" width="28.28515625" style="1558" bestFit="1" customWidth="1"/>
    <col min="1776" max="1776" width="14.28515625" style="1558" bestFit="1" customWidth="1"/>
    <col min="1777" max="1777" width="13.5703125" style="1558" bestFit="1" customWidth="1"/>
    <col min="1778" max="1778" width="10.7109375" style="1558" bestFit="1" customWidth="1"/>
    <col min="1779" max="1779" width="9.42578125" style="1558" bestFit="1" customWidth="1"/>
    <col min="1780" max="1780" width="9.85546875" style="1558" bestFit="1" customWidth="1"/>
    <col min="1781" max="1781" width="11.28515625" style="1558" bestFit="1" customWidth="1"/>
    <col min="1782" max="1782" width="9.140625" style="1558"/>
    <col min="1783" max="1784" width="3.7109375" style="1558" customWidth="1"/>
    <col min="1785" max="1785" width="18.85546875" style="1558" customWidth="1"/>
    <col min="1786" max="1786" width="19.7109375" style="1558" customWidth="1"/>
    <col min="1787" max="1787" width="13.5703125" style="1558" customWidth="1"/>
    <col min="1788" max="1790" width="11.7109375" style="1558" customWidth="1"/>
    <col min="1791" max="1791" width="12.7109375" style="1558" customWidth="1"/>
    <col min="1792" max="1801" width="11.7109375" style="1558" customWidth="1"/>
    <col min="1802" max="2029" width="8" style="1558" customWidth="1"/>
    <col min="2030" max="2030" width="2.42578125" style="1558" bestFit="1" customWidth="1"/>
    <col min="2031" max="2031" width="28.28515625" style="1558" bestFit="1" customWidth="1"/>
    <col min="2032" max="2032" width="14.28515625" style="1558" bestFit="1" customWidth="1"/>
    <col min="2033" max="2033" width="13.5703125" style="1558" bestFit="1" customWidth="1"/>
    <col min="2034" max="2034" width="10.7109375" style="1558" bestFit="1" customWidth="1"/>
    <col min="2035" max="2035" width="9.42578125" style="1558" bestFit="1" customWidth="1"/>
    <col min="2036" max="2036" width="9.85546875" style="1558" bestFit="1" customWidth="1"/>
    <col min="2037" max="2037" width="11.28515625" style="1558" bestFit="1" customWidth="1"/>
    <col min="2038" max="2038" width="9.140625" style="1558"/>
    <col min="2039" max="2040" width="3.7109375" style="1558" customWidth="1"/>
    <col min="2041" max="2041" width="18.85546875" style="1558" customWidth="1"/>
    <col min="2042" max="2042" width="19.7109375" style="1558" customWidth="1"/>
    <col min="2043" max="2043" width="13.5703125" style="1558" customWidth="1"/>
    <col min="2044" max="2046" width="11.7109375" style="1558" customWidth="1"/>
    <col min="2047" max="2047" width="12.7109375" style="1558" customWidth="1"/>
    <col min="2048" max="2057" width="11.7109375" style="1558" customWidth="1"/>
    <col min="2058" max="2285" width="8" style="1558" customWidth="1"/>
    <col min="2286" max="2286" width="2.42578125" style="1558" bestFit="1" customWidth="1"/>
    <col min="2287" max="2287" width="28.28515625" style="1558" bestFit="1" customWidth="1"/>
    <col min="2288" max="2288" width="14.28515625" style="1558" bestFit="1" customWidth="1"/>
    <col min="2289" max="2289" width="13.5703125" style="1558" bestFit="1" customWidth="1"/>
    <col min="2290" max="2290" width="10.7109375" style="1558" bestFit="1" customWidth="1"/>
    <col min="2291" max="2291" width="9.42578125" style="1558" bestFit="1" customWidth="1"/>
    <col min="2292" max="2292" width="9.85546875" style="1558" bestFit="1" customWidth="1"/>
    <col min="2293" max="2293" width="11.28515625" style="1558" bestFit="1" customWidth="1"/>
    <col min="2294" max="2294" width="9.140625" style="1558"/>
    <col min="2295" max="2296" width="3.7109375" style="1558" customWidth="1"/>
    <col min="2297" max="2297" width="18.85546875" style="1558" customWidth="1"/>
    <col min="2298" max="2298" width="19.7109375" style="1558" customWidth="1"/>
    <col min="2299" max="2299" width="13.5703125" style="1558" customWidth="1"/>
    <col min="2300" max="2302" width="11.7109375" style="1558" customWidth="1"/>
    <col min="2303" max="2303" width="12.7109375" style="1558" customWidth="1"/>
    <col min="2304" max="2313" width="11.7109375" style="1558" customWidth="1"/>
    <col min="2314" max="2541" width="8" style="1558" customWidth="1"/>
    <col min="2542" max="2542" width="2.42578125" style="1558" bestFit="1" customWidth="1"/>
    <col min="2543" max="2543" width="28.28515625" style="1558" bestFit="1" customWidth="1"/>
    <col min="2544" max="2544" width="14.28515625" style="1558" bestFit="1" customWidth="1"/>
    <col min="2545" max="2545" width="13.5703125" style="1558" bestFit="1" customWidth="1"/>
    <col min="2546" max="2546" width="10.7109375" style="1558" bestFit="1" customWidth="1"/>
    <col min="2547" max="2547" width="9.42578125" style="1558" bestFit="1" customWidth="1"/>
    <col min="2548" max="2548" width="9.85546875" style="1558" bestFit="1" customWidth="1"/>
    <col min="2549" max="2549" width="11.28515625" style="1558" bestFit="1" customWidth="1"/>
    <col min="2550" max="2550" width="9.140625" style="1558"/>
    <col min="2551" max="2552" width="3.7109375" style="1558" customWidth="1"/>
    <col min="2553" max="2553" width="18.85546875" style="1558" customWidth="1"/>
    <col min="2554" max="2554" width="19.7109375" style="1558" customWidth="1"/>
    <col min="2555" max="2555" width="13.5703125" style="1558" customWidth="1"/>
    <col min="2556" max="2558" width="11.7109375" style="1558" customWidth="1"/>
    <col min="2559" max="2559" width="12.7109375" style="1558" customWidth="1"/>
    <col min="2560" max="2569" width="11.7109375" style="1558" customWidth="1"/>
    <col min="2570" max="2797" width="8" style="1558" customWidth="1"/>
    <col min="2798" max="2798" width="2.42578125" style="1558" bestFit="1" customWidth="1"/>
    <col min="2799" max="2799" width="28.28515625" style="1558" bestFit="1" customWidth="1"/>
    <col min="2800" max="2800" width="14.28515625" style="1558" bestFit="1" customWidth="1"/>
    <col min="2801" max="2801" width="13.5703125" style="1558" bestFit="1" customWidth="1"/>
    <col min="2802" max="2802" width="10.7109375" style="1558" bestFit="1" customWidth="1"/>
    <col min="2803" max="2803" width="9.42578125" style="1558" bestFit="1" customWidth="1"/>
    <col min="2804" max="2804" width="9.85546875" style="1558" bestFit="1" customWidth="1"/>
    <col min="2805" max="2805" width="11.28515625" style="1558" bestFit="1" customWidth="1"/>
    <col min="2806" max="2806" width="9.140625" style="1558"/>
    <col min="2807" max="2808" width="3.7109375" style="1558" customWidth="1"/>
    <col min="2809" max="2809" width="18.85546875" style="1558" customWidth="1"/>
    <col min="2810" max="2810" width="19.7109375" style="1558" customWidth="1"/>
    <col min="2811" max="2811" width="13.5703125" style="1558" customWidth="1"/>
    <col min="2812" max="2814" width="11.7109375" style="1558" customWidth="1"/>
    <col min="2815" max="2815" width="12.7109375" style="1558" customWidth="1"/>
    <col min="2816" max="2825" width="11.7109375" style="1558" customWidth="1"/>
    <col min="2826" max="3053" width="8" style="1558" customWidth="1"/>
    <col min="3054" max="3054" width="2.42578125" style="1558" bestFit="1" customWidth="1"/>
    <col min="3055" max="3055" width="28.28515625" style="1558" bestFit="1" customWidth="1"/>
    <col min="3056" max="3056" width="14.28515625" style="1558" bestFit="1" customWidth="1"/>
    <col min="3057" max="3057" width="13.5703125" style="1558" bestFit="1" customWidth="1"/>
    <col min="3058" max="3058" width="10.7109375" style="1558" bestFit="1" customWidth="1"/>
    <col min="3059" max="3059" width="9.42578125" style="1558" bestFit="1" customWidth="1"/>
    <col min="3060" max="3060" width="9.85546875" style="1558" bestFit="1" customWidth="1"/>
    <col min="3061" max="3061" width="11.28515625" style="1558" bestFit="1" customWidth="1"/>
    <col min="3062" max="3062" width="9.140625" style="1558"/>
    <col min="3063" max="3064" width="3.7109375" style="1558" customWidth="1"/>
    <col min="3065" max="3065" width="18.85546875" style="1558" customWidth="1"/>
    <col min="3066" max="3066" width="19.7109375" style="1558" customWidth="1"/>
    <col min="3067" max="3067" width="13.5703125" style="1558" customWidth="1"/>
    <col min="3068" max="3070" width="11.7109375" style="1558" customWidth="1"/>
    <col min="3071" max="3071" width="12.7109375" style="1558" customWidth="1"/>
    <col min="3072" max="3081" width="11.7109375" style="1558" customWidth="1"/>
    <col min="3082" max="3309" width="8" style="1558" customWidth="1"/>
    <col min="3310" max="3310" width="2.42578125" style="1558" bestFit="1" customWidth="1"/>
    <col min="3311" max="3311" width="28.28515625" style="1558" bestFit="1" customWidth="1"/>
    <col min="3312" max="3312" width="14.28515625" style="1558" bestFit="1" customWidth="1"/>
    <col min="3313" max="3313" width="13.5703125" style="1558" bestFit="1" customWidth="1"/>
    <col min="3314" max="3314" width="10.7109375" style="1558" bestFit="1" customWidth="1"/>
    <col min="3315" max="3315" width="9.42578125" style="1558" bestFit="1" customWidth="1"/>
    <col min="3316" max="3316" width="9.85546875" style="1558" bestFit="1" customWidth="1"/>
    <col min="3317" max="3317" width="11.28515625" style="1558" bestFit="1" customWidth="1"/>
    <col min="3318" max="3318" width="9.140625" style="1558"/>
    <col min="3319" max="3320" width="3.7109375" style="1558" customWidth="1"/>
    <col min="3321" max="3321" width="18.85546875" style="1558" customWidth="1"/>
    <col min="3322" max="3322" width="19.7109375" style="1558" customWidth="1"/>
    <col min="3323" max="3323" width="13.5703125" style="1558" customWidth="1"/>
    <col min="3324" max="3326" width="11.7109375" style="1558" customWidth="1"/>
    <col min="3327" max="3327" width="12.7109375" style="1558" customWidth="1"/>
    <col min="3328" max="3337" width="11.7109375" style="1558" customWidth="1"/>
    <col min="3338" max="3565" width="8" style="1558" customWidth="1"/>
    <col min="3566" max="3566" width="2.42578125" style="1558" bestFit="1" customWidth="1"/>
    <col min="3567" max="3567" width="28.28515625" style="1558" bestFit="1" customWidth="1"/>
    <col min="3568" max="3568" width="14.28515625" style="1558" bestFit="1" customWidth="1"/>
    <col min="3569" max="3569" width="13.5703125" style="1558" bestFit="1" customWidth="1"/>
    <col min="3570" max="3570" width="10.7109375" style="1558" bestFit="1" customWidth="1"/>
    <col min="3571" max="3571" width="9.42578125" style="1558" bestFit="1" customWidth="1"/>
    <col min="3572" max="3572" width="9.85546875" style="1558" bestFit="1" customWidth="1"/>
    <col min="3573" max="3573" width="11.28515625" style="1558" bestFit="1" customWidth="1"/>
    <col min="3574" max="3574" width="9.140625" style="1558"/>
    <col min="3575" max="3576" width="3.7109375" style="1558" customWidth="1"/>
    <col min="3577" max="3577" width="18.85546875" style="1558" customWidth="1"/>
    <col min="3578" max="3578" width="19.7109375" style="1558" customWidth="1"/>
    <col min="3579" max="3579" width="13.5703125" style="1558" customWidth="1"/>
    <col min="3580" max="3582" width="11.7109375" style="1558" customWidth="1"/>
    <col min="3583" max="3583" width="12.7109375" style="1558" customWidth="1"/>
    <col min="3584" max="3593" width="11.7109375" style="1558" customWidth="1"/>
    <col min="3594" max="3821" width="8" style="1558" customWidth="1"/>
    <col min="3822" max="3822" width="2.42578125" style="1558" bestFit="1" customWidth="1"/>
    <col min="3823" max="3823" width="28.28515625" style="1558" bestFit="1" customWidth="1"/>
    <col min="3824" max="3824" width="14.28515625" style="1558" bestFit="1" customWidth="1"/>
    <col min="3825" max="3825" width="13.5703125" style="1558" bestFit="1" customWidth="1"/>
    <col min="3826" max="3826" width="10.7109375" style="1558" bestFit="1" customWidth="1"/>
    <col min="3827" max="3827" width="9.42578125" style="1558" bestFit="1" customWidth="1"/>
    <col min="3828" max="3828" width="9.85546875" style="1558" bestFit="1" customWidth="1"/>
    <col min="3829" max="3829" width="11.28515625" style="1558" bestFit="1" customWidth="1"/>
    <col min="3830" max="3830" width="9.140625" style="1558"/>
    <col min="3831" max="3832" width="3.7109375" style="1558" customWidth="1"/>
    <col min="3833" max="3833" width="18.85546875" style="1558" customWidth="1"/>
    <col min="3834" max="3834" width="19.7109375" style="1558" customWidth="1"/>
    <col min="3835" max="3835" width="13.5703125" style="1558" customWidth="1"/>
    <col min="3836" max="3838" width="11.7109375" style="1558" customWidth="1"/>
    <col min="3839" max="3839" width="12.7109375" style="1558" customWidth="1"/>
    <col min="3840" max="3849" width="11.7109375" style="1558" customWidth="1"/>
    <col min="3850" max="4077" width="8" style="1558" customWidth="1"/>
    <col min="4078" max="4078" width="2.42578125" style="1558" bestFit="1" customWidth="1"/>
    <col min="4079" max="4079" width="28.28515625" style="1558" bestFit="1" customWidth="1"/>
    <col min="4080" max="4080" width="14.28515625" style="1558" bestFit="1" customWidth="1"/>
    <col min="4081" max="4081" width="13.5703125" style="1558" bestFit="1" customWidth="1"/>
    <col min="4082" max="4082" width="10.7109375" style="1558" bestFit="1" customWidth="1"/>
    <col min="4083" max="4083" width="9.42578125" style="1558" bestFit="1" customWidth="1"/>
    <col min="4084" max="4084" width="9.85546875" style="1558" bestFit="1" customWidth="1"/>
    <col min="4085" max="4085" width="11.28515625" style="1558" bestFit="1" customWidth="1"/>
    <col min="4086" max="4086" width="9.140625" style="1558"/>
    <col min="4087" max="4088" width="3.7109375" style="1558" customWidth="1"/>
    <col min="4089" max="4089" width="18.85546875" style="1558" customWidth="1"/>
    <col min="4090" max="4090" width="19.7109375" style="1558" customWidth="1"/>
    <col min="4091" max="4091" width="13.5703125" style="1558" customWidth="1"/>
    <col min="4092" max="4094" width="11.7109375" style="1558" customWidth="1"/>
    <col min="4095" max="4095" width="12.7109375" style="1558" customWidth="1"/>
    <col min="4096" max="4105" width="11.7109375" style="1558" customWidth="1"/>
    <col min="4106" max="4333" width="8" style="1558" customWidth="1"/>
    <col min="4334" max="4334" width="2.42578125" style="1558" bestFit="1" customWidth="1"/>
    <col min="4335" max="4335" width="28.28515625" style="1558" bestFit="1" customWidth="1"/>
    <col min="4336" max="4336" width="14.28515625" style="1558" bestFit="1" customWidth="1"/>
    <col min="4337" max="4337" width="13.5703125" style="1558" bestFit="1" customWidth="1"/>
    <col min="4338" max="4338" width="10.7109375" style="1558" bestFit="1" customWidth="1"/>
    <col min="4339" max="4339" width="9.42578125" style="1558" bestFit="1" customWidth="1"/>
    <col min="4340" max="4340" width="9.85546875" style="1558" bestFit="1" customWidth="1"/>
    <col min="4341" max="4341" width="11.28515625" style="1558" bestFit="1" customWidth="1"/>
    <col min="4342" max="4342" width="9.140625" style="1558"/>
    <col min="4343" max="4344" width="3.7109375" style="1558" customWidth="1"/>
    <col min="4345" max="4345" width="18.85546875" style="1558" customWidth="1"/>
    <col min="4346" max="4346" width="19.7109375" style="1558" customWidth="1"/>
    <col min="4347" max="4347" width="13.5703125" style="1558" customWidth="1"/>
    <col min="4348" max="4350" width="11.7109375" style="1558" customWidth="1"/>
    <col min="4351" max="4351" width="12.7109375" style="1558" customWidth="1"/>
    <col min="4352" max="4361" width="11.7109375" style="1558" customWidth="1"/>
    <col min="4362" max="4589" width="8" style="1558" customWidth="1"/>
    <col min="4590" max="4590" width="2.42578125" style="1558" bestFit="1" customWidth="1"/>
    <col min="4591" max="4591" width="28.28515625" style="1558" bestFit="1" customWidth="1"/>
    <col min="4592" max="4592" width="14.28515625" style="1558" bestFit="1" customWidth="1"/>
    <col min="4593" max="4593" width="13.5703125" style="1558" bestFit="1" customWidth="1"/>
    <col min="4594" max="4594" width="10.7109375" style="1558" bestFit="1" customWidth="1"/>
    <col min="4595" max="4595" width="9.42578125" style="1558" bestFit="1" customWidth="1"/>
    <col min="4596" max="4596" width="9.85546875" style="1558" bestFit="1" customWidth="1"/>
    <col min="4597" max="4597" width="11.28515625" style="1558" bestFit="1" customWidth="1"/>
    <col min="4598" max="4598" width="9.140625" style="1558"/>
    <col min="4599" max="4600" width="3.7109375" style="1558" customWidth="1"/>
    <col min="4601" max="4601" width="18.85546875" style="1558" customWidth="1"/>
    <col min="4602" max="4602" width="19.7109375" style="1558" customWidth="1"/>
    <col min="4603" max="4603" width="13.5703125" style="1558" customWidth="1"/>
    <col min="4604" max="4606" width="11.7109375" style="1558" customWidth="1"/>
    <col min="4607" max="4607" width="12.7109375" style="1558" customWidth="1"/>
    <col min="4608" max="4617" width="11.7109375" style="1558" customWidth="1"/>
    <col min="4618" max="4845" width="8" style="1558" customWidth="1"/>
    <col min="4846" max="4846" width="2.42578125" style="1558" bestFit="1" customWidth="1"/>
    <col min="4847" max="4847" width="28.28515625" style="1558" bestFit="1" customWidth="1"/>
    <col min="4848" max="4848" width="14.28515625" style="1558" bestFit="1" customWidth="1"/>
    <col min="4849" max="4849" width="13.5703125" style="1558" bestFit="1" customWidth="1"/>
    <col min="4850" max="4850" width="10.7109375" style="1558" bestFit="1" customWidth="1"/>
    <col min="4851" max="4851" width="9.42578125" style="1558" bestFit="1" customWidth="1"/>
    <col min="4852" max="4852" width="9.85546875" style="1558" bestFit="1" customWidth="1"/>
    <col min="4853" max="4853" width="11.28515625" style="1558" bestFit="1" customWidth="1"/>
    <col min="4854" max="4854" width="9.140625" style="1558"/>
    <col min="4855" max="4856" width="3.7109375" style="1558" customWidth="1"/>
    <col min="4857" max="4857" width="18.85546875" style="1558" customWidth="1"/>
    <col min="4858" max="4858" width="19.7109375" style="1558" customWidth="1"/>
    <col min="4859" max="4859" width="13.5703125" style="1558" customWidth="1"/>
    <col min="4860" max="4862" width="11.7109375" style="1558" customWidth="1"/>
    <col min="4863" max="4863" width="12.7109375" style="1558" customWidth="1"/>
    <col min="4864" max="4873" width="11.7109375" style="1558" customWidth="1"/>
    <col min="4874" max="5101" width="8" style="1558" customWidth="1"/>
    <col min="5102" max="5102" width="2.42578125" style="1558" bestFit="1" customWidth="1"/>
    <col min="5103" max="5103" width="28.28515625" style="1558" bestFit="1" customWidth="1"/>
    <col min="5104" max="5104" width="14.28515625" style="1558" bestFit="1" customWidth="1"/>
    <col min="5105" max="5105" width="13.5703125" style="1558" bestFit="1" customWidth="1"/>
    <col min="5106" max="5106" width="10.7109375" style="1558" bestFit="1" customWidth="1"/>
    <col min="5107" max="5107" width="9.42578125" style="1558" bestFit="1" customWidth="1"/>
    <col min="5108" max="5108" width="9.85546875" style="1558" bestFit="1" customWidth="1"/>
    <col min="5109" max="5109" width="11.28515625" style="1558" bestFit="1" customWidth="1"/>
    <col min="5110" max="5110" width="9.140625" style="1558"/>
    <col min="5111" max="5112" width="3.7109375" style="1558" customWidth="1"/>
    <col min="5113" max="5113" width="18.85546875" style="1558" customWidth="1"/>
    <col min="5114" max="5114" width="19.7109375" style="1558" customWidth="1"/>
    <col min="5115" max="5115" width="13.5703125" style="1558" customWidth="1"/>
    <col min="5116" max="5118" width="11.7109375" style="1558" customWidth="1"/>
    <col min="5119" max="5119" width="12.7109375" style="1558" customWidth="1"/>
    <col min="5120" max="5129" width="11.7109375" style="1558" customWidth="1"/>
    <col min="5130" max="5357" width="8" style="1558" customWidth="1"/>
    <col min="5358" max="5358" width="2.42578125" style="1558" bestFit="1" customWidth="1"/>
    <col min="5359" max="5359" width="28.28515625" style="1558" bestFit="1" customWidth="1"/>
    <col min="5360" max="5360" width="14.28515625" style="1558" bestFit="1" customWidth="1"/>
    <col min="5361" max="5361" width="13.5703125" style="1558" bestFit="1" customWidth="1"/>
    <col min="5362" max="5362" width="10.7109375" style="1558" bestFit="1" customWidth="1"/>
    <col min="5363" max="5363" width="9.42578125" style="1558" bestFit="1" customWidth="1"/>
    <col min="5364" max="5364" width="9.85546875" style="1558" bestFit="1" customWidth="1"/>
    <col min="5365" max="5365" width="11.28515625" style="1558" bestFit="1" customWidth="1"/>
    <col min="5366" max="5366" width="9.140625" style="1558"/>
    <col min="5367" max="5368" width="3.7109375" style="1558" customWidth="1"/>
    <col min="5369" max="5369" width="18.85546875" style="1558" customWidth="1"/>
    <col min="5370" max="5370" width="19.7109375" style="1558" customWidth="1"/>
    <col min="5371" max="5371" width="13.5703125" style="1558" customWidth="1"/>
    <col min="5372" max="5374" width="11.7109375" style="1558" customWidth="1"/>
    <col min="5375" max="5375" width="12.7109375" style="1558" customWidth="1"/>
    <col min="5376" max="5385" width="11.7109375" style="1558" customWidth="1"/>
    <col min="5386" max="5613" width="8" style="1558" customWidth="1"/>
    <col min="5614" max="5614" width="2.42578125" style="1558" bestFit="1" customWidth="1"/>
    <col min="5615" max="5615" width="28.28515625" style="1558" bestFit="1" customWidth="1"/>
    <col min="5616" max="5616" width="14.28515625" style="1558" bestFit="1" customWidth="1"/>
    <col min="5617" max="5617" width="13.5703125" style="1558" bestFit="1" customWidth="1"/>
    <col min="5618" max="5618" width="10.7109375" style="1558" bestFit="1" customWidth="1"/>
    <col min="5619" max="5619" width="9.42578125" style="1558" bestFit="1" customWidth="1"/>
    <col min="5620" max="5620" width="9.85546875" style="1558" bestFit="1" customWidth="1"/>
    <col min="5621" max="5621" width="11.28515625" style="1558" bestFit="1" customWidth="1"/>
    <col min="5622" max="5622" width="9.140625" style="1558"/>
    <col min="5623" max="5624" width="3.7109375" style="1558" customWidth="1"/>
    <col min="5625" max="5625" width="18.85546875" style="1558" customWidth="1"/>
    <col min="5626" max="5626" width="19.7109375" style="1558" customWidth="1"/>
    <col min="5627" max="5627" width="13.5703125" style="1558" customWidth="1"/>
    <col min="5628" max="5630" width="11.7109375" style="1558" customWidth="1"/>
    <col min="5631" max="5631" width="12.7109375" style="1558" customWidth="1"/>
    <col min="5632" max="5641" width="11.7109375" style="1558" customWidth="1"/>
    <col min="5642" max="5869" width="8" style="1558" customWidth="1"/>
    <col min="5870" max="5870" width="2.42578125" style="1558" bestFit="1" customWidth="1"/>
    <col min="5871" max="5871" width="28.28515625" style="1558" bestFit="1" customWidth="1"/>
    <col min="5872" max="5872" width="14.28515625" style="1558" bestFit="1" customWidth="1"/>
    <col min="5873" max="5873" width="13.5703125" style="1558" bestFit="1" customWidth="1"/>
    <col min="5874" max="5874" width="10.7109375" style="1558" bestFit="1" customWidth="1"/>
    <col min="5875" max="5875" width="9.42578125" style="1558" bestFit="1" customWidth="1"/>
    <col min="5876" max="5876" width="9.85546875" style="1558" bestFit="1" customWidth="1"/>
    <col min="5877" max="5877" width="11.28515625" style="1558" bestFit="1" customWidth="1"/>
    <col min="5878" max="5878" width="9.140625" style="1558"/>
    <col min="5879" max="5880" width="3.7109375" style="1558" customWidth="1"/>
    <col min="5881" max="5881" width="18.85546875" style="1558" customWidth="1"/>
    <col min="5882" max="5882" width="19.7109375" style="1558" customWidth="1"/>
    <col min="5883" max="5883" width="13.5703125" style="1558" customWidth="1"/>
    <col min="5884" max="5886" width="11.7109375" style="1558" customWidth="1"/>
    <col min="5887" max="5887" width="12.7109375" style="1558" customWidth="1"/>
    <col min="5888" max="5897" width="11.7109375" style="1558" customWidth="1"/>
    <col min="5898" max="6125" width="8" style="1558" customWidth="1"/>
    <col min="6126" max="6126" width="2.42578125" style="1558" bestFit="1" customWidth="1"/>
    <col min="6127" max="6127" width="28.28515625" style="1558" bestFit="1" customWidth="1"/>
    <col min="6128" max="6128" width="14.28515625" style="1558" bestFit="1" customWidth="1"/>
    <col min="6129" max="6129" width="13.5703125" style="1558" bestFit="1" customWidth="1"/>
    <col min="6130" max="6130" width="10.7109375" style="1558" bestFit="1" customWidth="1"/>
    <col min="6131" max="6131" width="9.42578125" style="1558" bestFit="1" customWidth="1"/>
    <col min="6132" max="6132" width="9.85546875" style="1558" bestFit="1" customWidth="1"/>
    <col min="6133" max="6133" width="11.28515625" style="1558" bestFit="1" customWidth="1"/>
    <col min="6134" max="6134" width="9.140625" style="1558"/>
    <col min="6135" max="6136" width="3.7109375" style="1558" customWidth="1"/>
    <col min="6137" max="6137" width="18.85546875" style="1558" customWidth="1"/>
    <col min="6138" max="6138" width="19.7109375" style="1558" customWidth="1"/>
    <col min="6139" max="6139" width="13.5703125" style="1558" customWidth="1"/>
    <col min="6140" max="6142" width="11.7109375" style="1558" customWidth="1"/>
    <col min="6143" max="6143" width="12.7109375" style="1558" customWidth="1"/>
    <col min="6144" max="6153" width="11.7109375" style="1558" customWidth="1"/>
    <col min="6154" max="6381" width="8" style="1558" customWidth="1"/>
    <col min="6382" max="6382" width="2.42578125" style="1558" bestFit="1" customWidth="1"/>
    <col min="6383" max="6383" width="28.28515625" style="1558" bestFit="1" customWidth="1"/>
    <col min="6384" max="6384" width="14.28515625" style="1558" bestFit="1" customWidth="1"/>
    <col min="6385" max="6385" width="13.5703125" style="1558" bestFit="1" customWidth="1"/>
    <col min="6386" max="6386" width="10.7109375" style="1558" bestFit="1" customWidth="1"/>
    <col min="6387" max="6387" width="9.42578125" style="1558" bestFit="1" customWidth="1"/>
    <col min="6388" max="6388" width="9.85546875" style="1558" bestFit="1" customWidth="1"/>
    <col min="6389" max="6389" width="11.28515625" style="1558" bestFit="1" customWidth="1"/>
    <col min="6390" max="6390" width="9.140625" style="1558"/>
    <col min="6391" max="6392" width="3.7109375" style="1558" customWidth="1"/>
    <col min="6393" max="6393" width="18.85546875" style="1558" customWidth="1"/>
    <col min="6394" max="6394" width="19.7109375" style="1558" customWidth="1"/>
    <col min="6395" max="6395" width="13.5703125" style="1558" customWidth="1"/>
    <col min="6396" max="6398" width="11.7109375" style="1558" customWidth="1"/>
    <col min="6399" max="6399" width="12.7109375" style="1558" customWidth="1"/>
    <col min="6400" max="6409" width="11.7109375" style="1558" customWidth="1"/>
    <col min="6410" max="6637" width="8" style="1558" customWidth="1"/>
    <col min="6638" max="6638" width="2.42578125" style="1558" bestFit="1" customWidth="1"/>
    <col min="6639" max="6639" width="28.28515625" style="1558" bestFit="1" customWidth="1"/>
    <col min="6640" max="6640" width="14.28515625" style="1558" bestFit="1" customWidth="1"/>
    <col min="6641" max="6641" width="13.5703125" style="1558" bestFit="1" customWidth="1"/>
    <col min="6642" max="6642" width="10.7109375" style="1558" bestFit="1" customWidth="1"/>
    <col min="6643" max="6643" width="9.42578125" style="1558" bestFit="1" customWidth="1"/>
    <col min="6644" max="6644" width="9.85546875" style="1558" bestFit="1" customWidth="1"/>
    <col min="6645" max="6645" width="11.28515625" style="1558" bestFit="1" customWidth="1"/>
    <col min="6646" max="6646" width="9.140625" style="1558"/>
    <col min="6647" max="6648" width="3.7109375" style="1558" customWidth="1"/>
    <col min="6649" max="6649" width="18.85546875" style="1558" customWidth="1"/>
    <col min="6650" max="6650" width="19.7109375" style="1558" customWidth="1"/>
    <col min="6651" max="6651" width="13.5703125" style="1558" customWidth="1"/>
    <col min="6652" max="6654" width="11.7109375" style="1558" customWidth="1"/>
    <col min="6655" max="6655" width="12.7109375" style="1558" customWidth="1"/>
    <col min="6656" max="6665" width="11.7109375" style="1558" customWidth="1"/>
    <col min="6666" max="6893" width="8" style="1558" customWidth="1"/>
    <col min="6894" max="6894" width="2.42578125" style="1558" bestFit="1" customWidth="1"/>
    <col min="6895" max="6895" width="28.28515625" style="1558" bestFit="1" customWidth="1"/>
    <col min="6896" max="6896" width="14.28515625" style="1558" bestFit="1" customWidth="1"/>
    <col min="6897" max="6897" width="13.5703125" style="1558" bestFit="1" customWidth="1"/>
    <col min="6898" max="6898" width="10.7109375" style="1558" bestFit="1" customWidth="1"/>
    <col min="6899" max="6899" width="9.42578125" style="1558" bestFit="1" customWidth="1"/>
    <col min="6900" max="6900" width="9.85546875" style="1558" bestFit="1" customWidth="1"/>
    <col min="6901" max="6901" width="11.28515625" style="1558" bestFit="1" customWidth="1"/>
    <col min="6902" max="6902" width="9.140625" style="1558"/>
    <col min="6903" max="6904" width="3.7109375" style="1558" customWidth="1"/>
    <col min="6905" max="6905" width="18.85546875" style="1558" customWidth="1"/>
    <col min="6906" max="6906" width="19.7109375" style="1558" customWidth="1"/>
    <col min="6907" max="6907" width="13.5703125" style="1558" customWidth="1"/>
    <col min="6908" max="6910" width="11.7109375" style="1558" customWidth="1"/>
    <col min="6911" max="6911" width="12.7109375" style="1558" customWidth="1"/>
    <col min="6912" max="6921" width="11.7109375" style="1558" customWidth="1"/>
    <col min="6922" max="7149" width="8" style="1558" customWidth="1"/>
    <col min="7150" max="7150" width="2.42578125" style="1558" bestFit="1" customWidth="1"/>
    <col min="7151" max="7151" width="28.28515625" style="1558" bestFit="1" customWidth="1"/>
    <col min="7152" max="7152" width="14.28515625" style="1558" bestFit="1" customWidth="1"/>
    <col min="7153" max="7153" width="13.5703125" style="1558" bestFit="1" customWidth="1"/>
    <col min="7154" max="7154" width="10.7109375" style="1558" bestFit="1" customWidth="1"/>
    <col min="7155" max="7155" width="9.42578125" style="1558" bestFit="1" customWidth="1"/>
    <col min="7156" max="7156" width="9.85546875" style="1558" bestFit="1" customWidth="1"/>
    <col min="7157" max="7157" width="11.28515625" style="1558" bestFit="1" customWidth="1"/>
    <col min="7158" max="7158" width="9.140625" style="1558"/>
    <col min="7159" max="7160" width="3.7109375" style="1558" customWidth="1"/>
    <col min="7161" max="7161" width="18.85546875" style="1558" customWidth="1"/>
    <col min="7162" max="7162" width="19.7109375" style="1558" customWidth="1"/>
    <col min="7163" max="7163" width="13.5703125" style="1558" customWidth="1"/>
    <col min="7164" max="7166" width="11.7109375" style="1558" customWidth="1"/>
    <col min="7167" max="7167" width="12.7109375" style="1558" customWidth="1"/>
    <col min="7168" max="7177" width="11.7109375" style="1558" customWidth="1"/>
    <col min="7178" max="7405" width="8" style="1558" customWidth="1"/>
    <col min="7406" max="7406" width="2.42578125" style="1558" bestFit="1" customWidth="1"/>
    <col min="7407" max="7407" width="28.28515625" style="1558" bestFit="1" customWidth="1"/>
    <col min="7408" max="7408" width="14.28515625" style="1558" bestFit="1" customWidth="1"/>
    <col min="7409" max="7409" width="13.5703125" style="1558" bestFit="1" customWidth="1"/>
    <col min="7410" max="7410" width="10.7109375" style="1558" bestFit="1" customWidth="1"/>
    <col min="7411" max="7411" width="9.42578125" style="1558" bestFit="1" customWidth="1"/>
    <col min="7412" max="7412" width="9.85546875" style="1558" bestFit="1" customWidth="1"/>
    <col min="7413" max="7413" width="11.28515625" style="1558" bestFit="1" customWidth="1"/>
    <col min="7414" max="7414" width="9.140625" style="1558"/>
    <col min="7415" max="7416" width="3.7109375" style="1558" customWidth="1"/>
    <col min="7417" max="7417" width="18.85546875" style="1558" customWidth="1"/>
    <col min="7418" max="7418" width="19.7109375" style="1558" customWidth="1"/>
    <col min="7419" max="7419" width="13.5703125" style="1558" customWidth="1"/>
    <col min="7420" max="7422" width="11.7109375" style="1558" customWidth="1"/>
    <col min="7423" max="7423" width="12.7109375" style="1558" customWidth="1"/>
    <col min="7424" max="7433" width="11.7109375" style="1558" customWidth="1"/>
    <col min="7434" max="7661" width="8" style="1558" customWidth="1"/>
    <col min="7662" max="7662" width="2.42578125" style="1558" bestFit="1" customWidth="1"/>
    <col min="7663" max="7663" width="28.28515625" style="1558" bestFit="1" customWidth="1"/>
    <col min="7664" max="7664" width="14.28515625" style="1558" bestFit="1" customWidth="1"/>
    <col min="7665" max="7665" width="13.5703125" style="1558" bestFit="1" customWidth="1"/>
    <col min="7666" max="7666" width="10.7109375" style="1558" bestFit="1" customWidth="1"/>
    <col min="7667" max="7667" width="9.42578125" style="1558" bestFit="1" customWidth="1"/>
    <col min="7668" max="7668" width="9.85546875" style="1558" bestFit="1" customWidth="1"/>
    <col min="7669" max="7669" width="11.28515625" style="1558" bestFit="1" customWidth="1"/>
    <col min="7670" max="7670" width="9.140625" style="1558"/>
    <col min="7671" max="7672" width="3.7109375" style="1558" customWidth="1"/>
    <col min="7673" max="7673" width="18.85546875" style="1558" customWidth="1"/>
    <col min="7674" max="7674" width="19.7109375" style="1558" customWidth="1"/>
    <col min="7675" max="7675" width="13.5703125" style="1558" customWidth="1"/>
    <col min="7676" max="7678" width="11.7109375" style="1558" customWidth="1"/>
    <col min="7679" max="7679" width="12.7109375" style="1558" customWidth="1"/>
    <col min="7680" max="7689" width="11.7109375" style="1558" customWidth="1"/>
    <col min="7690" max="7917" width="8" style="1558" customWidth="1"/>
    <col min="7918" max="7918" width="2.42578125" style="1558" bestFit="1" customWidth="1"/>
    <col min="7919" max="7919" width="28.28515625" style="1558" bestFit="1" customWidth="1"/>
    <col min="7920" max="7920" width="14.28515625" style="1558" bestFit="1" customWidth="1"/>
    <col min="7921" max="7921" width="13.5703125" style="1558" bestFit="1" customWidth="1"/>
    <col min="7922" max="7922" width="10.7109375" style="1558" bestFit="1" customWidth="1"/>
    <col min="7923" max="7923" width="9.42578125" style="1558" bestFit="1" customWidth="1"/>
    <col min="7924" max="7924" width="9.85546875" style="1558" bestFit="1" customWidth="1"/>
    <col min="7925" max="7925" width="11.28515625" style="1558" bestFit="1" customWidth="1"/>
    <col min="7926" max="7926" width="9.140625" style="1558"/>
    <col min="7927" max="7928" width="3.7109375" style="1558" customWidth="1"/>
    <col min="7929" max="7929" width="18.85546875" style="1558" customWidth="1"/>
    <col min="7930" max="7930" width="19.7109375" style="1558" customWidth="1"/>
    <col min="7931" max="7931" width="13.5703125" style="1558" customWidth="1"/>
    <col min="7932" max="7934" width="11.7109375" style="1558" customWidth="1"/>
    <col min="7935" max="7935" width="12.7109375" style="1558" customWidth="1"/>
    <col min="7936" max="7945" width="11.7109375" style="1558" customWidth="1"/>
    <col min="7946" max="8173" width="8" style="1558" customWidth="1"/>
    <col min="8174" max="8174" width="2.42578125" style="1558" bestFit="1" customWidth="1"/>
    <col min="8175" max="8175" width="28.28515625" style="1558" bestFit="1" customWidth="1"/>
    <col min="8176" max="8176" width="14.28515625" style="1558" bestFit="1" customWidth="1"/>
    <col min="8177" max="8177" width="13.5703125" style="1558" bestFit="1" customWidth="1"/>
    <col min="8178" max="8178" width="10.7109375" style="1558" bestFit="1" customWidth="1"/>
    <col min="8179" max="8179" width="9.42578125" style="1558" bestFit="1" customWidth="1"/>
    <col min="8180" max="8180" width="9.85546875" style="1558" bestFit="1" customWidth="1"/>
    <col min="8181" max="8181" width="11.28515625" style="1558" bestFit="1" customWidth="1"/>
    <col min="8182" max="8182" width="9.140625" style="1558"/>
    <col min="8183" max="8184" width="3.7109375" style="1558" customWidth="1"/>
    <col min="8185" max="8185" width="18.85546875" style="1558" customWidth="1"/>
    <col min="8186" max="8186" width="19.7109375" style="1558" customWidth="1"/>
    <col min="8187" max="8187" width="13.5703125" style="1558" customWidth="1"/>
    <col min="8188" max="8190" width="11.7109375" style="1558" customWidth="1"/>
    <col min="8191" max="8191" width="12.7109375" style="1558" customWidth="1"/>
    <col min="8192" max="8201" width="11.7109375" style="1558" customWidth="1"/>
    <col min="8202" max="8429" width="8" style="1558" customWidth="1"/>
    <col min="8430" max="8430" width="2.42578125" style="1558" bestFit="1" customWidth="1"/>
    <col min="8431" max="8431" width="28.28515625" style="1558" bestFit="1" customWidth="1"/>
    <col min="8432" max="8432" width="14.28515625" style="1558" bestFit="1" customWidth="1"/>
    <col min="8433" max="8433" width="13.5703125" style="1558" bestFit="1" customWidth="1"/>
    <col min="8434" max="8434" width="10.7109375" style="1558" bestFit="1" customWidth="1"/>
    <col min="8435" max="8435" width="9.42578125" style="1558" bestFit="1" customWidth="1"/>
    <col min="8436" max="8436" width="9.85546875" style="1558" bestFit="1" customWidth="1"/>
    <col min="8437" max="8437" width="11.28515625" style="1558" bestFit="1" customWidth="1"/>
    <col min="8438" max="8438" width="9.140625" style="1558"/>
    <col min="8439" max="8440" width="3.7109375" style="1558" customWidth="1"/>
    <col min="8441" max="8441" width="18.85546875" style="1558" customWidth="1"/>
    <col min="8442" max="8442" width="19.7109375" style="1558" customWidth="1"/>
    <col min="8443" max="8443" width="13.5703125" style="1558" customWidth="1"/>
    <col min="8444" max="8446" width="11.7109375" style="1558" customWidth="1"/>
    <col min="8447" max="8447" width="12.7109375" style="1558" customWidth="1"/>
    <col min="8448" max="8457" width="11.7109375" style="1558" customWidth="1"/>
    <col min="8458" max="8685" width="8" style="1558" customWidth="1"/>
    <col min="8686" max="8686" width="2.42578125" style="1558" bestFit="1" customWidth="1"/>
    <col min="8687" max="8687" width="28.28515625" style="1558" bestFit="1" customWidth="1"/>
    <col min="8688" max="8688" width="14.28515625" style="1558" bestFit="1" customWidth="1"/>
    <col min="8689" max="8689" width="13.5703125" style="1558" bestFit="1" customWidth="1"/>
    <col min="8690" max="8690" width="10.7109375" style="1558" bestFit="1" customWidth="1"/>
    <col min="8691" max="8691" width="9.42578125" style="1558" bestFit="1" customWidth="1"/>
    <col min="8692" max="8692" width="9.85546875" style="1558" bestFit="1" customWidth="1"/>
    <col min="8693" max="8693" width="11.28515625" style="1558" bestFit="1" customWidth="1"/>
    <col min="8694" max="8694" width="9.140625" style="1558"/>
    <col min="8695" max="8696" width="3.7109375" style="1558" customWidth="1"/>
    <col min="8697" max="8697" width="18.85546875" style="1558" customWidth="1"/>
    <col min="8698" max="8698" width="19.7109375" style="1558" customWidth="1"/>
    <col min="8699" max="8699" width="13.5703125" style="1558" customWidth="1"/>
    <col min="8700" max="8702" width="11.7109375" style="1558" customWidth="1"/>
    <col min="8703" max="8703" width="12.7109375" style="1558" customWidth="1"/>
    <col min="8704" max="8713" width="11.7109375" style="1558" customWidth="1"/>
    <col min="8714" max="8941" width="8" style="1558" customWidth="1"/>
    <col min="8942" max="8942" width="2.42578125" style="1558" bestFit="1" customWidth="1"/>
    <col min="8943" max="8943" width="28.28515625" style="1558" bestFit="1" customWidth="1"/>
    <col min="8944" max="8944" width="14.28515625" style="1558" bestFit="1" customWidth="1"/>
    <col min="8945" max="8945" width="13.5703125" style="1558" bestFit="1" customWidth="1"/>
    <col min="8946" max="8946" width="10.7109375" style="1558" bestFit="1" customWidth="1"/>
    <col min="8947" max="8947" width="9.42578125" style="1558" bestFit="1" customWidth="1"/>
    <col min="8948" max="8948" width="9.85546875" style="1558" bestFit="1" customWidth="1"/>
    <col min="8949" max="8949" width="11.28515625" style="1558" bestFit="1" customWidth="1"/>
    <col min="8950" max="8950" width="9.140625" style="1558"/>
    <col min="8951" max="8952" width="3.7109375" style="1558" customWidth="1"/>
    <col min="8953" max="8953" width="18.85546875" style="1558" customWidth="1"/>
    <col min="8954" max="8954" width="19.7109375" style="1558" customWidth="1"/>
    <col min="8955" max="8955" width="13.5703125" style="1558" customWidth="1"/>
    <col min="8956" max="8958" width="11.7109375" style="1558" customWidth="1"/>
    <col min="8959" max="8959" width="12.7109375" style="1558" customWidth="1"/>
    <col min="8960" max="8969" width="11.7109375" style="1558" customWidth="1"/>
    <col min="8970" max="9197" width="8" style="1558" customWidth="1"/>
    <col min="9198" max="9198" width="2.42578125" style="1558" bestFit="1" customWidth="1"/>
    <col min="9199" max="9199" width="28.28515625" style="1558" bestFit="1" customWidth="1"/>
    <col min="9200" max="9200" width="14.28515625" style="1558" bestFit="1" customWidth="1"/>
    <col min="9201" max="9201" width="13.5703125" style="1558" bestFit="1" customWidth="1"/>
    <col min="9202" max="9202" width="10.7109375" style="1558" bestFit="1" customWidth="1"/>
    <col min="9203" max="9203" width="9.42578125" style="1558" bestFit="1" customWidth="1"/>
    <col min="9204" max="9204" width="9.85546875" style="1558" bestFit="1" customWidth="1"/>
    <col min="9205" max="9205" width="11.28515625" style="1558" bestFit="1" customWidth="1"/>
    <col min="9206" max="9206" width="9.140625" style="1558"/>
    <col min="9207" max="9208" width="3.7109375" style="1558" customWidth="1"/>
    <col min="9209" max="9209" width="18.85546875" style="1558" customWidth="1"/>
    <col min="9210" max="9210" width="19.7109375" style="1558" customWidth="1"/>
    <col min="9211" max="9211" width="13.5703125" style="1558" customWidth="1"/>
    <col min="9212" max="9214" width="11.7109375" style="1558" customWidth="1"/>
    <col min="9215" max="9215" width="12.7109375" style="1558" customWidth="1"/>
    <col min="9216" max="9225" width="11.7109375" style="1558" customWidth="1"/>
    <col min="9226" max="9453" width="8" style="1558" customWidth="1"/>
    <col min="9454" max="9454" width="2.42578125" style="1558" bestFit="1" customWidth="1"/>
    <col min="9455" max="9455" width="28.28515625" style="1558" bestFit="1" customWidth="1"/>
    <col min="9456" max="9456" width="14.28515625" style="1558" bestFit="1" customWidth="1"/>
    <col min="9457" max="9457" width="13.5703125" style="1558" bestFit="1" customWidth="1"/>
    <col min="9458" max="9458" width="10.7109375" style="1558" bestFit="1" customWidth="1"/>
    <col min="9459" max="9459" width="9.42578125" style="1558" bestFit="1" customWidth="1"/>
    <col min="9460" max="9460" width="9.85546875" style="1558" bestFit="1" customWidth="1"/>
    <col min="9461" max="9461" width="11.28515625" style="1558" bestFit="1" customWidth="1"/>
    <col min="9462" max="9462" width="9.140625" style="1558"/>
    <col min="9463" max="9464" width="3.7109375" style="1558" customWidth="1"/>
    <col min="9465" max="9465" width="18.85546875" style="1558" customWidth="1"/>
    <col min="9466" max="9466" width="19.7109375" style="1558" customWidth="1"/>
    <col min="9467" max="9467" width="13.5703125" style="1558" customWidth="1"/>
    <col min="9468" max="9470" width="11.7109375" style="1558" customWidth="1"/>
    <col min="9471" max="9471" width="12.7109375" style="1558" customWidth="1"/>
    <col min="9472" max="9481" width="11.7109375" style="1558" customWidth="1"/>
    <col min="9482" max="9709" width="8" style="1558" customWidth="1"/>
    <col min="9710" max="9710" width="2.42578125" style="1558" bestFit="1" customWidth="1"/>
    <col min="9711" max="9711" width="28.28515625" style="1558" bestFit="1" customWidth="1"/>
    <col min="9712" max="9712" width="14.28515625" style="1558" bestFit="1" customWidth="1"/>
    <col min="9713" max="9713" width="13.5703125" style="1558" bestFit="1" customWidth="1"/>
    <col min="9714" max="9714" width="10.7109375" style="1558" bestFit="1" customWidth="1"/>
    <col min="9715" max="9715" width="9.42578125" style="1558" bestFit="1" customWidth="1"/>
    <col min="9716" max="9716" width="9.85546875" style="1558" bestFit="1" customWidth="1"/>
    <col min="9717" max="9717" width="11.28515625" style="1558" bestFit="1" customWidth="1"/>
    <col min="9718" max="9718" width="9.140625" style="1558"/>
    <col min="9719" max="9720" width="3.7109375" style="1558" customWidth="1"/>
    <col min="9721" max="9721" width="18.85546875" style="1558" customWidth="1"/>
    <col min="9722" max="9722" width="19.7109375" style="1558" customWidth="1"/>
    <col min="9723" max="9723" width="13.5703125" style="1558" customWidth="1"/>
    <col min="9724" max="9726" width="11.7109375" style="1558" customWidth="1"/>
    <col min="9727" max="9727" width="12.7109375" style="1558" customWidth="1"/>
    <col min="9728" max="9737" width="11.7109375" style="1558" customWidth="1"/>
    <col min="9738" max="9965" width="8" style="1558" customWidth="1"/>
    <col min="9966" max="9966" width="2.42578125" style="1558" bestFit="1" customWidth="1"/>
    <col min="9967" max="9967" width="28.28515625" style="1558" bestFit="1" customWidth="1"/>
    <col min="9968" max="9968" width="14.28515625" style="1558" bestFit="1" customWidth="1"/>
    <col min="9969" max="9969" width="13.5703125" style="1558" bestFit="1" customWidth="1"/>
    <col min="9970" max="9970" width="10.7109375" style="1558" bestFit="1" customWidth="1"/>
    <col min="9971" max="9971" width="9.42578125" style="1558" bestFit="1" customWidth="1"/>
    <col min="9972" max="9972" width="9.85546875" style="1558" bestFit="1" customWidth="1"/>
    <col min="9973" max="9973" width="11.28515625" style="1558" bestFit="1" customWidth="1"/>
    <col min="9974" max="9974" width="9.140625" style="1558"/>
    <col min="9975" max="9976" width="3.7109375" style="1558" customWidth="1"/>
    <col min="9977" max="9977" width="18.85546875" style="1558" customWidth="1"/>
    <col min="9978" max="9978" width="19.7109375" style="1558" customWidth="1"/>
    <col min="9979" max="9979" width="13.5703125" style="1558" customWidth="1"/>
    <col min="9980" max="9982" width="11.7109375" style="1558" customWidth="1"/>
    <col min="9983" max="9983" width="12.7109375" style="1558" customWidth="1"/>
    <col min="9984" max="9993" width="11.7109375" style="1558" customWidth="1"/>
    <col min="9994" max="10221" width="8" style="1558" customWidth="1"/>
    <col min="10222" max="10222" width="2.42578125" style="1558" bestFit="1" customWidth="1"/>
    <col min="10223" max="10223" width="28.28515625" style="1558" bestFit="1" customWidth="1"/>
    <col min="10224" max="10224" width="14.28515625" style="1558" bestFit="1" customWidth="1"/>
    <col min="10225" max="10225" width="13.5703125" style="1558" bestFit="1" customWidth="1"/>
    <col min="10226" max="10226" width="10.7109375" style="1558" bestFit="1" customWidth="1"/>
    <col min="10227" max="10227" width="9.42578125" style="1558" bestFit="1" customWidth="1"/>
    <col min="10228" max="10228" width="9.85546875" style="1558" bestFit="1" customWidth="1"/>
    <col min="10229" max="10229" width="11.28515625" style="1558" bestFit="1" customWidth="1"/>
    <col min="10230" max="10230" width="9.140625" style="1558"/>
    <col min="10231" max="10232" width="3.7109375" style="1558" customWidth="1"/>
    <col min="10233" max="10233" width="18.85546875" style="1558" customWidth="1"/>
    <col min="10234" max="10234" width="19.7109375" style="1558" customWidth="1"/>
    <col min="10235" max="10235" width="13.5703125" style="1558" customWidth="1"/>
    <col min="10236" max="10238" width="11.7109375" style="1558" customWidth="1"/>
    <col min="10239" max="10239" width="12.7109375" style="1558" customWidth="1"/>
    <col min="10240" max="10249" width="11.7109375" style="1558" customWidth="1"/>
    <col min="10250" max="10477" width="8" style="1558" customWidth="1"/>
    <col min="10478" max="10478" width="2.42578125" style="1558" bestFit="1" customWidth="1"/>
    <col min="10479" max="10479" width="28.28515625" style="1558" bestFit="1" customWidth="1"/>
    <col min="10480" max="10480" width="14.28515625" style="1558" bestFit="1" customWidth="1"/>
    <col min="10481" max="10481" width="13.5703125" style="1558" bestFit="1" customWidth="1"/>
    <col min="10482" max="10482" width="10.7109375" style="1558" bestFit="1" customWidth="1"/>
    <col min="10483" max="10483" width="9.42578125" style="1558" bestFit="1" customWidth="1"/>
    <col min="10484" max="10484" width="9.85546875" style="1558" bestFit="1" customWidth="1"/>
    <col min="10485" max="10485" width="11.28515625" style="1558" bestFit="1" customWidth="1"/>
    <col min="10486" max="10486" width="9.140625" style="1558"/>
    <col min="10487" max="10488" width="3.7109375" style="1558" customWidth="1"/>
    <col min="10489" max="10489" width="18.85546875" style="1558" customWidth="1"/>
    <col min="10490" max="10490" width="19.7109375" style="1558" customWidth="1"/>
    <col min="10491" max="10491" width="13.5703125" style="1558" customWidth="1"/>
    <col min="10492" max="10494" width="11.7109375" style="1558" customWidth="1"/>
    <col min="10495" max="10495" width="12.7109375" style="1558" customWidth="1"/>
    <col min="10496" max="10505" width="11.7109375" style="1558" customWidth="1"/>
    <col min="10506" max="10733" width="8" style="1558" customWidth="1"/>
    <col min="10734" max="10734" width="2.42578125" style="1558" bestFit="1" customWidth="1"/>
    <col min="10735" max="10735" width="28.28515625" style="1558" bestFit="1" customWidth="1"/>
    <col min="10736" max="10736" width="14.28515625" style="1558" bestFit="1" customWidth="1"/>
    <col min="10737" max="10737" width="13.5703125" style="1558" bestFit="1" customWidth="1"/>
    <col min="10738" max="10738" width="10.7109375" style="1558" bestFit="1" customWidth="1"/>
    <col min="10739" max="10739" width="9.42578125" style="1558" bestFit="1" customWidth="1"/>
    <col min="10740" max="10740" width="9.85546875" style="1558" bestFit="1" customWidth="1"/>
    <col min="10741" max="10741" width="11.28515625" style="1558" bestFit="1" customWidth="1"/>
    <col min="10742" max="10742" width="9.140625" style="1558"/>
    <col min="10743" max="10744" width="3.7109375" style="1558" customWidth="1"/>
    <col min="10745" max="10745" width="18.85546875" style="1558" customWidth="1"/>
    <col min="10746" max="10746" width="19.7109375" style="1558" customWidth="1"/>
    <col min="10747" max="10747" width="13.5703125" style="1558" customWidth="1"/>
    <col min="10748" max="10750" width="11.7109375" style="1558" customWidth="1"/>
    <col min="10751" max="10751" width="12.7109375" style="1558" customWidth="1"/>
    <col min="10752" max="10761" width="11.7109375" style="1558" customWidth="1"/>
    <col min="10762" max="10989" width="8" style="1558" customWidth="1"/>
    <col min="10990" max="10990" width="2.42578125" style="1558" bestFit="1" customWidth="1"/>
    <col min="10991" max="10991" width="28.28515625" style="1558" bestFit="1" customWidth="1"/>
    <col min="10992" max="10992" width="14.28515625" style="1558" bestFit="1" customWidth="1"/>
    <col min="10993" max="10993" width="13.5703125" style="1558" bestFit="1" customWidth="1"/>
    <col min="10994" max="10994" width="10.7109375" style="1558" bestFit="1" customWidth="1"/>
    <col min="10995" max="10995" width="9.42578125" style="1558" bestFit="1" customWidth="1"/>
    <col min="10996" max="10996" width="9.85546875" style="1558" bestFit="1" customWidth="1"/>
    <col min="10997" max="10997" width="11.28515625" style="1558" bestFit="1" customWidth="1"/>
    <col min="10998" max="10998" width="9.140625" style="1558"/>
    <col min="10999" max="11000" width="3.7109375" style="1558" customWidth="1"/>
    <col min="11001" max="11001" width="18.85546875" style="1558" customWidth="1"/>
    <col min="11002" max="11002" width="19.7109375" style="1558" customWidth="1"/>
    <col min="11003" max="11003" width="13.5703125" style="1558" customWidth="1"/>
    <col min="11004" max="11006" width="11.7109375" style="1558" customWidth="1"/>
    <col min="11007" max="11007" width="12.7109375" style="1558" customWidth="1"/>
    <col min="11008" max="11017" width="11.7109375" style="1558" customWidth="1"/>
    <col min="11018" max="11245" width="8" style="1558" customWidth="1"/>
    <col min="11246" max="11246" width="2.42578125" style="1558" bestFit="1" customWidth="1"/>
    <col min="11247" max="11247" width="28.28515625" style="1558" bestFit="1" customWidth="1"/>
    <col min="11248" max="11248" width="14.28515625" style="1558" bestFit="1" customWidth="1"/>
    <col min="11249" max="11249" width="13.5703125" style="1558" bestFit="1" customWidth="1"/>
    <col min="11250" max="11250" width="10.7109375" style="1558" bestFit="1" customWidth="1"/>
    <col min="11251" max="11251" width="9.42578125" style="1558" bestFit="1" customWidth="1"/>
    <col min="11252" max="11252" width="9.85546875" style="1558" bestFit="1" customWidth="1"/>
    <col min="11253" max="11253" width="11.28515625" style="1558" bestFit="1" customWidth="1"/>
    <col min="11254" max="11254" width="9.140625" style="1558"/>
    <col min="11255" max="11256" width="3.7109375" style="1558" customWidth="1"/>
    <col min="11257" max="11257" width="18.85546875" style="1558" customWidth="1"/>
    <col min="11258" max="11258" width="19.7109375" style="1558" customWidth="1"/>
    <col min="11259" max="11259" width="13.5703125" style="1558" customWidth="1"/>
    <col min="11260" max="11262" width="11.7109375" style="1558" customWidth="1"/>
    <col min="11263" max="11263" width="12.7109375" style="1558" customWidth="1"/>
    <col min="11264" max="11273" width="11.7109375" style="1558" customWidth="1"/>
    <col min="11274" max="11501" width="8" style="1558" customWidth="1"/>
    <col min="11502" max="11502" width="2.42578125" style="1558" bestFit="1" customWidth="1"/>
    <col min="11503" max="11503" width="28.28515625" style="1558" bestFit="1" customWidth="1"/>
    <col min="11504" max="11504" width="14.28515625" style="1558" bestFit="1" customWidth="1"/>
    <col min="11505" max="11505" width="13.5703125" style="1558" bestFit="1" customWidth="1"/>
    <col min="11506" max="11506" width="10.7109375" style="1558" bestFit="1" customWidth="1"/>
    <col min="11507" max="11507" width="9.42578125" style="1558" bestFit="1" customWidth="1"/>
    <col min="11508" max="11508" width="9.85546875" style="1558" bestFit="1" customWidth="1"/>
    <col min="11509" max="11509" width="11.28515625" style="1558" bestFit="1" customWidth="1"/>
    <col min="11510" max="11510" width="9.140625" style="1558"/>
    <col min="11511" max="11512" width="3.7109375" style="1558" customWidth="1"/>
    <col min="11513" max="11513" width="18.85546875" style="1558" customWidth="1"/>
    <col min="11514" max="11514" width="19.7109375" style="1558" customWidth="1"/>
    <col min="11515" max="11515" width="13.5703125" style="1558" customWidth="1"/>
    <col min="11516" max="11518" width="11.7109375" style="1558" customWidth="1"/>
    <col min="11519" max="11519" width="12.7109375" style="1558" customWidth="1"/>
    <col min="11520" max="11529" width="11.7109375" style="1558" customWidth="1"/>
    <col min="11530" max="11757" width="8" style="1558" customWidth="1"/>
    <col min="11758" max="11758" width="2.42578125" style="1558" bestFit="1" customWidth="1"/>
    <col min="11759" max="11759" width="28.28515625" style="1558" bestFit="1" customWidth="1"/>
    <col min="11760" max="11760" width="14.28515625" style="1558" bestFit="1" customWidth="1"/>
    <col min="11761" max="11761" width="13.5703125" style="1558" bestFit="1" customWidth="1"/>
    <col min="11762" max="11762" width="10.7109375" style="1558" bestFit="1" customWidth="1"/>
    <col min="11763" max="11763" width="9.42578125" style="1558" bestFit="1" customWidth="1"/>
    <col min="11764" max="11764" width="9.85546875" style="1558" bestFit="1" customWidth="1"/>
    <col min="11765" max="11765" width="11.28515625" style="1558" bestFit="1" customWidth="1"/>
    <col min="11766" max="11766" width="9.140625" style="1558"/>
    <col min="11767" max="11768" width="3.7109375" style="1558" customWidth="1"/>
    <col min="11769" max="11769" width="18.85546875" style="1558" customWidth="1"/>
    <col min="11770" max="11770" width="19.7109375" style="1558" customWidth="1"/>
    <col min="11771" max="11771" width="13.5703125" style="1558" customWidth="1"/>
    <col min="11772" max="11774" width="11.7109375" style="1558" customWidth="1"/>
    <col min="11775" max="11775" width="12.7109375" style="1558" customWidth="1"/>
    <col min="11776" max="11785" width="11.7109375" style="1558" customWidth="1"/>
    <col min="11786" max="12013" width="8" style="1558" customWidth="1"/>
    <col min="12014" max="12014" width="2.42578125" style="1558" bestFit="1" customWidth="1"/>
    <col min="12015" max="12015" width="28.28515625" style="1558" bestFit="1" customWidth="1"/>
    <col min="12016" max="12016" width="14.28515625" style="1558" bestFit="1" customWidth="1"/>
    <col min="12017" max="12017" width="13.5703125" style="1558" bestFit="1" customWidth="1"/>
    <col min="12018" max="12018" width="10.7109375" style="1558" bestFit="1" customWidth="1"/>
    <col min="12019" max="12019" width="9.42578125" style="1558" bestFit="1" customWidth="1"/>
    <col min="12020" max="12020" width="9.85546875" style="1558" bestFit="1" customWidth="1"/>
    <col min="12021" max="12021" width="11.28515625" style="1558" bestFit="1" customWidth="1"/>
    <col min="12022" max="12022" width="9.140625" style="1558"/>
    <col min="12023" max="12024" width="3.7109375" style="1558" customWidth="1"/>
    <col min="12025" max="12025" width="18.85546875" style="1558" customWidth="1"/>
    <col min="12026" max="12026" width="19.7109375" style="1558" customWidth="1"/>
    <col min="12027" max="12027" width="13.5703125" style="1558" customWidth="1"/>
    <col min="12028" max="12030" width="11.7109375" style="1558" customWidth="1"/>
    <col min="12031" max="12031" width="12.7109375" style="1558" customWidth="1"/>
    <col min="12032" max="12041" width="11.7109375" style="1558" customWidth="1"/>
    <col min="12042" max="12269" width="8" style="1558" customWidth="1"/>
    <col min="12270" max="12270" width="2.42578125" style="1558" bestFit="1" customWidth="1"/>
    <col min="12271" max="12271" width="28.28515625" style="1558" bestFit="1" customWidth="1"/>
    <col min="12272" max="12272" width="14.28515625" style="1558" bestFit="1" customWidth="1"/>
    <col min="12273" max="12273" width="13.5703125" style="1558" bestFit="1" customWidth="1"/>
    <col min="12274" max="12274" width="10.7109375" style="1558" bestFit="1" customWidth="1"/>
    <col min="12275" max="12275" width="9.42578125" style="1558" bestFit="1" customWidth="1"/>
    <col min="12276" max="12276" width="9.85546875" style="1558" bestFit="1" customWidth="1"/>
    <col min="12277" max="12277" width="11.28515625" style="1558" bestFit="1" customWidth="1"/>
    <col min="12278" max="12278" width="9.140625" style="1558"/>
    <col min="12279" max="12280" width="3.7109375" style="1558" customWidth="1"/>
    <col min="12281" max="12281" width="18.85546875" style="1558" customWidth="1"/>
    <col min="12282" max="12282" width="19.7109375" style="1558" customWidth="1"/>
    <col min="12283" max="12283" width="13.5703125" style="1558" customWidth="1"/>
    <col min="12284" max="12286" width="11.7109375" style="1558" customWidth="1"/>
    <col min="12287" max="12287" width="12.7109375" style="1558" customWidth="1"/>
    <col min="12288" max="12297" width="11.7109375" style="1558" customWidth="1"/>
    <col min="12298" max="12525" width="8" style="1558" customWidth="1"/>
    <col min="12526" max="12526" width="2.42578125" style="1558" bestFit="1" customWidth="1"/>
    <col min="12527" max="12527" width="28.28515625" style="1558" bestFit="1" customWidth="1"/>
    <col min="12528" max="12528" width="14.28515625" style="1558" bestFit="1" customWidth="1"/>
    <col min="12529" max="12529" width="13.5703125" style="1558" bestFit="1" customWidth="1"/>
    <col min="12530" max="12530" width="10.7109375" style="1558" bestFit="1" customWidth="1"/>
    <col min="12531" max="12531" width="9.42578125" style="1558" bestFit="1" customWidth="1"/>
    <col min="12532" max="12532" width="9.85546875" style="1558" bestFit="1" customWidth="1"/>
    <col min="12533" max="12533" width="11.28515625" style="1558" bestFit="1" customWidth="1"/>
    <col min="12534" max="12534" width="9.140625" style="1558"/>
    <col min="12535" max="12536" width="3.7109375" style="1558" customWidth="1"/>
    <col min="12537" max="12537" width="18.85546875" style="1558" customWidth="1"/>
    <col min="12538" max="12538" width="19.7109375" style="1558" customWidth="1"/>
    <col min="12539" max="12539" width="13.5703125" style="1558" customWidth="1"/>
    <col min="12540" max="12542" width="11.7109375" style="1558" customWidth="1"/>
    <col min="12543" max="12543" width="12.7109375" style="1558" customWidth="1"/>
    <col min="12544" max="12553" width="11.7109375" style="1558" customWidth="1"/>
    <col min="12554" max="12781" width="8" style="1558" customWidth="1"/>
    <col min="12782" max="12782" width="2.42578125" style="1558" bestFit="1" customWidth="1"/>
    <col min="12783" max="12783" width="28.28515625" style="1558" bestFit="1" customWidth="1"/>
    <col min="12784" max="12784" width="14.28515625" style="1558" bestFit="1" customWidth="1"/>
    <col min="12785" max="12785" width="13.5703125" style="1558" bestFit="1" customWidth="1"/>
    <col min="12786" max="12786" width="10.7109375" style="1558" bestFit="1" customWidth="1"/>
    <col min="12787" max="12787" width="9.42578125" style="1558" bestFit="1" customWidth="1"/>
    <col min="12788" max="12788" width="9.85546875" style="1558" bestFit="1" customWidth="1"/>
    <col min="12789" max="12789" width="11.28515625" style="1558" bestFit="1" customWidth="1"/>
    <col min="12790" max="12790" width="9.140625" style="1558"/>
    <col min="12791" max="12792" width="3.7109375" style="1558" customWidth="1"/>
    <col min="12793" max="12793" width="18.85546875" style="1558" customWidth="1"/>
    <col min="12794" max="12794" width="19.7109375" style="1558" customWidth="1"/>
    <col min="12795" max="12795" width="13.5703125" style="1558" customWidth="1"/>
    <col min="12796" max="12798" width="11.7109375" style="1558" customWidth="1"/>
    <col min="12799" max="12799" width="12.7109375" style="1558" customWidth="1"/>
    <col min="12800" max="12809" width="11.7109375" style="1558" customWidth="1"/>
    <col min="12810" max="13037" width="8" style="1558" customWidth="1"/>
    <col min="13038" max="13038" width="2.42578125" style="1558" bestFit="1" customWidth="1"/>
    <col min="13039" max="13039" width="28.28515625" style="1558" bestFit="1" customWidth="1"/>
    <col min="13040" max="13040" width="14.28515625" style="1558" bestFit="1" customWidth="1"/>
    <col min="13041" max="13041" width="13.5703125" style="1558" bestFit="1" customWidth="1"/>
    <col min="13042" max="13042" width="10.7109375" style="1558" bestFit="1" customWidth="1"/>
    <col min="13043" max="13043" width="9.42578125" style="1558" bestFit="1" customWidth="1"/>
    <col min="13044" max="13044" width="9.85546875" style="1558" bestFit="1" customWidth="1"/>
    <col min="13045" max="13045" width="11.28515625" style="1558" bestFit="1" customWidth="1"/>
    <col min="13046" max="13046" width="9.140625" style="1558"/>
    <col min="13047" max="13048" width="3.7109375" style="1558" customWidth="1"/>
    <col min="13049" max="13049" width="18.85546875" style="1558" customWidth="1"/>
    <col min="13050" max="13050" width="19.7109375" style="1558" customWidth="1"/>
    <col min="13051" max="13051" width="13.5703125" style="1558" customWidth="1"/>
    <col min="13052" max="13054" width="11.7109375" style="1558" customWidth="1"/>
    <col min="13055" max="13055" width="12.7109375" style="1558" customWidth="1"/>
    <col min="13056" max="13065" width="11.7109375" style="1558" customWidth="1"/>
    <col min="13066" max="13293" width="8" style="1558" customWidth="1"/>
    <col min="13294" max="13294" width="2.42578125" style="1558" bestFit="1" customWidth="1"/>
    <col min="13295" max="13295" width="28.28515625" style="1558" bestFit="1" customWidth="1"/>
    <col min="13296" max="13296" width="14.28515625" style="1558" bestFit="1" customWidth="1"/>
    <col min="13297" max="13297" width="13.5703125" style="1558" bestFit="1" customWidth="1"/>
    <col min="13298" max="13298" width="10.7109375" style="1558" bestFit="1" customWidth="1"/>
    <col min="13299" max="13299" width="9.42578125" style="1558" bestFit="1" customWidth="1"/>
    <col min="13300" max="13300" width="9.85546875" style="1558" bestFit="1" customWidth="1"/>
    <col min="13301" max="13301" width="11.28515625" style="1558" bestFit="1" customWidth="1"/>
    <col min="13302" max="13302" width="9.140625" style="1558"/>
    <col min="13303" max="13304" width="3.7109375" style="1558" customWidth="1"/>
    <col min="13305" max="13305" width="18.85546875" style="1558" customWidth="1"/>
    <col min="13306" max="13306" width="19.7109375" style="1558" customWidth="1"/>
    <col min="13307" max="13307" width="13.5703125" style="1558" customWidth="1"/>
    <col min="13308" max="13310" width="11.7109375" style="1558" customWidth="1"/>
    <col min="13311" max="13311" width="12.7109375" style="1558" customWidth="1"/>
    <col min="13312" max="13321" width="11.7109375" style="1558" customWidth="1"/>
    <col min="13322" max="13549" width="8" style="1558" customWidth="1"/>
    <col min="13550" max="13550" width="2.42578125" style="1558" bestFit="1" customWidth="1"/>
    <col min="13551" max="13551" width="28.28515625" style="1558" bestFit="1" customWidth="1"/>
    <col min="13552" max="13552" width="14.28515625" style="1558" bestFit="1" customWidth="1"/>
    <col min="13553" max="13553" width="13.5703125" style="1558" bestFit="1" customWidth="1"/>
    <col min="13554" max="13554" width="10.7109375" style="1558" bestFit="1" customWidth="1"/>
    <col min="13555" max="13555" width="9.42578125" style="1558" bestFit="1" customWidth="1"/>
    <col min="13556" max="13556" width="9.85546875" style="1558" bestFit="1" customWidth="1"/>
    <col min="13557" max="13557" width="11.28515625" style="1558" bestFit="1" customWidth="1"/>
    <col min="13558" max="13558" width="9.140625" style="1558"/>
    <col min="13559" max="13560" width="3.7109375" style="1558" customWidth="1"/>
    <col min="13561" max="13561" width="18.85546875" style="1558" customWidth="1"/>
    <col min="13562" max="13562" width="19.7109375" style="1558" customWidth="1"/>
    <col min="13563" max="13563" width="13.5703125" style="1558" customWidth="1"/>
    <col min="13564" max="13566" width="11.7109375" style="1558" customWidth="1"/>
    <col min="13567" max="13567" width="12.7109375" style="1558" customWidth="1"/>
    <col min="13568" max="13577" width="11.7109375" style="1558" customWidth="1"/>
    <col min="13578" max="13805" width="8" style="1558" customWidth="1"/>
    <col min="13806" max="13806" width="2.42578125" style="1558" bestFit="1" customWidth="1"/>
    <col min="13807" max="13807" width="28.28515625" style="1558" bestFit="1" customWidth="1"/>
    <col min="13808" max="13808" width="14.28515625" style="1558" bestFit="1" customWidth="1"/>
    <col min="13809" max="13809" width="13.5703125" style="1558" bestFit="1" customWidth="1"/>
    <col min="13810" max="13810" width="10.7109375" style="1558" bestFit="1" customWidth="1"/>
    <col min="13811" max="13811" width="9.42578125" style="1558" bestFit="1" customWidth="1"/>
    <col min="13812" max="13812" width="9.85546875" style="1558" bestFit="1" customWidth="1"/>
    <col min="13813" max="13813" width="11.28515625" style="1558" bestFit="1" customWidth="1"/>
    <col min="13814" max="13814" width="9.140625" style="1558"/>
    <col min="13815" max="13816" width="3.7109375" style="1558" customWidth="1"/>
    <col min="13817" max="13817" width="18.85546875" style="1558" customWidth="1"/>
    <col min="13818" max="13818" width="19.7109375" style="1558" customWidth="1"/>
    <col min="13819" max="13819" width="13.5703125" style="1558" customWidth="1"/>
    <col min="13820" max="13822" width="11.7109375" style="1558" customWidth="1"/>
    <col min="13823" max="13823" width="12.7109375" style="1558" customWidth="1"/>
    <col min="13824" max="13833" width="11.7109375" style="1558" customWidth="1"/>
    <col min="13834" max="14061" width="8" style="1558" customWidth="1"/>
    <col min="14062" max="14062" width="2.42578125" style="1558" bestFit="1" customWidth="1"/>
    <col min="14063" max="14063" width="28.28515625" style="1558" bestFit="1" customWidth="1"/>
    <col min="14064" max="14064" width="14.28515625" style="1558" bestFit="1" customWidth="1"/>
    <col min="14065" max="14065" width="13.5703125" style="1558" bestFit="1" customWidth="1"/>
    <col min="14066" max="14066" width="10.7109375" style="1558" bestFit="1" customWidth="1"/>
    <col min="14067" max="14067" width="9.42578125" style="1558" bestFit="1" customWidth="1"/>
    <col min="14068" max="14068" width="9.85546875" style="1558" bestFit="1" customWidth="1"/>
    <col min="14069" max="14069" width="11.28515625" style="1558" bestFit="1" customWidth="1"/>
    <col min="14070" max="14070" width="9.140625" style="1558"/>
    <col min="14071" max="14072" width="3.7109375" style="1558" customWidth="1"/>
    <col min="14073" max="14073" width="18.85546875" style="1558" customWidth="1"/>
    <col min="14074" max="14074" width="19.7109375" style="1558" customWidth="1"/>
    <col min="14075" max="14075" width="13.5703125" style="1558" customWidth="1"/>
    <col min="14076" max="14078" width="11.7109375" style="1558" customWidth="1"/>
    <col min="14079" max="14079" width="12.7109375" style="1558" customWidth="1"/>
    <col min="14080" max="14089" width="11.7109375" style="1558" customWidth="1"/>
    <col min="14090" max="14317" width="8" style="1558" customWidth="1"/>
    <col min="14318" max="14318" width="2.42578125" style="1558" bestFit="1" customWidth="1"/>
    <col min="14319" max="14319" width="28.28515625" style="1558" bestFit="1" customWidth="1"/>
    <col min="14320" max="14320" width="14.28515625" style="1558" bestFit="1" customWidth="1"/>
    <col min="14321" max="14321" width="13.5703125" style="1558" bestFit="1" customWidth="1"/>
    <col min="14322" max="14322" width="10.7109375" style="1558" bestFit="1" customWidth="1"/>
    <col min="14323" max="14323" width="9.42578125" style="1558" bestFit="1" customWidth="1"/>
    <col min="14324" max="14324" width="9.85546875" style="1558" bestFit="1" customWidth="1"/>
    <col min="14325" max="14325" width="11.28515625" style="1558" bestFit="1" customWidth="1"/>
    <col min="14326" max="14326" width="9.140625" style="1558"/>
    <col min="14327" max="14328" width="3.7109375" style="1558" customWidth="1"/>
    <col min="14329" max="14329" width="18.85546875" style="1558" customWidth="1"/>
    <col min="14330" max="14330" width="19.7109375" style="1558" customWidth="1"/>
    <col min="14331" max="14331" width="13.5703125" style="1558" customWidth="1"/>
    <col min="14332" max="14334" width="11.7109375" style="1558" customWidth="1"/>
    <col min="14335" max="14335" width="12.7109375" style="1558" customWidth="1"/>
    <col min="14336" max="14345" width="11.7109375" style="1558" customWidth="1"/>
    <col min="14346" max="14573" width="8" style="1558" customWidth="1"/>
    <col min="14574" max="14574" width="2.42578125" style="1558" bestFit="1" customWidth="1"/>
    <col min="14575" max="14575" width="28.28515625" style="1558" bestFit="1" customWidth="1"/>
    <col min="14576" max="14576" width="14.28515625" style="1558" bestFit="1" customWidth="1"/>
    <col min="14577" max="14577" width="13.5703125" style="1558" bestFit="1" customWidth="1"/>
    <col min="14578" max="14578" width="10.7109375" style="1558" bestFit="1" customWidth="1"/>
    <col min="14579" max="14579" width="9.42578125" style="1558" bestFit="1" customWidth="1"/>
    <col min="14580" max="14580" width="9.85546875" style="1558" bestFit="1" customWidth="1"/>
    <col min="14581" max="14581" width="11.28515625" style="1558" bestFit="1" customWidth="1"/>
    <col min="14582" max="14582" width="9.140625" style="1558"/>
    <col min="14583" max="14584" width="3.7109375" style="1558" customWidth="1"/>
    <col min="14585" max="14585" width="18.85546875" style="1558" customWidth="1"/>
    <col min="14586" max="14586" width="19.7109375" style="1558" customWidth="1"/>
    <col min="14587" max="14587" width="13.5703125" style="1558" customWidth="1"/>
    <col min="14588" max="14590" width="11.7109375" style="1558" customWidth="1"/>
    <col min="14591" max="14591" width="12.7109375" style="1558" customWidth="1"/>
    <col min="14592" max="14601" width="11.7109375" style="1558" customWidth="1"/>
    <col min="14602" max="14829" width="8" style="1558" customWidth="1"/>
    <col min="14830" max="14830" width="2.42578125" style="1558" bestFit="1" customWidth="1"/>
    <col min="14831" max="14831" width="28.28515625" style="1558" bestFit="1" customWidth="1"/>
    <col min="14832" max="14832" width="14.28515625" style="1558" bestFit="1" customWidth="1"/>
    <col min="14833" max="14833" width="13.5703125" style="1558" bestFit="1" customWidth="1"/>
    <col min="14834" max="14834" width="10.7109375" style="1558" bestFit="1" customWidth="1"/>
    <col min="14835" max="14835" width="9.42578125" style="1558" bestFit="1" customWidth="1"/>
    <col min="14836" max="14836" width="9.85546875" style="1558" bestFit="1" customWidth="1"/>
    <col min="14837" max="14837" width="11.28515625" style="1558" bestFit="1" customWidth="1"/>
    <col min="14838" max="14838" width="9.140625" style="1558"/>
    <col min="14839" max="14840" width="3.7109375" style="1558" customWidth="1"/>
    <col min="14841" max="14841" width="18.85546875" style="1558" customWidth="1"/>
    <col min="14842" max="14842" width="19.7109375" style="1558" customWidth="1"/>
    <col min="14843" max="14843" width="13.5703125" style="1558" customWidth="1"/>
    <col min="14844" max="14846" width="11.7109375" style="1558" customWidth="1"/>
    <col min="14847" max="14847" width="12.7109375" style="1558" customWidth="1"/>
    <col min="14848" max="14857" width="11.7109375" style="1558" customWidth="1"/>
    <col min="14858" max="15085" width="8" style="1558" customWidth="1"/>
    <col min="15086" max="15086" width="2.42578125" style="1558" bestFit="1" customWidth="1"/>
    <col min="15087" max="15087" width="28.28515625" style="1558" bestFit="1" customWidth="1"/>
    <col min="15088" max="15088" width="14.28515625" style="1558" bestFit="1" customWidth="1"/>
    <col min="15089" max="15089" width="13.5703125" style="1558" bestFit="1" customWidth="1"/>
    <col min="15090" max="15090" width="10.7109375" style="1558" bestFit="1" customWidth="1"/>
    <col min="15091" max="15091" width="9.42578125" style="1558" bestFit="1" customWidth="1"/>
    <col min="15092" max="15092" width="9.85546875" style="1558" bestFit="1" customWidth="1"/>
    <col min="15093" max="15093" width="11.28515625" style="1558" bestFit="1" customWidth="1"/>
    <col min="15094" max="15094" width="9.140625" style="1558"/>
    <col min="15095" max="15096" width="3.7109375" style="1558" customWidth="1"/>
    <col min="15097" max="15097" width="18.85546875" style="1558" customWidth="1"/>
    <col min="15098" max="15098" width="19.7109375" style="1558" customWidth="1"/>
    <col min="15099" max="15099" width="13.5703125" style="1558" customWidth="1"/>
    <col min="15100" max="15102" width="11.7109375" style="1558" customWidth="1"/>
    <col min="15103" max="15103" width="12.7109375" style="1558" customWidth="1"/>
    <col min="15104" max="15113" width="11.7109375" style="1558" customWidth="1"/>
    <col min="15114" max="15341" width="8" style="1558" customWidth="1"/>
    <col min="15342" max="15342" width="2.42578125" style="1558" bestFit="1" customWidth="1"/>
    <col min="15343" max="15343" width="28.28515625" style="1558" bestFit="1" customWidth="1"/>
    <col min="15344" max="15344" width="14.28515625" style="1558" bestFit="1" customWidth="1"/>
    <col min="15345" max="15345" width="13.5703125" style="1558" bestFit="1" customWidth="1"/>
    <col min="15346" max="15346" width="10.7109375" style="1558" bestFit="1" customWidth="1"/>
    <col min="15347" max="15347" width="9.42578125" style="1558" bestFit="1" customWidth="1"/>
    <col min="15348" max="15348" width="9.85546875" style="1558" bestFit="1" customWidth="1"/>
    <col min="15349" max="15349" width="11.28515625" style="1558" bestFit="1" customWidth="1"/>
    <col min="15350" max="15350" width="9.140625" style="1558"/>
    <col min="15351" max="15352" width="3.7109375" style="1558" customWidth="1"/>
    <col min="15353" max="15353" width="18.85546875" style="1558" customWidth="1"/>
    <col min="15354" max="15354" width="19.7109375" style="1558" customWidth="1"/>
    <col min="15355" max="15355" width="13.5703125" style="1558" customWidth="1"/>
    <col min="15356" max="15358" width="11.7109375" style="1558" customWidth="1"/>
    <col min="15359" max="15359" width="12.7109375" style="1558" customWidth="1"/>
    <col min="15360" max="15369" width="11.7109375" style="1558" customWidth="1"/>
    <col min="15370" max="15597" width="8" style="1558" customWidth="1"/>
    <col min="15598" max="15598" width="2.42578125" style="1558" bestFit="1" customWidth="1"/>
    <col min="15599" max="15599" width="28.28515625" style="1558" bestFit="1" customWidth="1"/>
    <col min="15600" max="15600" width="14.28515625" style="1558" bestFit="1" customWidth="1"/>
    <col min="15601" max="15601" width="13.5703125" style="1558" bestFit="1" customWidth="1"/>
    <col min="15602" max="15602" width="10.7109375" style="1558" bestFit="1" customWidth="1"/>
    <col min="15603" max="15603" width="9.42578125" style="1558" bestFit="1" customWidth="1"/>
    <col min="15604" max="15604" width="9.85546875" style="1558" bestFit="1" customWidth="1"/>
    <col min="15605" max="15605" width="11.28515625" style="1558" bestFit="1" customWidth="1"/>
    <col min="15606" max="15606" width="9.140625" style="1558"/>
    <col min="15607" max="15608" width="3.7109375" style="1558" customWidth="1"/>
    <col min="15609" max="15609" width="18.85546875" style="1558" customWidth="1"/>
    <col min="15610" max="15610" width="19.7109375" style="1558" customWidth="1"/>
    <col min="15611" max="15611" width="13.5703125" style="1558" customWidth="1"/>
    <col min="15612" max="15614" width="11.7109375" style="1558" customWidth="1"/>
    <col min="15615" max="15615" width="12.7109375" style="1558" customWidth="1"/>
    <col min="15616" max="15625" width="11.7109375" style="1558" customWidth="1"/>
    <col min="15626" max="15853" width="8" style="1558" customWidth="1"/>
    <col min="15854" max="15854" width="2.42578125" style="1558" bestFit="1" customWidth="1"/>
    <col min="15855" max="15855" width="28.28515625" style="1558" bestFit="1" customWidth="1"/>
    <col min="15856" max="15856" width="14.28515625" style="1558" bestFit="1" customWidth="1"/>
    <col min="15857" max="15857" width="13.5703125" style="1558" bestFit="1" customWidth="1"/>
    <col min="15858" max="15858" width="10.7109375" style="1558" bestFit="1" customWidth="1"/>
    <col min="15859" max="15859" width="9.42578125" style="1558" bestFit="1" customWidth="1"/>
    <col min="15860" max="15860" width="9.85546875" style="1558" bestFit="1" customWidth="1"/>
    <col min="15861" max="15861" width="11.28515625" style="1558" bestFit="1" customWidth="1"/>
    <col min="15862" max="15862" width="9.140625" style="1558"/>
    <col min="15863" max="15864" width="3.7109375" style="1558" customWidth="1"/>
    <col min="15865" max="15865" width="18.85546875" style="1558" customWidth="1"/>
    <col min="15866" max="15866" width="19.7109375" style="1558" customWidth="1"/>
    <col min="15867" max="15867" width="13.5703125" style="1558" customWidth="1"/>
    <col min="15868" max="15870" width="11.7109375" style="1558" customWidth="1"/>
    <col min="15871" max="15871" width="12.7109375" style="1558" customWidth="1"/>
    <col min="15872" max="15881" width="11.7109375" style="1558" customWidth="1"/>
    <col min="15882" max="16109" width="8" style="1558" customWidth="1"/>
    <col min="16110" max="16110" width="2.42578125" style="1558" bestFit="1" customWidth="1"/>
    <col min="16111" max="16111" width="28.28515625" style="1558" bestFit="1" customWidth="1"/>
    <col min="16112" max="16112" width="14.28515625" style="1558" bestFit="1" customWidth="1"/>
    <col min="16113" max="16113" width="13.5703125" style="1558" bestFit="1" customWidth="1"/>
    <col min="16114" max="16114" width="10.7109375" style="1558" bestFit="1" customWidth="1"/>
    <col min="16115" max="16115" width="9.42578125" style="1558" bestFit="1" customWidth="1"/>
    <col min="16116" max="16116" width="9.85546875" style="1558" bestFit="1" customWidth="1"/>
    <col min="16117" max="16117" width="11.28515625" style="1558" bestFit="1" customWidth="1"/>
    <col min="16118" max="16118" width="9.140625" style="1558"/>
    <col min="16119" max="16120" width="3.7109375" style="1558" customWidth="1"/>
    <col min="16121" max="16121" width="18.85546875" style="1558" customWidth="1"/>
    <col min="16122" max="16122" width="19.7109375" style="1558" customWidth="1"/>
    <col min="16123" max="16123" width="13.5703125" style="1558" customWidth="1"/>
    <col min="16124" max="16126" width="11.7109375" style="1558" customWidth="1"/>
    <col min="16127" max="16127" width="12.7109375" style="1558" customWidth="1"/>
    <col min="16128" max="16137" width="11.7109375" style="1558" customWidth="1"/>
    <col min="16138" max="16365" width="8" style="1558" customWidth="1"/>
    <col min="16366" max="16366" width="2.42578125" style="1558" bestFit="1" customWidth="1"/>
    <col min="16367" max="16367" width="28.28515625" style="1558" bestFit="1" customWidth="1"/>
    <col min="16368" max="16368" width="14.28515625" style="1558" bestFit="1" customWidth="1"/>
    <col min="16369" max="16369" width="13.5703125" style="1558" bestFit="1" customWidth="1"/>
    <col min="16370" max="16370" width="10.7109375" style="1558" bestFit="1" customWidth="1"/>
    <col min="16371" max="16371" width="9.42578125" style="1558" bestFit="1" customWidth="1"/>
    <col min="16372" max="16372" width="9.85546875" style="1558" bestFit="1" customWidth="1"/>
    <col min="16373" max="16384" width="9.85546875" style="1558" customWidth="1"/>
  </cols>
  <sheetData>
    <row r="1" spans="1:16" ht="22.5" x14ac:dyDescent="0.4">
      <c r="B1" s="1810" t="s">
        <v>928</v>
      </c>
      <c r="C1" s="1810"/>
      <c r="D1" s="1810"/>
      <c r="E1" s="1810"/>
      <c r="F1" s="1810"/>
      <c r="G1" s="1811"/>
      <c r="H1" s="1811"/>
      <c r="I1" s="1811"/>
      <c r="J1" s="1811"/>
      <c r="K1" s="1811"/>
      <c r="L1" s="1811"/>
    </row>
    <row r="2" spans="1:16" s="1559" customFormat="1" ht="17.25" x14ac:dyDescent="0.2">
      <c r="A2" s="1557"/>
      <c r="B2" s="1812" t="s">
        <v>107</v>
      </c>
      <c r="C2" s="1812"/>
      <c r="D2" s="1812"/>
      <c r="E2" s="1812"/>
      <c r="F2" s="1812"/>
      <c r="G2" s="1812"/>
      <c r="H2" s="1812"/>
      <c r="I2" s="1812"/>
      <c r="J2" s="1812"/>
      <c r="K2" s="1812"/>
      <c r="L2" s="1812"/>
      <c r="M2" s="1812"/>
      <c r="N2" s="1812"/>
    </row>
    <row r="3" spans="1:16" s="1559" customFormat="1" ht="17.25" x14ac:dyDescent="0.2">
      <c r="A3" s="1557"/>
      <c r="B3" s="1812" t="s">
        <v>14</v>
      </c>
      <c r="C3" s="1812"/>
      <c r="D3" s="1812"/>
      <c r="E3" s="1812"/>
      <c r="F3" s="1812"/>
      <c r="G3" s="1812"/>
      <c r="H3" s="1812"/>
      <c r="I3" s="1812"/>
      <c r="J3" s="1812"/>
      <c r="K3" s="1812"/>
      <c r="L3" s="1812"/>
      <c r="M3" s="1812"/>
      <c r="N3" s="1812"/>
    </row>
    <row r="4" spans="1:16" s="1559" customFormat="1" ht="17.25" x14ac:dyDescent="0.2">
      <c r="A4" s="1557"/>
      <c r="B4" s="1812" t="s">
        <v>890</v>
      </c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</row>
    <row r="5" spans="1:16" ht="17.25" x14ac:dyDescent="0.35">
      <c r="B5" s="1560"/>
      <c r="C5" s="1560"/>
      <c r="D5" s="1560"/>
      <c r="E5" s="1560"/>
      <c r="F5" s="1560"/>
      <c r="G5" s="1560"/>
      <c r="H5" s="1560"/>
      <c r="I5" s="1560"/>
      <c r="J5" s="1560"/>
      <c r="K5" s="1560"/>
      <c r="L5" s="1560"/>
      <c r="N5" s="1561" t="s">
        <v>0</v>
      </c>
    </row>
    <row r="6" spans="1:16" s="1565" customFormat="1" ht="15.75" thickBot="1" x14ac:dyDescent="0.35">
      <c r="A6" s="1562"/>
      <c r="B6" s="1813" t="s">
        <v>1</v>
      </c>
      <c r="C6" s="1813"/>
      <c r="D6" s="1563" t="s">
        <v>3</v>
      </c>
      <c r="E6" s="1563" t="s">
        <v>2</v>
      </c>
      <c r="F6" s="1563" t="s">
        <v>4</v>
      </c>
      <c r="G6" s="1563" t="s">
        <v>5</v>
      </c>
      <c r="H6" s="1563" t="s">
        <v>15</v>
      </c>
      <c r="I6" s="1563" t="s">
        <v>16</v>
      </c>
      <c r="J6" s="1563" t="s">
        <v>17</v>
      </c>
      <c r="K6" s="1563" t="s">
        <v>34</v>
      </c>
      <c r="L6" s="1563" t="s">
        <v>30</v>
      </c>
      <c r="M6" s="1564" t="s">
        <v>449</v>
      </c>
      <c r="N6" s="1564" t="s">
        <v>652</v>
      </c>
    </row>
    <row r="7" spans="1:16" s="1568" customFormat="1" ht="60.75" thickBot="1" x14ac:dyDescent="0.25">
      <c r="A7" s="1562"/>
      <c r="B7" s="1824" t="s">
        <v>891</v>
      </c>
      <c r="C7" s="1825"/>
      <c r="D7" s="1566" t="s">
        <v>892</v>
      </c>
      <c r="E7" s="1566" t="s">
        <v>893</v>
      </c>
      <c r="F7" s="1566" t="s">
        <v>894</v>
      </c>
      <c r="G7" s="1566" t="s">
        <v>895</v>
      </c>
      <c r="H7" s="1566" t="s">
        <v>896</v>
      </c>
      <c r="I7" s="1566" t="s">
        <v>897</v>
      </c>
      <c r="J7" s="1566" t="s">
        <v>898</v>
      </c>
      <c r="K7" s="1566" t="s">
        <v>899</v>
      </c>
      <c r="L7" s="1566" t="s">
        <v>900</v>
      </c>
      <c r="M7" s="1566" t="s">
        <v>901</v>
      </c>
      <c r="N7" s="1567" t="s">
        <v>902</v>
      </c>
    </row>
    <row r="8" spans="1:16" s="1565" customFormat="1" ht="15" customHeight="1" thickTop="1" x14ac:dyDescent="0.3">
      <c r="A8" s="1826">
        <v>1</v>
      </c>
      <c r="B8" s="1827" t="s">
        <v>903</v>
      </c>
      <c r="C8" s="1829" t="s">
        <v>904</v>
      </c>
      <c r="D8" s="1829" t="s">
        <v>905</v>
      </c>
      <c r="E8" s="1823">
        <v>40736</v>
      </c>
      <c r="F8" s="1823">
        <v>48040</v>
      </c>
      <c r="G8" s="1814">
        <v>484000</v>
      </c>
      <c r="H8" s="1814">
        <v>14945</v>
      </c>
      <c r="I8" s="1814">
        <v>0</v>
      </c>
      <c r="J8" s="1814">
        <f>12340/2</f>
        <v>6170</v>
      </c>
      <c r="K8" s="1814">
        <f t="shared" ref="K8" si="0">H8-J8+I8</f>
        <v>8775</v>
      </c>
      <c r="L8" s="1814"/>
      <c r="M8" s="1814">
        <v>6170</v>
      </c>
      <c r="N8" s="1816">
        <f>K8+L8-M8</f>
        <v>2605</v>
      </c>
    </row>
    <row r="9" spans="1:16" s="1565" customFormat="1" ht="14.25" customHeight="1" x14ac:dyDescent="0.3">
      <c r="A9" s="1826"/>
      <c r="B9" s="1828"/>
      <c r="C9" s="1819"/>
      <c r="D9" s="1819"/>
      <c r="E9" s="1821"/>
      <c r="F9" s="1821"/>
      <c r="G9" s="1815"/>
      <c r="H9" s="1815"/>
      <c r="I9" s="1815"/>
      <c r="J9" s="1815"/>
      <c r="K9" s="1815"/>
      <c r="L9" s="1815"/>
      <c r="M9" s="1815"/>
      <c r="N9" s="1817"/>
    </row>
    <row r="10" spans="1:16" s="1565" customFormat="1" ht="14.25" customHeight="1" x14ac:dyDescent="0.3">
      <c r="A10" s="1826">
        <v>2</v>
      </c>
      <c r="B10" s="1831" t="s">
        <v>906</v>
      </c>
      <c r="C10" s="1818" t="s">
        <v>907</v>
      </c>
      <c r="D10" s="1818" t="s">
        <v>908</v>
      </c>
      <c r="E10" s="1820">
        <v>41555</v>
      </c>
      <c r="F10" s="1820">
        <v>48859</v>
      </c>
      <c r="G10" s="1822">
        <v>200000</v>
      </c>
      <c r="H10" s="1822">
        <v>94575</v>
      </c>
      <c r="I10" s="1822">
        <v>0</v>
      </c>
      <c r="J10" s="1822">
        <f>2229.5*2</f>
        <v>4459</v>
      </c>
      <c r="K10" s="1822">
        <f>H10-J10+I10</f>
        <v>90116</v>
      </c>
      <c r="L10" s="1822"/>
      <c r="M10" s="1822">
        <v>4087</v>
      </c>
      <c r="N10" s="1830">
        <f>K10+L10-M10</f>
        <v>86029</v>
      </c>
      <c r="P10" s="1569"/>
    </row>
    <row r="11" spans="1:16" s="1565" customFormat="1" ht="14.25" customHeight="1" x14ac:dyDescent="0.3">
      <c r="A11" s="1826"/>
      <c r="B11" s="1828"/>
      <c r="C11" s="1819"/>
      <c r="D11" s="1819"/>
      <c r="E11" s="1821"/>
      <c r="F11" s="1821"/>
      <c r="G11" s="1815"/>
      <c r="H11" s="1815"/>
      <c r="I11" s="1815"/>
      <c r="J11" s="1815"/>
      <c r="K11" s="1815"/>
      <c r="L11" s="1815"/>
      <c r="M11" s="1815"/>
      <c r="N11" s="1817"/>
    </row>
    <row r="12" spans="1:16" s="1565" customFormat="1" ht="14.25" x14ac:dyDescent="0.3">
      <c r="A12" s="1826">
        <v>3</v>
      </c>
      <c r="B12" s="1831" t="s">
        <v>909</v>
      </c>
      <c r="C12" s="1818" t="s">
        <v>910</v>
      </c>
      <c r="D12" s="1818" t="s">
        <v>905</v>
      </c>
      <c r="E12" s="1820">
        <v>41759</v>
      </c>
      <c r="F12" s="1820">
        <v>49064</v>
      </c>
      <c r="G12" s="1822">
        <v>200000</v>
      </c>
      <c r="H12" s="1822">
        <v>111068</v>
      </c>
      <c r="I12" s="1822">
        <v>0</v>
      </c>
      <c r="J12" s="1822">
        <v>4443</v>
      </c>
      <c r="K12" s="1822">
        <f>H12-J12+I12</f>
        <v>106625</v>
      </c>
      <c r="L12" s="1822"/>
      <c r="M12" s="1822">
        <v>4443</v>
      </c>
      <c r="N12" s="1830">
        <f>K12+L12-M12</f>
        <v>102182</v>
      </c>
      <c r="P12" s="1569"/>
    </row>
    <row r="13" spans="1:16" s="1565" customFormat="1" ht="14.25" x14ac:dyDescent="0.3">
      <c r="A13" s="1826"/>
      <c r="B13" s="1828"/>
      <c r="C13" s="1819"/>
      <c r="D13" s="1819"/>
      <c r="E13" s="1821"/>
      <c r="F13" s="1821"/>
      <c r="G13" s="1815"/>
      <c r="H13" s="1815"/>
      <c r="I13" s="1815"/>
      <c r="J13" s="1815"/>
      <c r="K13" s="1815"/>
      <c r="L13" s="1815"/>
      <c r="M13" s="1815"/>
      <c r="N13" s="1817"/>
    </row>
    <row r="14" spans="1:16" s="1565" customFormat="1" ht="15" customHeight="1" x14ac:dyDescent="0.3">
      <c r="A14" s="1826">
        <v>4</v>
      </c>
      <c r="B14" s="1831" t="s">
        <v>911</v>
      </c>
      <c r="C14" s="1818" t="s">
        <v>912</v>
      </c>
      <c r="D14" s="1818" t="s">
        <v>913</v>
      </c>
      <c r="E14" s="1820">
        <v>41759</v>
      </c>
      <c r="F14" s="1820">
        <v>45285</v>
      </c>
      <c r="G14" s="1822">
        <v>151317</v>
      </c>
      <c r="H14" s="1822">
        <v>38163</v>
      </c>
      <c r="I14" s="1822">
        <v>0</v>
      </c>
      <c r="J14" s="1822">
        <v>9839</v>
      </c>
      <c r="K14" s="1822">
        <f>H14-J14+I14</f>
        <v>28324</v>
      </c>
      <c r="L14" s="1822"/>
      <c r="M14" s="1822">
        <v>9839</v>
      </c>
      <c r="N14" s="1830">
        <f>K14+L14-M14</f>
        <v>18485</v>
      </c>
    </row>
    <row r="15" spans="1:16" s="1565" customFormat="1" ht="14.25" x14ac:dyDescent="0.3">
      <c r="A15" s="1826"/>
      <c r="B15" s="1828"/>
      <c r="C15" s="1819"/>
      <c r="D15" s="1819"/>
      <c r="E15" s="1821"/>
      <c r="F15" s="1821"/>
      <c r="G15" s="1815"/>
      <c r="H15" s="1815"/>
      <c r="I15" s="1815"/>
      <c r="J15" s="1815"/>
      <c r="K15" s="1815"/>
      <c r="L15" s="1815"/>
      <c r="M15" s="1815"/>
      <c r="N15" s="1817"/>
    </row>
    <row r="16" spans="1:16" s="1565" customFormat="1" ht="15" customHeight="1" x14ac:dyDescent="0.3">
      <c r="A16" s="1826">
        <v>5</v>
      </c>
      <c r="B16" s="1831" t="s">
        <v>914</v>
      </c>
      <c r="C16" s="1818" t="s">
        <v>915</v>
      </c>
      <c r="D16" s="1818" t="s">
        <v>913</v>
      </c>
      <c r="E16" s="1820">
        <v>42943</v>
      </c>
      <c r="F16" s="1820">
        <v>46568</v>
      </c>
      <c r="G16" s="1822">
        <v>99000</v>
      </c>
      <c r="H16" s="1822">
        <v>69000</v>
      </c>
      <c r="I16" s="1822">
        <v>0</v>
      </c>
      <c r="J16" s="1822">
        <v>6000</v>
      </c>
      <c r="K16" s="1822">
        <f>H16-J16+I16</f>
        <v>63000</v>
      </c>
      <c r="L16" s="1822"/>
      <c r="M16" s="1822">
        <v>6000</v>
      </c>
      <c r="N16" s="1830">
        <f>K16+L16-M16</f>
        <v>57000</v>
      </c>
    </row>
    <row r="17" spans="1:16" s="1565" customFormat="1" ht="14.25" x14ac:dyDescent="0.3">
      <c r="A17" s="1826"/>
      <c r="B17" s="1828"/>
      <c r="C17" s="1819"/>
      <c r="D17" s="1819"/>
      <c r="E17" s="1821"/>
      <c r="F17" s="1821"/>
      <c r="G17" s="1815"/>
      <c r="H17" s="1815"/>
      <c r="I17" s="1815"/>
      <c r="J17" s="1815"/>
      <c r="K17" s="1815"/>
      <c r="L17" s="1815"/>
      <c r="M17" s="1815"/>
      <c r="N17" s="1817"/>
    </row>
    <row r="18" spans="1:16" s="1565" customFormat="1" ht="14.25" x14ac:dyDescent="0.3">
      <c r="A18" s="1826">
        <v>6</v>
      </c>
      <c r="B18" s="1831" t="s">
        <v>916</v>
      </c>
      <c r="C18" s="1818" t="s">
        <v>917</v>
      </c>
      <c r="D18" s="1818" t="s">
        <v>913</v>
      </c>
      <c r="E18" s="1832">
        <v>43641</v>
      </c>
      <c r="F18" s="1832">
        <v>47299</v>
      </c>
      <c r="G18" s="1822">
        <v>1260000</v>
      </c>
      <c r="H18" s="1822">
        <v>964084</v>
      </c>
      <c r="I18" s="1822">
        <v>0</v>
      </c>
      <c r="J18" s="1822">
        <f>76364+3584</f>
        <v>79948</v>
      </c>
      <c r="K18" s="1822">
        <f>H18-J18+I18</f>
        <v>884136</v>
      </c>
      <c r="L18" s="1822"/>
      <c r="M18" s="1822">
        <v>76364</v>
      </c>
      <c r="N18" s="1830">
        <f>K18+L18-M18</f>
        <v>807772</v>
      </c>
    </row>
    <row r="19" spans="1:16" s="1565" customFormat="1" ht="14.25" x14ac:dyDescent="0.3">
      <c r="A19" s="1826"/>
      <c r="B19" s="1828"/>
      <c r="C19" s="1819"/>
      <c r="D19" s="1819"/>
      <c r="E19" s="1833"/>
      <c r="F19" s="1833"/>
      <c r="G19" s="1815"/>
      <c r="H19" s="1815"/>
      <c r="I19" s="1815"/>
      <c r="J19" s="1815"/>
      <c r="K19" s="1815"/>
      <c r="L19" s="1815"/>
      <c r="M19" s="1815"/>
      <c r="N19" s="1817"/>
    </row>
    <row r="20" spans="1:16" s="1565" customFormat="1" ht="14.25" x14ac:dyDescent="0.3">
      <c r="A20" s="1826">
        <v>7</v>
      </c>
      <c r="B20" s="1831" t="s">
        <v>918</v>
      </c>
      <c r="C20" s="1818" t="s">
        <v>919</v>
      </c>
      <c r="D20" s="1818" t="s">
        <v>920</v>
      </c>
      <c r="E20" s="1832">
        <v>44424</v>
      </c>
      <c r="F20" s="1832">
        <v>48029</v>
      </c>
      <c r="G20" s="1822">
        <v>561891</v>
      </c>
      <c r="H20" s="1822">
        <v>0</v>
      </c>
      <c r="I20" s="1822">
        <v>0</v>
      </c>
      <c r="J20" s="1822">
        <v>0</v>
      </c>
      <c r="K20" s="1822">
        <f>H20-J20+I20</f>
        <v>0</v>
      </c>
      <c r="L20" s="1822">
        <v>561891</v>
      </c>
      <c r="M20" s="1822">
        <v>0</v>
      </c>
      <c r="N20" s="1830">
        <f>K20+L20-M20</f>
        <v>561891</v>
      </c>
    </row>
    <row r="21" spans="1:16" s="1565" customFormat="1" ht="14.25" x14ac:dyDescent="0.3">
      <c r="A21" s="1826"/>
      <c r="B21" s="1828"/>
      <c r="C21" s="1819"/>
      <c r="D21" s="1819"/>
      <c r="E21" s="1833"/>
      <c r="F21" s="1833"/>
      <c r="G21" s="1815"/>
      <c r="H21" s="1815"/>
      <c r="I21" s="1815"/>
      <c r="J21" s="1815"/>
      <c r="K21" s="1815"/>
      <c r="L21" s="1815"/>
      <c r="M21" s="1815"/>
      <c r="N21" s="1817"/>
    </row>
    <row r="22" spans="1:16" s="1565" customFormat="1" ht="30.75" thickBot="1" x14ac:dyDescent="0.35">
      <c r="A22" s="1562">
        <v>8</v>
      </c>
      <c r="B22" s="1570" t="s">
        <v>921</v>
      </c>
      <c r="C22" s="1571" t="s">
        <v>922</v>
      </c>
      <c r="D22" s="1571" t="s">
        <v>913</v>
      </c>
      <c r="E22" s="1572" t="s">
        <v>923</v>
      </c>
      <c r="F22" s="1573" t="s">
        <v>924</v>
      </c>
      <c r="G22" s="1574"/>
      <c r="H22" s="1574">
        <v>0</v>
      </c>
      <c r="I22" s="1574">
        <v>0</v>
      </c>
      <c r="J22" s="1574">
        <v>0</v>
      </c>
      <c r="K22" s="1574">
        <f>H22-J22+I22</f>
        <v>0</v>
      </c>
      <c r="L22" s="1574"/>
      <c r="M22" s="1574"/>
      <c r="N22" s="1575">
        <f>K22+L22-M22</f>
        <v>0</v>
      </c>
    </row>
    <row r="23" spans="1:16" s="1580" customFormat="1" thickTop="1" thickBot="1" x14ac:dyDescent="0.35">
      <c r="A23" s="1562">
        <v>9</v>
      </c>
      <c r="B23" s="1576" t="s">
        <v>925</v>
      </c>
      <c r="C23" s="1577" t="s">
        <v>926</v>
      </c>
      <c r="D23" s="1577"/>
      <c r="E23" s="1577"/>
      <c r="F23" s="1577"/>
      <c r="G23" s="1577"/>
      <c r="H23" s="1578">
        <f t="shared" ref="H23:L23" si="1">SUM(H8:H22)</f>
        <v>1291835</v>
      </c>
      <c r="I23" s="1578">
        <f t="shared" si="1"/>
        <v>0</v>
      </c>
      <c r="J23" s="1578">
        <f t="shared" si="1"/>
        <v>110859</v>
      </c>
      <c r="K23" s="1578">
        <f t="shared" si="1"/>
        <v>1180976</v>
      </c>
      <c r="L23" s="1578">
        <f t="shared" si="1"/>
        <v>561891</v>
      </c>
      <c r="M23" s="1578">
        <f t="shared" ref="M23:N23" si="2">SUM(M8:M22)</f>
        <v>106903</v>
      </c>
      <c r="N23" s="1579">
        <f t="shared" si="2"/>
        <v>1635964</v>
      </c>
      <c r="O23" s="1568"/>
      <c r="P23" s="1565"/>
    </row>
    <row r="24" spans="1:16" ht="17.25" thickTop="1" x14ac:dyDescent="0.3">
      <c r="M24" s="1583"/>
      <c r="N24" s="1583"/>
      <c r="P24" s="1565"/>
    </row>
  </sheetData>
  <mergeCells count="105">
    <mergeCell ref="A20:A21"/>
    <mergeCell ref="B20:B21"/>
    <mergeCell ref="C20:C21"/>
    <mergeCell ref="D20:D21"/>
    <mergeCell ref="E20:E21"/>
    <mergeCell ref="L20:L21"/>
    <mergeCell ref="M20:M21"/>
    <mergeCell ref="N20:N21"/>
    <mergeCell ref="F20:F21"/>
    <mergeCell ref="G20:G21"/>
    <mergeCell ref="H20:H21"/>
    <mergeCell ref="I20:I21"/>
    <mergeCell ref="J20:J21"/>
    <mergeCell ref="K20:K21"/>
    <mergeCell ref="J16:J17"/>
    <mergeCell ref="K16:K17"/>
    <mergeCell ref="L16:L17"/>
    <mergeCell ref="M16:M17"/>
    <mergeCell ref="J18:J19"/>
    <mergeCell ref="K18:K19"/>
    <mergeCell ref="L18:L19"/>
    <mergeCell ref="M18:M19"/>
    <mergeCell ref="N18:N19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14:A15"/>
    <mergeCell ref="B14:B15"/>
    <mergeCell ref="C14:C15"/>
    <mergeCell ref="D14:D15"/>
    <mergeCell ref="E14:E15"/>
    <mergeCell ref="L14:L15"/>
    <mergeCell ref="M14:M15"/>
    <mergeCell ref="N14:N15"/>
    <mergeCell ref="A16:A17"/>
    <mergeCell ref="B16:B17"/>
    <mergeCell ref="C16:C17"/>
    <mergeCell ref="D16:D17"/>
    <mergeCell ref="E16:E17"/>
    <mergeCell ref="F16:F17"/>
    <mergeCell ref="G16:G17"/>
    <mergeCell ref="F14:F15"/>
    <mergeCell ref="G14:G15"/>
    <mergeCell ref="H14:H15"/>
    <mergeCell ref="I14:I15"/>
    <mergeCell ref="J14:J15"/>
    <mergeCell ref="K14:K15"/>
    <mergeCell ref="N16:N17"/>
    <mergeCell ref="H16:H17"/>
    <mergeCell ref="I16:I17"/>
    <mergeCell ref="N10:N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H10:H11"/>
    <mergeCell ref="I10:I11"/>
    <mergeCell ref="J10:J11"/>
    <mergeCell ref="K10:K11"/>
    <mergeCell ref="L10:L11"/>
    <mergeCell ref="M10:M11"/>
    <mergeCell ref="J12:J13"/>
    <mergeCell ref="K12:K13"/>
    <mergeCell ref="L12:L13"/>
    <mergeCell ref="M12:M13"/>
    <mergeCell ref="N12:N13"/>
    <mergeCell ref="A10:A11"/>
    <mergeCell ref="B10:B11"/>
    <mergeCell ref="C10:C11"/>
    <mergeCell ref="D10:D11"/>
    <mergeCell ref="E10:E11"/>
    <mergeCell ref="F10:F11"/>
    <mergeCell ref="G10:G11"/>
    <mergeCell ref="F8:F9"/>
    <mergeCell ref="G8:G9"/>
    <mergeCell ref="B7:C7"/>
    <mergeCell ref="A8:A9"/>
    <mergeCell ref="B8:B9"/>
    <mergeCell ref="C8:C9"/>
    <mergeCell ref="D8:D9"/>
    <mergeCell ref="E8:E9"/>
    <mergeCell ref="B1:F1"/>
    <mergeCell ref="G1:L1"/>
    <mergeCell ref="B2:N2"/>
    <mergeCell ref="B3:N3"/>
    <mergeCell ref="B4:N4"/>
    <mergeCell ref="B6:C6"/>
    <mergeCell ref="L8:L9"/>
    <mergeCell ref="M8:M9"/>
    <mergeCell ref="N8:N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B46"/>
  <sheetViews>
    <sheetView view="pageBreakPreview" topLeftCell="Q3" zoomScaleNormal="100" zoomScaleSheetLayoutView="100" workbookViewId="0">
      <selection activeCell="B3" sqref="B3:AA3"/>
    </sheetView>
  </sheetViews>
  <sheetFormatPr defaultColWidth="10.42578125" defaultRowHeight="16.5" x14ac:dyDescent="0.3"/>
  <cols>
    <col min="1" max="1" width="3.7109375" style="380" customWidth="1"/>
    <col min="2" max="3" width="5.7109375" style="131" customWidth="1"/>
    <col min="4" max="4" width="51.7109375" style="528" customWidth="1"/>
    <col min="5" max="5" width="19.7109375" style="132" customWidth="1"/>
    <col min="6" max="6" width="3" style="130" customWidth="1"/>
    <col min="7" max="8" width="13.7109375" style="130" customWidth="1"/>
    <col min="9" max="11" width="12.28515625" style="130" customWidth="1"/>
    <col min="12" max="13" width="13.7109375" style="130" customWidth="1"/>
    <col min="14" max="14" width="13.7109375" style="881" customWidth="1"/>
    <col min="15" max="16" width="13.7109375" style="130" customWidth="1"/>
    <col min="17" max="17" width="15.7109375" style="130" customWidth="1"/>
    <col min="18" max="18" width="14.7109375" style="130" customWidth="1"/>
    <col min="19" max="21" width="12.28515625" style="130" customWidth="1"/>
    <col min="22" max="26" width="13.7109375" style="130" customWidth="1"/>
    <col min="27" max="27" width="15.7109375" style="130" customWidth="1"/>
    <col min="28" max="28" width="14.7109375" style="130" customWidth="1"/>
    <col min="29" max="16384" width="10.42578125" style="130"/>
  </cols>
  <sheetData>
    <row r="1" spans="1:28" x14ac:dyDescent="0.3">
      <c r="A1" s="535"/>
      <c r="B1" s="1837" t="s">
        <v>927</v>
      </c>
      <c r="C1" s="1837"/>
      <c r="D1" s="1837"/>
      <c r="E1" s="1837"/>
      <c r="F1" s="1837"/>
      <c r="G1" s="1837"/>
      <c r="H1" s="1837"/>
      <c r="I1" s="1837"/>
      <c r="J1" s="1837"/>
      <c r="K1" s="1837"/>
      <c r="L1" s="1837"/>
      <c r="M1" s="1837"/>
      <c r="N1" s="1837"/>
      <c r="O1" s="1837"/>
      <c r="P1" s="1837"/>
      <c r="Q1" s="1837"/>
      <c r="R1" s="1837"/>
      <c r="S1" s="1837"/>
      <c r="T1" s="1837"/>
      <c r="U1" s="1837"/>
      <c r="V1" s="1837"/>
      <c r="W1" s="1837"/>
      <c r="X1" s="62"/>
      <c r="Y1" s="62"/>
      <c r="Z1" s="62"/>
      <c r="AA1" s="62"/>
    </row>
    <row r="2" spans="1:28" ht="24.75" customHeight="1" x14ac:dyDescent="0.35">
      <c r="B2" s="1867" t="s">
        <v>107</v>
      </c>
      <c r="C2" s="1867"/>
      <c r="D2" s="1867"/>
      <c r="E2" s="1867"/>
      <c r="F2" s="1867"/>
      <c r="G2" s="1867"/>
      <c r="H2" s="1867"/>
      <c r="I2" s="1867"/>
      <c r="J2" s="1867"/>
      <c r="K2" s="1867"/>
      <c r="L2" s="1867"/>
      <c r="M2" s="1867"/>
      <c r="N2" s="1867"/>
      <c r="O2" s="1867"/>
      <c r="P2" s="1867"/>
      <c r="Q2" s="1867"/>
      <c r="R2" s="1867"/>
      <c r="S2" s="1867"/>
      <c r="T2" s="1867"/>
      <c r="U2" s="1867"/>
      <c r="V2" s="1867"/>
      <c r="W2" s="1867"/>
      <c r="X2" s="1867"/>
      <c r="Y2" s="1867"/>
      <c r="Z2" s="1867"/>
      <c r="AA2" s="1867"/>
    </row>
    <row r="3" spans="1:28" ht="24.75" customHeight="1" x14ac:dyDescent="0.35">
      <c r="B3" s="1867" t="s">
        <v>297</v>
      </c>
      <c r="C3" s="1867"/>
      <c r="D3" s="1867"/>
      <c r="E3" s="1867"/>
      <c r="F3" s="1867"/>
      <c r="G3" s="1867"/>
      <c r="H3" s="1867"/>
      <c r="I3" s="1867"/>
      <c r="J3" s="1867"/>
      <c r="K3" s="1867"/>
      <c r="L3" s="1867"/>
      <c r="M3" s="1867"/>
      <c r="N3" s="1867"/>
      <c r="O3" s="1867"/>
      <c r="P3" s="1867"/>
      <c r="Q3" s="1867"/>
      <c r="R3" s="1867"/>
      <c r="S3" s="1867"/>
      <c r="T3" s="1867"/>
      <c r="U3" s="1867"/>
      <c r="V3" s="1867"/>
      <c r="W3" s="1867"/>
      <c r="X3" s="1867"/>
      <c r="Y3" s="1867"/>
      <c r="Z3" s="1867"/>
      <c r="AA3" s="1867"/>
    </row>
    <row r="4" spans="1:28" ht="24.75" customHeight="1" x14ac:dyDescent="0.35">
      <c r="B4" s="1867" t="s">
        <v>283</v>
      </c>
      <c r="C4" s="1867"/>
      <c r="D4" s="1867"/>
      <c r="E4" s="1867"/>
      <c r="F4" s="1867"/>
      <c r="G4" s="1867"/>
      <c r="H4" s="1867"/>
      <c r="I4" s="1867"/>
      <c r="J4" s="1867"/>
      <c r="K4" s="1867"/>
      <c r="L4" s="1867"/>
      <c r="M4" s="1867"/>
      <c r="N4" s="1867"/>
      <c r="O4" s="1867"/>
      <c r="P4" s="1867"/>
      <c r="Q4" s="1867"/>
      <c r="R4" s="1867"/>
      <c r="S4" s="1867"/>
      <c r="T4" s="1867"/>
      <c r="U4" s="1867"/>
      <c r="V4" s="1867"/>
      <c r="W4" s="1867"/>
      <c r="X4" s="1867"/>
      <c r="Y4" s="1867"/>
      <c r="Z4" s="1867"/>
      <c r="AA4" s="1867"/>
    </row>
    <row r="5" spans="1:28" s="379" customFormat="1" ht="15" x14ac:dyDescent="0.3">
      <c r="A5" s="380"/>
      <c r="B5" s="380"/>
      <c r="C5" s="380"/>
      <c r="D5" s="381"/>
      <c r="E5" s="382"/>
      <c r="Y5" s="1554"/>
      <c r="Z5" s="1554"/>
      <c r="AA5" s="1554"/>
      <c r="AB5" s="1553" t="s">
        <v>0</v>
      </c>
    </row>
    <row r="6" spans="1:28" s="380" customFormat="1" ht="15.75" thickBot="1" x14ac:dyDescent="0.35">
      <c r="B6" s="380" t="s">
        <v>448</v>
      </c>
      <c r="C6" s="380" t="s">
        <v>3</v>
      </c>
      <c r="D6" s="427" t="s">
        <v>2</v>
      </c>
      <c r="E6" s="382" t="s">
        <v>4</v>
      </c>
      <c r="G6" s="380" t="s">
        <v>5</v>
      </c>
      <c r="H6" s="380" t="s">
        <v>15</v>
      </c>
      <c r="I6" s="380" t="s">
        <v>16</v>
      </c>
      <c r="J6" s="380" t="s">
        <v>17</v>
      </c>
      <c r="K6" s="380" t="s">
        <v>34</v>
      </c>
      <c r="L6" s="380" t="s">
        <v>30</v>
      </c>
      <c r="M6" s="380" t="s">
        <v>23</v>
      </c>
      <c r="N6" s="380" t="s">
        <v>35</v>
      </c>
      <c r="O6" s="380" t="s">
        <v>36</v>
      </c>
      <c r="P6" s="380" t="s">
        <v>135</v>
      </c>
      <c r="Q6" s="380" t="s">
        <v>136</v>
      </c>
      <c r="R6" s="380" t="s">
        <v>137</v>
      </c>
      <c r="S6" s="907" t="s">
        <v>277</v>
      </c>
      <c r="T6" s="380" t="s">
        <v>363</v>
      </c>
      <c r="U6" s="380" t="s">
        <v>364</v>
      </c>
      <c r="V6" s="380" t="s">
        <v>449</v>
      </c>
      <c r="W6" s="380" t="s">
        <v>652</v>
      </c>
      <c r="X6" s="380" t="s">
        <v>653</v>
      </c>
      <c r="Y6" s="380" t="s">
        <v>654</v>
      </c>
      <c r="Z6" s="380" t="s">
        <v>655</v>
      </c>
      <c r="AA6" s="380" t="s">
        <v>876</v>
      </c>
      <c r="AB6" s="380" t="s">
        <v>877</v>
      </c>
    </row>
    <row r="7" spans="1:28" s="133" customFormat="1" ht="24.75" customHeight="1" x14ac:dyDescent="0.2">
      <c r="A7" s="428"/>
      <c r="B7" s="1847" t="s">
        <v>18</v>
      </c>
      <c r="C7" s="1850" t="s">
        <v>19</v>
      </c>
      <c r="D7" s="1853" t="s">
        <v>284</v>
      </c>
      <c r="E7" s="1856" t="s">
        <v>285</v>
      </c>
      <c r="F7" s="429"/>
      <c r="G7" s="1859" t="s">
        <v>292</v>
      </c>
      <c r="H7" s="1859"/>
      <c r="I7" s="1860"/>
      <c r="J7" s="1860"/>
      <c r="K7" s="1860"/>
      <c r="L7" s="1860"/>
      <c r="M7" s="1860"/>
      <c r="N7" s="1860"/>
      <c r="O7" s="1860"/>
      <c r="P7" s="1861"/>
      <c r="Q7" s="1862"/>
      <c r="R7" s="1872" t="s">
        <v>874</v>
      </c>
      <c r="S7" s="1863" t="s">
        <v>293</v>
      </c>
      <c r="T7" s="1860"/>
      <c r="U7" s="1860"/>
      <c r="V7" s="1860"/>
      <c r="W7" s="1860"/>
      <c r="X7" s="1860"/>
      <c r="Y7" s="1861"/>
      <c r="Z7" s="1853"/>
      <c r="AA7" s="1838" t="s">
        <v>366</v>
      </c>
      <c r="AB7" s="1868" t="s">
        <v>875</v>
      </c>
    </row>
    <row r="8" spans="1:28" s="133" customFormat="1" ht="24.75" customHeight="1" x14ac:dyDescent="0.2">
      <c r="A8" s="428"/>
      <c r="B8" s="1848"/>
      <c r="C8" s="1851"/>
      <c r="D8" s="1854"/>
      <c r="E8" s="1857"/>
      <c r="F8" s="430"/>
      <c r="G8" s="1841" t="s">
        <v>286</v>
      </c>
      <c r="H8" s="1843" t="s">
        <v>455</v>
      </c>
      <c r="I8" s="1875" t="s">
        <v>288</v>
      </c>
      <c r="J8" s="1876"/>
      <c r="K8" s="1876"/>
      <c r="L8" s="1876"/>
      <c r="M8" s="1876"/>
      <c r="N8" s="1876"/>
      <c r="O8" s="1876"/>
      <c r="P8" s="1877"/>
      <c r="Q8" s="1845" t="s">
        <v>287</v>
      </c>
      <c r="R8" s="1873"/>
      <c r="S8" s="1864"/>
      <c r="T8" s="1865"/>
      <c r="U8" s="1865"/>
      <c r="V8" s="1865"/>
      <c r="W8" s="1865"/>
      <c r="X8" s="1865"/>
      <c r="Y8" s="1866"/>
      <c r="Z8" s="1871"/>
      <c r="AA8" s="1839"/>
      <c r="AB8" s="1869"/>
    </row>
    <row r="9" spans="1:28" s="133" customFormat="1" ht="60.75" customHeight="1" thickBot="1" x14ac:dyDescent="0.25">
      <c r="A9" s="428"/>
      <c r="B9" s="1849"/>
      <c r="C9" s="1852"/>
      <c r="D9" s="1855"/>
      <c r="E9" s="1858"/>
      <c r="F9" s="430"/>
      <c r="G9" s="1842"/>
      <c r="H9" s="1844"/>
      <c r="I9" s="890" t="s">
        <v>294</v>
      </c>
      <c r="J9" s="890" t="s">
        <v>341</v>
      </c>
      <c r="K9" s="890" t="s">
        <v>373</v>
      </c>
      <c r="L9" s="890" t="s">
        <v>450</v>
      </c>
      <c r="M9" s="890" t="s">
        <v>471</v>
      </c>
      <c r="N9" s="890" t="s">
        <v>707</v>
      </c>
      <c r="O9" s="890" t="s">
        <v>372</v>
      </c>
      <c r="P9" s="891" t="s">
        <v>651</v>
      </c>
      <c r="Q9" s="1846"/>
      <c r="R9" s="1874"/>
      <c r="S9" s="140" t="s">
        <v>295</v>
      </c>
      <c r="T9" s="141" t="s">
        <v>341</v>
      </c>
      <c r="U9" s="141" t="s">
        <v>373</v>
      </c>
      <c r="V9" s="141" t="s">
        <v>450</v>
      </c>
      <c r="W9" s="141" t="s">
        <v>471</v>
      </c>
      <c r="X9" s="141" t="s">
        <v>707</v>
      </c>
      <c r="Y9" s="141" t="s">
        <v>372</v>
      </c>
      <c r="Z9" s="888" t="s">
        <v>651</v>
      </c>
      <c r="AA9" s="1840"/>
      <c r="AB9" s="1870"/>
    </row>
    <row r="10" spans="1:28" s="133" customFormat="1" ht="33" customHeight="1" x14ac:dyDescent="0.35">
      <c r="A10" s="431">
        <v>1</v>
      </c>
      <c r="B10" s="432">
        <v>18</v>
      </c>
      <c r="C10" s="433" t="s">
        <v>14</v>
      </c>
      <c r="D10" s="434"/>
      <c r="E10" s="435"/>
      <c r="G10" s="436"/>
      <c r="H10" s="892"/>
      <c r="I10" s="893"/>
      <c r="J10" s="893"/>
      <c r="K10" s="893"/>
      <c r="L10" s="893"/>
      <c r="M10" s="893"/>
      <c r="N10" s="893"/>
      <c r="O10" s="893"/>
      <c r="P10" s="894"/>
      <c r="Q10" s="895"/>
      <c r="R10" s="1545"/>
      <c r="S10" s="436"/>
      <c r="T10" s="437"/>
      <c r="U10" s="437"/>
      <c r="V10" s="437"/>
      <c r="W10" s="437"/>
      <c r="X10" s="437"/>
      <c r="Y10" s="437"/>
      <c r="Z10" s="889"/>
      <c r="AA10" s="889"/>
      <c r="AB10" s="1551"/>
    </row>
    <row r="11" spans="1:28" ht="33" customHeight="1" x14ac:dyDescent="0.3">
      <c r="A11" s="431">
        <v>2</v>
      </c>
      <c r="B11" s="241"/>
      <c r="C11" s="444">
        <v>1</v>
      </c>
      <c r="D11" s="438" t="s">
        <v>395</v>
      </c>
      <c r="E11" s="439" t="s">
        <v>453</v>
      </c>
      <c r="F11" s="135"/>
      <c r="G11" s="440">
        <f t="shared" ref="G11:G25" si="0">+AA11-Q11-H11</f>
        <v>11744</v>
      </c>
      <c r="H11" s="441"/>
      <c r="I11" s="442"/>
      <c r="J11" s="442"/>
      <c r="K11" s="442"/>
      <c r="L11" s="442">
        <v>19069</v>
      </c>
      <c r="M11" s="442"/>
      <c r="N11" s="442">
        <v>17569</v>
      </c>
      <c r="O11" s="442"/>
      <c r="P11" s="885"/>
      <c r="Q11" s="443">
        <f>SUM(I11:P11)</f>
        <v>36638</v>
      </c>
      <c r="R11" s="1546"/>
      <c r="S11" s="440"/>
      <c r="T11" s="442"/>
      <c r="U11" s="442">
        <v>1956</v>
      </c>
      <c r="V11" s="442"/>
      <c r="W11" s="442"/>
      <c r="X11" s="442">
        <v>21991</v>
      </c>
      <c r="Y11" s="442">
        <v>24435</v>
      </c>
      <c r="Z11" s="885"/>
      <c r="AA11" s="885">
        <f>SUM(S11:Z11)</f>
        <v>48382</v>
      </c>
      <c r="AB11" s="1555">
        <v>22566</v>
      </c>
    </row>
    <row r="12" spans="1:28" s="133" customFormat="1" ht="66" x14ac:dyDescent="0.3">
      <c r="A12" s="431">
        <v>3</v>
      </c>
      <c r="B12" s="241"/>
      <c r="C12" s="444">
        <v>2</v>
      </c>
      <c r="D12" s="176" t="s">
        <v>472</v>
      </c>
      <c r="E12" s="439" t="s">
        <v>476</v>
      </c>
      <c r="F12" s="242"/>
      <c r="G12" s="445">
        <f t="shared" si="0"/>
        <v>750</v>
      </c>
      <c r="H12" s="446"/>
      <c r="I12" s="442"/>
      <c r="J12" s="442"/>
      <c r="K12" s="442"/>
      <c r="L12" s="442"/>
      <c r="M12" s="442">
        <v>307086</v>
      </c>
      <c r="N12" s="442"/>
      <c r="O12" s="442"/>
      <c r="P12" s="885"/>
      <c r="Q12" s="443">
        <f t="shared" ref="Q12:Q37" si="1">SUM(I12:P12)</f>
        <v>307086</v>
      </c>
      <c r="R12" s="1546"/>
      <c r="S12" s="440"/>
      <c r="T12" s="442"/>
      <c r="U12" s="442">
        <f>984+40</f>
        <v>1024</v>
      </c>
      <c r="V12" s="442">
        <v>40</v>
      </c>
      <c r="W12" s="442">
        <f>108+800</f>
        <v>908</v>
      </c>
      <c r="X12" s="442">
        <v>197815</v>
      </c>
      <c r="Y12" s="442">
        <v>108049</v>
      </c>
      <c r="Z12" s="885"/>
      <c r="AA12" s="885">
        <f t="shared" ref="AA12:AA37" si="2">SUM(S12:Z12)</f>
        <v>307836</v>
      </c>
      <c r="AB12" s="1556">
        <v>56781</v>
      </c>
    </row>
    <row r="13" spans="1:28" ht="33" customHeight="1" x14ac:dyDescent="0.3">
      <c r="A13" s="431">
        <v>4</v>
      </c>
      <c r="B13" s="241"/>
      <c r="C13" s="444">
        <v>3</v>
      </c>
      <c r="D13" s="438" t="s">
        <v>396</v>
      </c>
      <c r="E13" s="439" t="s">
        <v>693</v>
      </c>
      <c r="F13" s="135"/>
      <c r="G13" s="445">
        <f t="shared" si="0"/>
        <v>281564</v>
      </c>
      <c r="H13" s="446"/>
      <c r="I13" s="442"/>
      <c r="J13" s="442"/>
      <c r="K13" s="442">
        <v>2092161</v>
      </c>
      <c r="L13" s="442"/>
      <c r="M13" s="442">
        <f>1107839-607839</f>
        <v>500000</v>
      </c>
      <c r="N13" s="442">
        <v>575772</v>
      </c>
      <c r="O13" s="442"/>
      <c r="P13" s="885"/>
      <c r="Q13" s="443">
        <f t="shared" si="1"/>
        <v>3167933</v>
      </c>
      <c r="R13" s="1546"/>
      <c r="S13" s="440">
        <v>40063</v>
      </c>
      <c r="T13" s="442">
        <v>83854</v>
      </c>
      <c r="U13" s="442">
        <v>327034</v>
      </c>
      <c r="V13" s="442">
        <v>1231269</v>
      </c>
      <c r="W13" s="442">
        <f>710+1172933</f>
        <v>1173643</v>
      </c>
      <c r="X13" s="442">
        <v>592544</v>
      </c>
      <c r="Y13" s="442">
        <v>1090</v>
      </c>
      <c r="Z13" s="885"/>
      <c r="AA13" s="885">
        <f t="shared" si="2"/>
        <v>3449497</v>
      </c>
      <c r="AB13" s="1555">
        <v>760</v>
      </c>
    </row>
    <row r="14" spans="1:28" ht="54" customHeight="1" x14ac:dyDescent="0.3">
      <c r="A14" s="431">
        <v>5</v>
      </c>
      <c r="B14" s="241"/>
      <c r="C14" s="444">
        <v>4</v>
      </c>
      <c r="D14" s="438" t="s">
        <v>464</v>
      </c>
      <c r="E14" s="439" t="s">
        <v>694</v>
      </c>
      <c r="F14" s="135"/>
      <c r="G14" s="445">
        <f t="shared" si="0"/>
        <v>183</v>
      </c>
      <c r="H14" s="446"/>
      <c r="I14" s="442"/>
      <c r="J14" s="442"/>
      <c r="K14" s="442">
        <v>19671</v>
      </c>
      <c r="L14" s="442"/>
      <c r="M14" s="442"/>
      <c r="N14" s="442">
        <v>206228</v>
      </c>
      <c r="O14" s="442">
        <v>14101</v>
      </c>
      <c r="P14" s="885"/>
      <c r="Q14" s="443">
        <f t="shared" si="1"/>
        <v>240000</v>
      </c>
      <c r="R14" s="1546"/>
      <c r="S14" s="440"/>
      <c r="T14" s="442"/>
      <c r="U14" s="442">
        <v>9749</v>
      </c>
      <c r="V14" s="442">
        <v>3835</v>
      </c>
      <c r="W14" s="442">
        <v>7697</v>
      </c>
      <c r="X14" s="442">
        <v>140243</v>
      </c>
      <c r="Y14" s="442">
        <v>78659</v>
      </c>
      <c r="Z14" s="885"/>
      <c r="AA14" s="885">
        <f t="shared" si="2"/>
        <v>240183</v>
      </c>
      <c r="AB14" s="1555">
        <v>15</v>
      </c>
    </row>
    <row r="15" spans="1:28" s="133" customFormat="1" ht="33" x14ac:dyDescent="0.2">
      <c r="A15" s="431">
        <v>6</v>
      </c>
      <c r="B15" s="241"/>
      <c r="C15" s="444">
        <v>5</v>
      </c>
      <c r="D15" s="438" t="s">
        <v>397</v>
      </c>
      <c r="E15" s="439" t="s">
        <v>451</v>
      </c>
      <c r="F15" s="242"/>
      <c r="G15" s="445">
        <f t="shared" si="0"/>
        <v>5000</v>
      </c>
      <c r="H15" s="446"/>
      <c r="I15" s="442"/>
      <c r="J15" s="442"/>
      <c r="K15" s="442"/>
      <c r="L15" s="442">
        <v>480600</v>
      </c>
      <c r="M15" s="442"/>
      <c r="N15" s="442"/>
      <c r="O15" s="442">
        <v>21000</v>
      </c>
      <c r="P15" s="885"/>
      <c r="Q15" s="443">
        <f t="shared" si="1"/>
        <v>501600</v>
      </c>
      <c r="R15" s="1546"/>
      <c r="S15" s="440"/>
      <c r="T15" s="442"/>
      <c r="U15" s="442">
        <v>326</v>
      </c>
      <c r="V15" s="442">
        <v>17127</v>
      </c>
      <c r="W15" s="442">
        <f>1549+2433</f>
        <v>3982</v>
      </c>
      <c r="X15" s="442">
        <v>72298</v>
      </c>
      <c r="Y15" s="442">
        <f>400867+12000</f>
        <v>412867</v>
      </c>
      <c r="Z15" s="885"/>
      <c r="AA15" s="885">
        <f t="shared" si="2"/>
        <v>506600</v>
      </c>
      <c r="AB15" s="1556">
        <v>120746</v>
      </c>
    </row>
    <row r="16" spans="1:28" s="133" customFormat="1" ht="55.5" customHeight="1" x14ac:dyDescent="0.2">
      <c r="A16" s="431">
        <v>7</v>
      </c>
      <c r="B16" s="241"/>
      <c r="C16" s="444">
        <v>6</v>
      </c>
      <c r="D16" s="438" t="s">
        <v>473</v>
      </c>
      <c r="E16" s="439" t="s">
        <v>453</v>
      </c>
      <c r="F16" s="135"/>
      <c r="G16" s="445">
        <f t="shared" si="0"/>
        <v>160123</v>
      </c>
      <c r="H16" s="446"/>
      <c r="I16" s="442"/>
      <c r="J16" s="442"/>
      <c r="K16" s="442"/>
      <c r="L16" s="442"/>
      <c r="M16" s="442"/>
      <c r="N16" s="442">
        <v>73653</v>
      </c>
      <c r="O16" s="442">
        <v>832347</v>
      </c>
      <c r="P16" s="885"/>
      <c r="Q16" s="443">
        <f t="shared" si="1"/>
        <v>906000</v>
      </c>
      <c r="R16" s="1546">
        <v>787346</v>
      </c>
      <c r="S16" s="440"/>
      <c r="T16" s="442"/>
      <c r="U16" s="442"/>
      <c r="V16" s="442"/>
      <c r="W16" s="442">
        <v>5906</v>
      </c>
      <c r="X16" s="442">
        <v>14982</v>
      </c>
      <c r="Y16" s="442">
        <f>862462+22650</f>
        <v>885112</v>
      </c>
      <c r="Z16" s="885">
        <v>160123</v>
      </c>
      <c r="AA16" s="885">
        <f t="shared" si="2"/>
        <v>1066123</v>
      </c>
      <c r="AB16" s="1556">
        <v>12144</v>
      </c>
    </row>
    <row r="17" spans="1:28" ht="33" customHeight="1" x14ac:dyDescent="0.3">
      <c r="A17" s="431">
        <v>8</v>
      </c>
      <c r="B17" s="241"/>
      <c r="C17" s="447">
        <v>7</v>
      </c>
      <c r="D17" s="448" t="s">
        <v>474</v>
      </c>
      <c r="E17" s="439" t="s">
        <v>475</v>
      </c>
      <c r="F17" s="135"/>
      <c r="G17" s="445">
        <f t="shared" si="0"/>
        <v>0</v>
      </c>
      <c r="H17" s="446"/>
      <c r="I17" s="442"/>
      <c r="J17" s="442"/>
      <c r="K17" s="442"/>
      <c r="L17" s="442"/>
      <c r="M17" s="442"/>
      <c r="N17" s="442">
        <v>2787362</v>
      </c>
      <c r="O17" s="442">
        <v>118938</v>
      </c>
      <c r="P17" s="885"/>
      <c r="Q17" s="443">
        <f t="shared" si="1"/>
        <v>2906300</v>
      </c>
      <c r="R17" s="1546">
        <v>118938</v>
      </c>
      <c r="S17" s="440"/>
      <c r="T17" s="442"/>
      <c r="U17" s="442"/>
      <c r="V17" s="442"/>
      <c r="W17" s="442">
        <v>3428</v>
      </c>
      <c r="X17" s="442">
        <v>21799</v>
      </c>
      <c r="Y17" s="442">
        <v>2881073</v>
      </c>
      <c r="Z17" s="885"/>
      <c r="AA17" s="885">
        <f t="shared" si="2"/>
        <v>2906300</v>
      </c>
      <c r="AB17" s="1555">
        <v>354060</v>
      </c>
    </row>
    <row r="18" spans="1:28" ht="33" customHeight="1" x14ac:dyDescent="0.3">
      <c r="A18" s="431">
        <v>9</v>
      </c>
      <c r="B18" s="241"/>
      <c r="C18" s="444">
        <v>8</v>
      </c>
      <c r="D18" s="438" t="s">
        <v>478</v>
      </c>
      <c r="E18" s="439" t="s">
        <v>695</v>
      </c>
      <c r="F18" s="135"/>
      <c r="G18" s="445">
        <f t="shared" si="0"/>
        <v>887139</v>
      </c>
      <c r="H18" s="446">
        <v>277946</v>
      </c>
      <c r="I18" s="442"/>
      <c r="J18" s="442"/>
      <c r="K18" s="442">
        <v>558299</v>
      </c>
      <c r="L18" s="442"/>
      <c r="M18" s="442"/>
      <c r="N18" s="442"/>
      <c r="O18" s="442">
        <v>793085</v>
      </c>
      <c r="P18" s="885"/>
      <c r="Q18" s="443">
        <f t="shared" si="1"/>
        <v>1351384</v>
      </c>
      <c r="R18" s="1546"/>
      <c r="S18" s="440"/>
      <c r="T18" s="442"/>
      <c r="U18" s="442">
        <v>28000</v>
      </c>
      <c r="V18" s="442">
        <v>26441</v>
      </c>
      <c r="W18" s="442">
        <v>46228</v>
      </c>
      <c r="X18" s="442">
        <v>12816</v>
      </c>
      <c r="Y18" s="442">
        <v>1515845</v>
      </c>
      <c r="Z18" s="885">
        <v>887139</v>
      </c>
      <c r="AA18" s="885">
        <f t="shared" si="2"/>
        <v>2516469</v>
      </c>
      <c r="AB18" s="1555">
        <v>15754</v>
      </c>
    </row>
    <row r="19" spans="1:28" ht="49.5" x14ac:dyDescent="0.3">
      <c r="A19" s="431">
        <v>10</v>
      </c>
      <c r="B19" s="241"/>
      <c r="C19" s="444">
        <v>9</v>
      </c>
      <c r="D19" s="449" t="s">
        <v>399</v>
      </c>
      <c r="E19" s="439" t="s">
        <v>453</v>
      </c>
      <c r="F19" s="135"/>
      <c r="G19" s="445">
        <f t="shared" si="0"/>
        <v>12126</v>
      </c>
      <c r="H19" s="446"/>
      <c r="I19" s="442"/>
      <c r="J19" s="442"/>
      <c r="K19" s="442"/>
      <c r="L19" s="442">
        <v>243150</v>
      </c>
      <c r="M19" s="442"/>
      <c r="N19" s="442"/>
      <c r="O19" s="442">
        <v>11850</v>
      </c>
      <c r="P19" s="885"/>
      <c r="Q19" s="443">
        <f t="shared" si="1"/>
        <v>255000</v>
      </c>
      <c r="R19" s="1546">
        <v>11850</v>
      </c>
      <c r="S19" s="440"/>
      <c r="T19" s="442"/>
      <c r="U19" s="442">
        <v>4379</v>
      </c>
      <c r="V19" s="442">
        <v>12827</v>
      </c>
      <c r="W19" s="442"/>
      <c r="X19" s="442"/>
      <c r="Y19" s="442">
        <f>261770-11850</f>
        <v>249920</v>
      </c>
      <c r="Z19" s="885"/>
      <c r="AA19" s="885">
        <f t="shared" si="2"/>
        <v>267126</v>
      </c>
      <c r="AB19" s="1555">
        <v>100</v>
      </c>
    </row>
    <row r="20" spans="1:28" s="906" customFormat="1" ht="33" customHeight="1" x14ac:dyDescent="0.3">
      <c r="A20" s="431">
        <v>11</v>
      </c>
      <c r="B20" s="241"/>
      <c r="C20" s="444">
        <v>10</v>
      </c>
      <c r="D20" s="438" t="s">
        <v>447</v>
      </c>
      <c r="E20" s="439" t="s">
        <v>453</v>
      </c>
      <c r="F20" s="135"/>
      <c r="G20" s="445">
        <f t="shared" si="0"/>
        <v>0</v>
      </c>
      <c r="H20" s="446"/>
      <c r="I20" s="442"/>
      <c r="J20" s="442"/>
      <c r="K20" s="442"/>
      <c r="L20" s="442">
        <f>23652+14397</f>
        <v>38049</v>
      </c>
      <c r="M20" s="442">
        <f>29993+15185+6342</f>
        <v>51520</v>
      </c>
      <c r="N20" s="442">
        <v>16998</v>
      </c>
      <c r="O20" s="442">
        <f>4172+43829+2741+26691</f>
        <v>77433</v>
      </c>
      <c r="P20" s="885"/>
      <c r="Q20" s="443">
        <f t="shared" si="1"/>
        <v>184000</v>
      </c>
      <c r="R20" s="1546">
        <f>0+5292+0</f>
        <v>5292</v>
      </c>
      <c r="S20" s="440"/>
      <c r="T20" s="442"/>
      <c r="U20" s="442">
        <v>9200</v>
      </c>
      <c r="V20" s="442">
        <f>3350+5228+2097</f>
        <v>10675</v>
      </c>
      <c r="W20" s="442">
        <f>13739+5801</f>
        <v>19540</v>
      </c>
      <c r="X20" s="442">
        <v>18104</v>
      </c>
      <c r="Y20" s="442">
        <v>126481</v>
      </c>
      <c r="Z20" s="885"/>
      <c r="AA20" s="885">
        <f t="shared" si="2"/>
        <v>184000</v>
      </c>
      <c r="AB20" s="1555">
        <f>0+19386+21744</f>
        <v>41130</v>
      </c>
    </row>
    <row r="21" spans="1:28" ht="49.5" x14ac:dyDescent="0.3">
      <c r="A21" s="431">
        <v>12</v>
      </c>
      <c r="B21" s="241"/>
      <c r="C21" s="444">
        <v>11</v>
      </c>
      <c r="D21" s="438" t="s">
        <v>342</v>
      </c>
      <c r="E21" s="439" t="s">
        <v>451</v>
      </c>
      <c r="F21" s="135"/>
      <c r="G21" s="445">
        <f t="shared" si="0"/>
        <v>45</v>
      </c>
      <c r="H21" s="446"/>
      <c r="I21" s="442"/>
      <c r="J21" s="442"/>
      <c r="K21" s="442">
        <v>24175</v>
      </c>
      <c r="L21" s="442"/>
      <c r="M21" s="442">
        <v>26185</v>
      </c>
      <c r="N21" s="442"/>
      <c r="O21" s="442"/>
      <c r="P21" s="885"/>
      <c r="Q21" s="443">
        <f t="shared" si="1"/>
        <v>50360</v>
      </c>
      <c r="R21" s="1546"/>
      <c r="S21" s="440"/>
      <c r="T21" s="442"/>
      <c r="U21" s="442">
        <v>1176</v>
      </c>
      <c r="V21" s="442">
        <v>23808</v>
      </c>
      <c r="W21" s="442">
        <f>744+333+7845</f>
        <v>8922</v>
      </c>
      <c r="X21" s="442">
        <v>11615</v>
      </c>
      <c r="Y21" s="442">
        <v>4884</v>
      </c>
      <c r="Z21" s="885"/>
      <c r="AA21" s="885">
        <f t="shared" si="2"/>
        <v>50405</v>
      </c>
      <c r="AB21" s="1555">
        <v>2912</v>
      </c>
    </row>
    <row r="22" spans="1:28" ht="33" customHeight="1" x14ac:dyDescent="0.3">
      <c r="A22" s="431">
        <v>13</v>
      </c>
      <c r="B22" s="536"/>
      <c r="C22" s="447">
        <v>12</v>
      </c>
      <c r="D22" s="550" t="s">
        <v>402</v>
      </c>
      <c r="E22" s="439" t="s">
        <v>453</v>
      </c>
      <c r="F22" s="537"/>
      <c r="G22" s="445">
        <f t="shared" si="0"/>
        <v>22500</v>
      </c>
      <c r="H22" s="442"/>
      <c r="I22" s="442"/>
      <c r="J22" s="442"/>
      <c r="K22" s="442"/>
      <c r="L22" s="442"/>
      <c r="M22" s="442">
        <v>0</v>
      </c>
      <c r="N22" s="442">
        <v>40000</v>
      </c>
      <c r="O22" s="442"/>
      <c r="P22" s="885"/>
      <c r="Q22" s="443">
        <f t="shared" si="1"/>
        <v>40000</v>
      </c>
      <c r="R22" s="1546"/>
      <c r="S22" s="440"/>
      <c r="T22" s="442"/>
      <c r="U22" s="442"/>
      <c r="V22" s="442"/>
      <c r="W22" s="442">
        <v>1680</v>
      </c>
      <c r="X22" s="442">
        <v>1</v>
      </c>
      <c r="Y22" s="442">
        <v>60819</v>
      </c>
      <c r="Z22" s="885"/>
      <c r="AA22" s="885">
        <f t="shared" si="2"/>
        <v>62500</v>
      </c>
      <c r="AB22" s="1555">
        <v>54010</v>
      </c>
    </row>
    <row r="23" spans="1:28" ht="53.25" customHeight="1" x14ac:dyDescent="0.3">
      <c r="A23" s="431">
        <v>14</v>
      </c>
      <c r="B23" s="536"/>
      <c r="C23" s="538">
        <v>13</v>
      </c>
      <c r="D23" s="392" t="s">
        <v>403</v>
      </c>
      <c r="E23" s="439" t="s">
        <v>453</v>
      </c>
      <c r="F23" s="539"/>
      <c r="G23" s="445">
        <f t="shared" si="0"/>
        <v>4</v>
      </c>
      <c r="H23" s="446"/>
      <c r="I23" s="540"/>
      <c r="J23" s="540"/>
      <c r="K23" s="540"/>
      <c r="L23" s="540"/>
      <c r="M23" s="540">
        <v>19985</v>
      </c>
      <c r="N23" s="540"/>
      <c r="O23" s="540"/>
      <c r="P23" s="886"/>
      <c r="Q23" s="443">
        <f t="shared" si="1"/>
        <v>19985</v>
      </c>
      <c r="R23" s="1547"/>
      <c r="S23" s="445"/>
      <c r="T23" s="540"/>
      <c r="U23" s="540"/>
      <c r="V23" s="540"/>
      <c r="W23" s="540"/>
      <c r="X23" s="540">
        <v>17976</v>
      </c>
      <c r="Y23" s="540">
        <v>2013</v>
      </c>
      <c r="Z23" s="886"/>
      <c r="AA23" s="885">
        <f t="shared" si="2"/>
        <v>19989</v>
      </c>
      <c r="AB23" s="1555">
        <v>2000</v>
      </c>
    </row>
    <row r="24" spans="1:28" ht="42" customHeight="1" x14ac:dyDescent="0.3">
      <c r="A24" s="431">
        <v>15</v>
      </c>
      <c r="B24" s="536"/>
      <c r="C24" s="883">
        <v>14</v>
      </c>
      <c r="D24" s="392" t="s">
        <v>509</v>
      </c>
      <c r="E24" s="882" t="s">
        <v>475</v>
      </c>
      <c r="F24" s="884"/>
      <c r="G24" s="445">
        <f t="shared" si="0"/>
        <v>8495</v>
      </c>
      <c r="H24" s="441"/>
      <c r="I24" s="442"/>
      <c r="J24" s="442"/>
      <c r="K24" s="442"/>
      <c r="L24" s="442"/>
      <c r="M24" s="442"/>
      <c r="N24" s="442"/>
      <c r="O24" s="442"/>
      <c r="P24" s="885">
        <v>19822</v>
      </c>
      <c r="Q24" s="443">
        <f t="shared" si="1"/>
        <v>19822</v>
      </c>
      <c r="R24" s="1546">
        <v>3240</v>
      </c>
      <c r="S24" s="440"/>
      <c r="T24" s="442"/>
      <c r="U24" s="442"/>
      <c r="V24" s="442"/>
      <c r="W24" s="442"/>
      <c r="X24" s="442">
        <v>4452</v>
      </c>
      <c r="Y24" s="442">
        <f>17214+6651</f>
        <v>23865</v>
      </c>
      <c r="Z24" s="885"/>
      <c r="AA24" s="885">
        <f t="shared" si="2"/>
        <v>28317</v>
      </c>
      <c r="AB24" s="1555">
        <v>3527</v>
      </c>
    </row>
    <row r="25" spans="1:28" ht="27.75" customHeight="1" x14ac:dyDescent="0.3">
      <c r="A25" s="431">
        <v>16</v>
      </c>
      <c r="B25" s="536"/>
      <c r="C25" s="447">
        <v>15</v>
      </c>
      <c r="D25" s="298" t="s">
        <v>401</v>
      </c>
      <c r="E25" s="882" t="s">
        <v>476</v>
      </c>
      <c r="F25" s="884"/>
      <c r="G25" s="440">
        <f t="shared" si="0"/>
        <v>3296</v>
      </c>
      <c r="H25" s="442"/>
      <c r="I25" s="442"/>
      <c r="J25" s="442"/>
      <c r="K25" s="442"/>
      <c r="L25" s="442"/>
      <c r="M25" s="442"/>
      <c r="N25" s="442">
        <v>5926</v>
      </c>
      <c r="O25" s="442">
        <f>18368+9830</f>
        <v>28198</v>
      </c>
      <c r="P25" s="885"/>
      <c r="Q25" s="443">
        <f t="shared" si="1"/>
        <v>34124</v>
      </c>
      <c r="R25" s="1546">
        <v>2867</v>
      </c>
      <c r="S25" s="440"/>
      <c r="T25" s="442"/>
      <c r="U25" s="442"/>
      <c r="V25" s="442"/>
      <c r="W25" s="442">
        <v>2593</v>
      </c>
      <c r="X25" s="442">
        <v>7749</v>
      </c>
      <c r="Y25" s="442">
        <f>20728+4850+1500</f>
        <v>27078</v>
      </c>
      <c r="Z25" s="885"/>
      <c r="AA25" s="885">
        <f t="shared" si="2"/>
        <v>37420</v>
      </c>
      <c r="AB25" s="1555">
        <v>2404</v>
      </c>
    </row>
    <row r="26" spans="1:28" ht="27.75" customHeight="1" x14ac:dyDescent="0.35">
      <c r="A26" s="431">
        <v>17</v>
      </c>
      <c r="B26" s="241">
        <v>9</v>
      </c>
      <c r="C26" s="898" t="s">
        <v>343</v>
      </c>
      <c r="D26" s="298"/>
      <c r="E26" s="439"/>
      <c r="F26" s="897"/>
      <c r="G26" s="440"/>
      <c r="H26" s="441"/>
      <c r="I26" s="442"/>
      <c r="J26" s="442"/>
      <c r="K26" s="442"/>
      <c r="L26" s="442"/>
      <c r="M26" s="442"/>
      <c r="N26" s="442"/>
      <c r="O26" s="442"/>
      <c r="P26" s="885"/>
      <c r="Q26" s="443"/>
      <c r="R26" s="1546"/>
      <c r="S26" s="440"/>
      <c r="T26" s="442"/>
      <c r="U26" s="442"/>
      <c r="V26" s="442"/>
      <c r="W26" s="442"/>
      <c r="X26" s="442"/>
      <c r="Y26" s="442"/>
      <c r="Z26" s="885"/>
      <c r="AA26" s="885"/>
      <c r="AB26" s="1555"/>
    </row>
    <row r="27" spans="1:28" ht="36" customHeight="1" x14ac:dyDescent="0.3">
      <c r="A27" s="431">
        <v>18</v>
      </c>
      <c r="B27" s="241"/>
      <c r="C27" s="447">
        <v>1</v>
      </c>
      <c r="D27" s="806" t="s">
        <v>638</v>
      </c>
      <c r="E27" s="882" t="s">
        <v>476</v>
      </c>
      <c r="F27" s="135"/>
      <c r="G27" s="440">
        <f>+AA27-Q27-H27</f>
        <v>0</v>
      </c>
      <c r="H27" s="441"/>
      <c r="I27" s="442"/>
      <c r="J27" s="442"/>
      <c r="K27" s="442"/>
      <c r="L27" s="442"/>
      <c r="M27" s="442"/>
      <c r="N27" s="442">
        <v>3750</v>
      </c>
      <c r="O27" s="442">
        <v>11250</v>
      </c>
      <c r="P27" s="885"/>
      <c r="Q27" s="443">
        <f t="shared" si="1"/>
        <v>15000</v>
      </c>
      <c r="R27" s="1546">
        <v>191</v>
      </c>
      <c r="S27" s="440"/>
      <c r="T27" s="442"/>
      <c r="U27" s="442"/>
      <c r="V27" s="442"/>
      <c r="W27" s="442"/>
      <c r="X27" s="442">
        <v>8971</v>
      </c>
      <c r="Y27" s="442">
        <v>6029</v>
      </c>
      <c r="Z27" s="885"/>
      <c r="AA27" s="885">
        <f t="shared" si="2"/>
        <v>15000</v>
      </c>
      <c r="AB27" s="1555">
        <v>1891</v>
      </c>
    </row>
    <row r="28" spans="1:28" ht="36" customHeight="1" x14ac:dyDescent="0.35">
      <c r="A28" s="431">
        <v>19</v>
      </c>
      <c r="B28" s="241">
        <v>10</v>
      </c>
      <c r="C28" s="898" t="s">
        <v>344</v>
      </c>
      <c r="D28" s="806"/>
      <c r="E28" s="439"/>
      <c r="F28" s="897"/>
      <c r="G28" s="440"/>
      <c r="H28" s="441"/>
      <c r="I28" s="442"/>
      <c r="J28" s="442"/>
      <c r="K28" s="442"/>
      <c r="L28" s="442"/>
      <c r="M28" s="442"/>
      <c r="N28" s="442"/>
      <c r="O28" s="442"/>
      <c r="P28" s="885"/>
      <c r="Q28" s="443"/>
      <c r="R28" s="1546"/>
      <c r="S28" s="440"/>
      <c r="T28" s="442"/>
      <c r="U28" s="442"/>
      <c r="V28" s="442"/>
      <c r="W28" s="442"/>
      <c r="X28" s="442"/>
      <c r="Y28" s="442"/>
      <c r="Z28" s="885"/>
      <c r="AA28" s="885"/>
      <c r="AB28" s="1555"/>
    </row>
    <row r="29" spans="1:28" ht="36" customHeight="1" x14ac:dyDescent="0.3">
      <c r="A29" s="431">
        <v>20</v>
      </c>
      <c r="B29" s="241"/>
      <c r="C29" s="447">
        <v>2</v>
      </c>
      <c r="D29" s="846" t="s">
        <v>639</v>
      </c>
      <c r="E29" s="882" t="s">
        <v>452</v>
      </c>
      <c r="F29" s="897"/>
      <c r="G29" s="440">
        <f>+AA29-Q29-H29</f>
        <v>1605</v>
      </c>
      <c r="H29" s="441"/>
      <c r="I29" s="442"/>
      <c r="J29" s="442"/>
      <c r="K29" s="442"/>
      <c r="L29" s="442"/>
      <c r="M29" s="442"/>
      <c r="N29" s="442">
        <v>20000</v>
      </c>
      <c r="O29" s="442"/>
      <c r="P29" s="885"/>
      <c r="Q29" s="443">
        <f t="shared" si="1"/>
        <v>20000</v>
      </c>
      <c r="R29" s="1546"/>
      <c r="S29" s="440"/>
      <c r="T29" s="442"/>
      <c r="U29" s="442"/>
      <c r="V29" s="442"/>
      <c r="W29" s="442">
        <f>4442</f>
        <v>4442</v>
      </c>
      <c r="X29" s="442">
        <v>15990</v>
      </c>
      <c r="Y29" s="442">
        <v>1173</v>
      </c>
      <c r="Z29" s="885"/>
      <c r="AA29" s="885">
        <f t="shared" si="2"/>
        <v>21605</v>
      </c>
      <c r="AB29" s="1555">
        <v>1173</v>
      </c>
    </row>
    <row r="30" spans="1:28" ht="36" customHeight="1" x14ac:dyDescent="0.35">
      <c r="A30" s="431">
        <v>21</v>
      </c>
      <c r="B30" s="241">
        <v>11</v>
      </c>
      <c r="C30" s="898" t="s">
        <v>339</v>
      </c>
      <c r="D30" s="806"/>
      <c r="E30" s="439"/>
      <c r="F30" s="897"/>
      <c r="G30" s="440"/>
      <c r="H30" s="441"/>
      <c r="I30" s="442"/>
      <c r="J30" s="442"/>
      <c r="K30" s="442"/>
      <c r="L30" s="442"/>
      <c r="M30" s="442"/>
      <c r="N30" s="442"/>
      <c r="O30" s="442"/>
      <c r="P30" s="885"/>
      <c r="Q30" s="443"/>
      <c r="R30" s="1546"/>
      <c r="S30" s="440"/>
      <c r="T30" s="442"/>
      <c r="U30" s="442"/>
      <c r="V30" s="442"/>
      <c r="W30" s="442"/>
      <c r="X30" s="442"/>
      <c r="Y30" s="442"/>
      <c r="Z30" s="885"/>
      <c r="AA30" s="885"/>
      <c r="AB30" s="1555"/>
    </row>
    <row r="31" spans="1:28" ht="36" customHeight="1" x14ac:dyDescent="0.3">
      <c r="A31" s="431">
        <v>22</v>
      </c>
      <c r="B31" s="241"/>
      <c r="C31" s="447">
        <v>2</v>
      </c>
      <c r="D31" s="846" t="s">
        <v>640</v>
      </c>
      <c r="E31" s="882" t="s">
        <v>475</v>
      </c>
      <c r="F31" s="897"/>
      <c r="G31" s="440">
        <f>+AA31-Q31-H31</f>
        <v>231</v>
      </c>
      <c r="H31" s="441"/>
      <c r="I31" s="442"/>
      <c r="J31" s="442"/>
      <c r="K31" s="442"/>
      <c r="L31" s="442"/>
      <c r="M31" s="442"/>
      <c r="N31" s="442">
        <v>15000</v>
      </c>
      <c r="O31" s="442"/>
      <c r="P31" s="885"/>
      <c r="Q31" s="443">
        <f t="shared" si="1"/>
        <v>15000</v>
      </c>
      <c r="R31" s="1546"/>
      <c r="S31" s="440"/>
      <c r="T31" s="442"/>
      <c r="U31" s="442"/>
      <c r="V31" s="442"/>
      <c r="W31" s="442"/>
      <c r="X31" s="442">
        <v>7719</v>
      </c>
      <c r="Y31" s="442">
        <v>7512</v>
      </c>
      <c r="Z31" s="885"/>
      <c r="AA31" s="885">
        <f t="shared" si="2"/>
        <v>15231</v>
      </c>
      <c r="AB31" s="1555">
        <v>7900</v>
      </c>
    </row>
    <row r="32" spans="1:28" ht="33" customHeight="1" x14ac:dyDescent="0.35">
      <c r="A32" s="431">
        <v>23</v>
      </c>
      <c r="B32" s="541">
        <v>13</v>
      </c>
      <c r="C32" s="433" t="s">
        <v>32</v>
      </c>
      <c r="D32" s="548"/>
      <c r="E32" s="542"/>
      <c r="F32" s="543"/>
      <c r="G32" s="544"/>
      <c r="H32" s="545"/>
      <c r="I32" s="546"/>
      <c r="J32" s="546"/>
      <c r="K32" s="546"/>
      <c r="L32" s="546"/>
      <c r="M32" s="546"/>
      <c r="N32" s="546"/>
      <c r="O32" s="546"/>
      <c r="P32" s="887"/>
      <c r="Q32" s="443"/>
      <c r="R32" s="1548"/>
      <c r="S32" s="544"/>
      <c r="T32" s="546"/>
      <c r="U32" s="546"/>
      <c r="V32" s="546"/>
      <c r="W32" s="546"/>
      <c r="X32" s="546"/>
      <c r="Y32" s="546"/>
      <c r="Z32" s="887"/>
      <c r="AA32" s="885"/>
      <c r="AB32" s="1555"/>
    </row>
    <row r="33" spans="1:28" ht="33" customHeight="1" x14ac:dyDescent="0.3">
      <c r="A33" s="431">
        <v>24</v>
      </c>
      <c r="B33" s="541"/>
      <c r="C33" s="896">
        <v>1</v>
      </c>
      <c r="D33" s="549" t="s">
        <v>461</v>
      </c>
      <c r="E33" s="542" t="s">
        <v>476</v>
      </c>
      <c r="F33" s="543"/>
      <c r="G33" s="544">
        <f>+AA33-Q33-H33</f>
        <v>0</v>
      </c>
      <c r="H33" s="545"/>
      <c r="I33" s="546"/>
      <c r="J33" s="546"/>
      <c r="K33" s="546"/>
      <c r="L33" s="546"/>
      <c r="M33" s="546">
        <v>8944</v>
      </c>
      <c r="N33" s="546"/>
      <c r="O33" s="546"/>
      <c r="P33" s="887">
        <v>2236</v>
      </c>
      <c r="Q33" s="547">
        <f>SUM(I33:P33)</f>
        <v>11180</v>
      </c>
      <c r="R33" s="1548"/>
      <c r="S33" s="544"/>
      <c r="T33" s="546"/>
      <c r="U33" s="546"/>
      <c r="V33" s="546"/>
      <c r="W33" s="546"/>
      <c r="X33" s="546"/>
      <c r="Y33" s="546">
        <v>8944</v>
      </c>
      <c r="Z33" s="887">
        <v>2236</v>
      </c>
      <c r="AA33" s="887">
        <f>SUM(S33:Z33)</f>
        <v>11180</v>
      </c>
      <c r="AB33" s="1555"/>
    </row>
    <row r="34" spans="1:28" ht="36" customHeight="1" x14ac:dyDescent="0.3">
      <c r="A34" s="431">
        <v>25</v>
      </c>
      <c r="B34" s="241"/>
      <c r="C34" s="447">
        <v>2</v>
      </c>
      <c r="D34" s="549" t="s">
        <v>641</v>
      </c>
      <c r="E34" s="439" t="s">
        <v>475</v>
      </c>
      <c r="F34" s="897"/>
      <c r="G34" s="544">
        <f>+AA34-Q34-H34</f>
        <v>0</v>
      </c>
      <c r="H34" s="441">
        <v>5582</v>
      </c>
      <c r="I34" s="442"/>
      <c r="J34" s="442"/>
      <c r="K34" s="442"/>
      <c r="L34" s="442"/>
      <c r="M34" s="442"/>
      <c r="N34" s="442">
        <v>25000</v>
      </c>
      <c r="O34" s="442"/>
      <c r="P34" s="885"/>
      <c r="Q34" s="547">
        <f>SUM(I34:P34)</f>
        <v>25000</v>
      </c>
      <c r="R34" s="1548"/>
      <c r="S34" s="440"/>
      <c r="T34" s="442"/>
      <c r="U34" s="442"/>
      <c r="V34" s="442"/>
      <c r="W34" s="442"/>
      <c r="X34" s="442"/>
      <c r="Y34" s="442">
        <v>30582</v>
      </c>
      <c r="Z34" s="885"/>
      <c r="AA34" s="887">
        <f>SUM(S34:Z34)</f>
        <v>30582</v>
      </c>
      <c r="AB34" s="1555"/>
    </row>
    <row r="35" spans="1:28" s="133" customFormat="1" ht="33" customHeight="1" x14ac:dyDescent="0.35">
      <c r="A35" s="431">
        <v>26</v>
      </c>
      <c r="B35" s="899">
        <v>14</v>
      </c>
      <c r="C35" s="898" t="s">
        <v>340</v>
      </c>
      <c r="D35" s="900"/>
      <c r="E35" s="439"/>
      <c r="F35" s="901"/>
      <c r="G35" s="902"/>
      <c r="H35" s="883"/>
      <c r="I35" s="903"/>
      <c r="J35" s="903"/>
      <c r="K35" s="903"/>
      <c r="L35" s="903"/>
      <c r="M35" s="903"/>
      <c r="N35" s="903"/>
      <c r="O35" s="903"/>
      <c r="P35" s="904"/>
      <c r="Q35" s="443"/>
      <c r="R35" s="1546"/>
      <c r="S35" s="902"/>
      <c r="T35" s="447"/>
      <c r="U35" s="447"/>
      <c r="V35" s="447"/>
      <c r="W35" s="447"/>
      <c r="X35" s="447"/>
      <c r="Y35" s="447"/>
      <c r="Z35" s="905"/>
      <c r="AA35" s="885"/>
      <c r="AB35" s="1556"/>
    </row>
    <row r="36" spans="1:28" ht="33" customHeight="1" x14ac:dyDescent="0.3">
      <c r="A36" s="431">
        <v>27</v>
      </c>
      <c r="B36" s="541"/>
      <c r="C36" s="444">
        <v>2</v>
      </c>
      <c r="D36" s="438" t="s">
        <v>461</v>
      </c>
      <c r="E36" s="542" t="s">
        <v>476</v>
      </c>
      <c r="F36" s="543"/>
      <c r="G36" s="544">
        <f>+AA36-Q36-H36</f>
        <v>142</v>
      </c>
      <c r="H36" s="545"/>
      <c r="I36" s="546"/>
      <c r="J36" s="546"/>
      <c r="K36" s="546"/>
      <c r="L36" s="546"/>
      <c r="M36" s="546">
        <v>2602</v>
      </c>
      <c r="N36" s="546"/>
      <c r="O36" s="546">
        <v>4099</v>
      </c>
      <c r="P36" s="887"/>
      <c r="Q36" s="443">
        <f t="shared" si="1"/>
        <v>6701</v>
      </c>
      <c r="R36" s="1548">
        <v>2874</v>
      </c>
      <c r="S36" s="544"/>
      <c r="T36" s="546"/>
      <c r="U36" s="546"/>
      <c r="V36" s="546"/>
      <c r="W36" s="546"/>
      <c r="X36" s="546">
        <v>3561</v>
      </c>
      <c r="Y36" s="546">
        <v>3282</v>
      </c>
      <c r="Z36" s="887"/>
      <c r="AA36" s="885">
        <f t="shared" si="2"/>
        <v>6843</v>
      </c>
      <c r="AB36" s="1555">
        <v>1715</v>
      </c>
    </row>
    <row r="37" spans="1:28" ht="56.25" customHeight="1" thickBot="1" x14ac:dyDescent="0.35">
      <c r="A37" s="431">
        <v>28</v>
      </c>
      <c r="B37" s="541"/>
      <c r="C37" s="444">
        <v>3</v>
      </c>
      <c r="D37" s="438" t="s">
        <v>645</v>
      </c>
      <c r="E37" s="542" t="s">
        <v>476</v>
      </c>
      <c r="F37" s="543"/>
      <c r="G37" s="544">
        <f>+AA37-Q37-H37</f>
        <v>2564</v>
      </c>
      <c r="H37" s="545">
        <v>1312</v>
      </c>
      <c r="I37" s="546"/>
      <c r="J37" s="546"/>
      <c r="K37" s="546"/>
      <c r="L37" s="546"/>
      <c r="M37" s="546"/>
      <c r="N37" s="546">
        <v>15000</v>
      </c>
      <c r="O37" s="546"/>
      <c r="P37" s="887"/>
      <c r="Q37" s="443">
        <f t="shared" si="1"/>
        <v>15000</v>
      </c>
      <c r="R37" s="1548"/>
      <c r="S37" s="544"/>
      <c r="T37" s="546"/>
      <c r="U37" s="546"/>
      <c r="V37" s="546"/>
      <c r="W37" s="546"/>
      <c r="X37" s="546">
        <v>12715</v>
      </c>
      <c r="Y37" s="546">
        <v>6161</v>
      </c>
      <c r="Z37" s="887"/>
      <c r="AA37" s="885">
        <f t="shared" si="2"/>
        <v>18876</v>
      </c>
      <c r="AB37" s="1555">
        <v>2662</v>
      </c>
    </row>
    <row r="38" spans="1:28" ht="33" customHeight="1" thickBot="1" x14ac:dyDescent="0.35">
      <c r="A38" s="431">
        <v>29</v>
      </c>
      <c r="B38" s="1835" t="s">
        <v>110</v>
      </c>
      <c r="C38" s="1836"/>
      <c r="D38" s="1836"/>
      <c r="E38" s="1836"/>
      <c r="F38" s="134"/>
      <c r="G38" s="450">
        <f t="shared" ref="G38:AB38" si="3">SUM(G11:G37)</f>
        <v>1397511</v>
      </c>
      <c r="H38" s="451">
        <f t="shared" si="3"/>
        <v>284840</v>
      </c>
      <c r="I38" s="451">
        <f t="shared" si="3"/>
        <v>0</v>
      </c>
      <c r="J38" s="451">
        <f t="shared" si="3"/>
        <v>0</v>
      </c>
      <c r="K38" s="451">
        <f t="shared" si="3"/>
        <v>2694306</v>
      </c>
      <c r="L38" s="451">
        <f t="shared" si="3"/>
        <v>780868</v>
      </c>
      <c r="M38" s="451">
        <f t="shared" si="3"/>
        <v>916322</v>
      </c>
      <c r="N38" s="451">
        <f t="shared" si="3"/>
        <v>3802258</v>
      </c>
      <c r="O38" s="451">
        <f t="shared" si="3"/>
        <v>1912301</v>
      </c>
      <c r="P38" s="451">
        <f t="shared" si="3"/>
        <v>22058</v>
      </c>
      <c r="Q38" s="1549">
        <f t="shared" si="3"/>
        <v>10128113</v>
      </c>
      <c r="R38" s="1550">
        <f t="shared" si="3"/>
        <v>932598</v>
      </c>
      <c r="S38" s="450">
        <f t="shared" si="3"/>
        <v>40063</v>
      </c>
      <c r="T38" s="451">
        <f t="shared" si="3"/>
        <v>83854</v>
      </c>
      <c r="U38" s="451">
        <f t="shared" si="3"/>
        <v>382844</v>
      </c>
      <c r="V38" s="451">
        <f t="shared" si="3"/>
        <v>1326022</v>
      </c>
      <c r="W38" s="451">
        <f t="shared" si="3"/>
        <v>1278969</v>
      </c>
      <c r="X38" s="451">
        <f t="shared" si="3"/>
        <v>1183341</v>
      </c>
      <c r="Y38" s="451">
        <f t="shared" si="3"/>
        <v>6465873</v>
      </c>
      <c r="Z38" s="451">
        <f t="shared" si="3"/>
        <v>1049498</v>
      </c>
      <c r="AA38" s="1549">
        <f t="shared" si="3"/>
        <v>11810464</v>
      </c>
      <c r="AB38" s="1552">
        <f t="shared" si="3"/>
        <v>704250</v>
      </c>
    </row>
    <row r="39" spans="1:28" ht="24.75" customHeight="1" x14ac:dyDescent="0.3">
      <c r="B39" s="1834" t="s">
        <v>454</v>
      </c>
      <c r="C39" s="1834"/>
      <c r="D39" s="1834"/>
      <c r="E39" s="1834"/>
      <c r="F39" s="1834"/>
      <c r="G39" s="1834"/>
      <c r="H39" s="1834"/>
      <c r="I39" s="1834"/>
      <c r="J39" s="1834"/>
      <c r="K39" s="1834"/>
      <c r="L39" s="1834"/>
      <c r="M39" s="1834"/>
      <c r="N39" s="1834"/>
      <c r="O39" s="1834"/>
      <c r="P39" s="1834"/>
      <c r="Q39" s="1834"/>
      <c r="R39" s="1834"/>
      <c r="S39" s="1834"/>
      <c r="T39" s="1834"/>
      <c r="U39" s="1834"/>
      <c r="V39" s="1834"/>
      <c r="W39" s="1834"/>
      <c r="X39" s="1834"/>
      <c r="Y39" s="1834"/>
      <c r="Z39" s="1834"/>
      <c r="AA39" s="1834"/>
    </row>
    <row r="40" spans="1:28" ht="24.75" customHeight="1" x14ac:dyDescent="0.3">
      <c r="B40" s="1834" t="s">
        <v>477</v>
      </c>
      <c r="C40" s="1834"/>
      <c r="D40" s="1834"/>
      <c r="E40" s="1834"/>
      <c r="F40" s="1834"/>
      <c r="G40" s="1834"/>
      <c r="H40" s="1834"/>
      <c r="I40" s="1834"/>
      <c r="J40" s="1834"/>
      <c r="K40" s="1834"/>
      <c r="L40" s="1834"/>
      <c r="M40" s="1834"/>
      <c r="N40" s="1834"/>
      <c r="O40" s="1834"/>
      <c r="P40" s="1834"/>
      <c r="Q40" s="1834"/>
      <c r="R40" s="1834"/>
      <c r="S40" s="1834"/>
      <c r="T40" s="1834"/>
      <c r="U40" s="1834"/>
      <c r="V40" s="1834"/>
      <c r="W40" s="1834"/>
      <c r="X40" s="1834"/>
      <c r="Y40" s="1834"/>
      <c r="Z40" s="1834"/>
      <c r="AA40" s="1834"/>
    </row>
    <row r="41" spans="1:28" s="380" customFormat="1" ht="24.95" customHeight="1" x14ac:dyDescent="0.3">
      <c r="B41" s="131"/>
      <c r="C41" s="131"/>
      <c r="D41" s="528"/>
      <c r="E41" s="132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</row>
    <row r="42" spans="1:28" s="380" customFormat="1" ht="24.95" customHeight="1" x14ac:dyDescent="0.3">
      <c r="B42" s="131"/>
      <c r="C42" s="131"/>
      <c r="D42" s="528"/>
      <c r="E42" s="132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</row>
    <row r="43" spans="1:28" s="380" customFormat="1" ht="24.95" customHeight="1" x14ac:dyDescent="0.3">
      <c r="B43" s="131"/>
      <c r="C43" s="131"/>
      <c r="D43" s="528"/>
      <c r="E43" s="132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</row>
    <row r="44" spans="1:28" s="380" customFormat="1" ht="24.95" customHeight="1" x14ac:dyDescent="0.3">
      <c r="B44" s="131"/>
      <c r="C44" s="131"/>
      <c r="D44" s="528"/>
      <c r="E44" s="132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</row>
    <row r="45" spans="1:28" s="380" customFormat="1" ht="24.95" customHeight="1" x14ac:dyDescent="0.3">
      <c r="B45" s="131"/>
      <c r="C45" s="131"/>
      <c r="D45" s="528"/>
      <c r="E45" s="132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</row>
    <row r="46" spans="1:28" s="380" customFormat="1" ht="24.95" customHeight="1" x14ac:dyDescent="0.3">
      <c r="B46" s="131"/>
      <c r="C46" s="131"/>
      <c r="D46" s="528"/>
      <c r="E46" s="132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</row>
  </sheetData>
  <mergeCells count="21">
    <mergeCell ref="AB7:AB9"/>
    <mergeCell ref="B3:AA3"/>
    <mergeCell ref="B4:AA4"/>
    <mergeCell ref="Z7:Z8"/>
    <mergeCell ref="R7:R9"/>
    <mergeCell ref="I8:P8"/>
    <mergeCell ref="B39:AA39"/>
    <mergeCell ref="B40:AA40"/>
    <mergeCell ref="B38:E38"/>
    <mergeCell ref="B1:W1"/>
    <mergeCell ref="AA7:AA9"/>
    <mergeCell ref="G8:G9"/>
    <mergeCell ref="H8:H9"/>
    <mergeCell ref="Q8:Q9"/>
    <mergeCell ref="B7:B9"/>
    <mergeCell ref="C7:C9"/>
    <mergeCell ref="D7:D9"/>
    <mergeCell ref="E7:E9"/>
    <mergeCell ref="G7:Q7"/>
    <mergeCell ref="S7:Y8"/>
    <mergeCell ref="B2:AA2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37" fitToHeight="0" orientation="landscape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4"/>
  <sheetViews>
    <sheetView view="pageBreakPreview" topLeftCell="A30" zoomScaleNormal="100" zoomScaleSheetLayoutView="100" workbookViewId="0">
      <selection activeCell="N14" sqref="N14"/>
    </sheetView>
  </sheetViews>
  <sheetFormatPr defaultRowHeight="17.25" x14ac:dyDescent="0.35"/>
  <cols>
    <col min="1" max="1" width="3.7109375" style="313" customWidth="1"/>
    <col min="2" max="2" width="5.7109375" style="55" customWidth="1"/>
    <col min="3" max="5" width="5.7109375" style="33" customWidth="1"/>
    <col min="6" max="6" width="59.7109375" style="23" customWidth="1"/>
    <col min="7" max="9" width="13.7109375" style="23" customWidth="1"/>
    <col min="10" max="10" width="15.7109375" style="23" customWidth="1"/>
    <col min="11" max="11" width="14.7109375" style="23" customWidth="1"/>
    <col min="12" max="12" width="14.7109375" style="41" customWidth="1"/>
    <col min="13" max="16384" width="9.140625" style="23"/>
  </cols>
  <sheetData>
    <row r="1" spans="1:12" x14ac:dyDescent="0.35">
      <c r="B1" s="1585" t="s">
        <v>878</v>
      </c>
      <c r="C1" s="1585"/>
      <c r="D1" s="1585"/>
      <c r="E1" s="1585"/>
      <c r="F1" s="1585"/>
      <c r="G1" s="62"/>
      <c r="H1" s="62"/>
      <c r="I1" s="62"/>
      <c r="J1" s="136"/>
    </row>
    <row r="2" spans="1:12" s="25" customFormat="1" ht="24.95" customHeight="1" x14ac:dyDescent="0.2">
      <c r="A2" s="313"/>
      <c r="B2" s="1587" t="s">
        <v>146</v>
      </c>
      <c r="C2" s="1587"/>
      <c r="D2" s="1587"/>
      <c r="E2" s="1587"/>
      <c r="F2" s="1587"/>
      <c r="G2" s="1587"/>
      <c r="H2" s="1587"/>
      <c r="I2" s="1587"/>
      <c r="J2" s="1587"/>
      <c r="K2" s="1587"/>
      <c r="L2" s="1587"/>
    </row>
    <row r="3" spans="1:12" s="25" customFormat="1" ht="24.95" customHeight="1" x14ac:dyDescent="0.2">
      <c r="A3" s="313"/>
      <c r="B3" s="1587" t="s">
        <v>867</v>
      </c>
      <c r="C3" s="1587"/>
      <c r="D3" s="1587"/>
      <c r="E3" s="1587"/>
      <c r="F3" s="1587"/>
      <c r="G3" s="1587"/>
      <c r="H3" s="1587"/>
      <c r="I3" s="1587"/>
      <c r="J3" s="1587"/>
      <c r="K3" s="1587"/>
      <c r="L3" s="1587"/>
    </row>
    <row r="4" spans="1:12" x14ac:dyDescent="0.35">
      <c r="C4" s="38"/>
      <c r="E4" s="38"/>
      <c r="F4" s="38"/>
      <c r="G4" s="38"/>
      <c r="H4" s="24"/>
      <c r="L4" s="169" t="s">
        <v>0</v>
      </c>
    </row>
    <row r="5" spans="1:12" s="33" customFormat="1" thickBot="1" x14ac:dyDescent="0.35">
      <c r="A5" s="313"/>
      <c r="B5" s="55" t="s">
        <v>1</v>
      </c>
      <c r="C5" s="33" t="s">
        <v>3</v>
      </c>
      <c r="D5" s="33" t="s">
        <v>2</v>
      </c>
      <c r="E5" s="33" t="s">
        <v>4</v>
      </c>
      <c r="F5" s="33" t="s">
        <v>5</v>
      </c>
      <c r="G5" s="33" t="s">
        <v>15</v>
      </c>
      <c r="H5" s="33" t="s">
        <v>16</v>
      </c>
      <c r="I5" s="170" t="s">
        <v>17</v>
      </c>
      <c r="J5" s="170" t="s">
        <v>34</v>
      </c>
      <c r="K5" s="33" t="s">
        <v>30</v>
      </c>
      <c r="L5" s="33" t="s">
        <v>23</v>
      </c>
    </row>
    <row r="6" spans="1:12" s="26" customFormat="1" ht="80.099999999999994" customHeight="1" thickBot="1" x14ac:dyDescent="0.25">
      <c r="A6" s="313"/>
      <c r="B6" s="171" t="s">
        <v>178</v>
      </c>
      <c r="C6" s="172" t="s">
        <v>19</v>
      </c>
      <c r="D6" s="158" t="s">
        <v>387</v>
      </c>
      <c r="E6" s="158" t="s">
        <v>389</v>
      </c>
      <c r="F6" s="173" t="s">
        <v>6</v>
      </c>
      <c r="G6" s="138" t="s">
        <v>516</v>
      </c>
      <c r="H6" s="138" t="s">
        <v>504</v>
      </c>
      <c r="I6" s="1340" t="s">
        <v>707</v>
      </c>
      <c r="J6" s="1014" t="s">
        <v>854</v>
      </c>
      <c r="K6" s="1043" t="s">
        <v>795</v>
      </c>
      <c r="L6" s="1463" t="s">
        <v>865</v>
      </c>
    </row>
    <row r="7" spans="1:12" s="31" customFormat="1" ht="30" customHeight="1" x14ac:dyDescent="0.35">
      <c r="A7" s="313">
        <v>1</v>
      </c>
      <c r="B7" s="154" t="s">
        <v>346</v>
      </c>
      <c r="C7" s="27"/>
      <c r="D7" s="28"/>
      <c r="E7" s="27"/>
      <c r="F7" s="29" t="s">
        <v>179</v>
      </c>
      <c r="G7" s="30">
        <f>SUM(G8:G9)</f>
        <v>7660387</v>
      </c>
      <c r="H7" s="30">
        <f>SUM(H8:H9)</f>
        <v>8835002</v>
      </c>
      <c r="I7" s="30">
        <f>SUM(I8:I9)</f>
        <v>8217491</v>
      </c>
      <c r="J7" s="1033">
        <f>SUM(J8:J9)</f>
        <v>9930973</v>
      </c>
      <c r="K7" s="30">
        <f t="shared" ref="K7:L7" si="0">SUM(K8:K9)</f>
        <v>11531480</v>
      </c>
      <c r="L7" s="1464">
        <f t="shared" si="0"/>
        <v>4835411</v>
      </c>
    </row>
    <row r="8" spans="1:12" ht="26.1" customHeight="1" x14ac:dyDescent="0.35">
      <c r="A8" s="313">
        <v>2</v>
      </c>
      <c r="B8" s="32"/>
      <c r="D8" s="33">
        <v>1</v>
      </c>
      <c r="F8" s="23" t="s">
        <v>37</v>
      </c>
      <c r="G8" s="23">
        <v>7486012</v>
      </c>
      <c r="H8" s="23">
        <v>8688793</v>
      </c>
      <c r="I8" s="23">
        <v>7912514</v>
      </c>
      <c r="J8" s="1034">
        <f>'4.Inki'!K247+'4.Inki'!L247+'4.Inki'!M247+'4.Inki'!N247+'4.Inki'!O247</f>
        <v>9729576</v>
      </c>
      <c r="K8" s="23">
        <v>11032052</v>
      </c>
      <c r="L8" s="1039">
        <f>'4.Inki'!K249+'4.Inki'!L249+'4.Inki'!M249+'4.Inki'!N249+'4.Inki'!O249</f>
        <v>4707474</v>
      </c>
    </row>
    <row r="9" spans="1:12" ht="25.5" customHeight="1" x14ac:dyDescent="0.35">
      <c r="A9" s="313">
        <v>3</v>
      </c>
      <c r="B9" s="32"/>
      <c r="D9" s="33">
        <v>2</v>
      </c>
      <c r="F9" s="23" t="s">
        <v>138</v>
      </c>
      <c r="G9" s="23">
        <f>SUM(G10:G12)</f>
        <v>174375</v>
      </c>
      <c r="H9" s="23">
        <f>SUM(H10:H12)</f>
        <v>146209</v>
      </c>
      <c r="I9" s="23">
        <f>SUM(I10:I12)</f>
        <v>304977</v>
      </c>
      <c r="J9" s="1034">
        <f>SUM(J10:J12)</f>
        <v>201397</v>
      </c>
      <c r="K9" s="23">
        <f t="shared" ref="K9:L9" si="1">SUM(K10:K12)</f>
        <v>499428</v>
      </c>
      <c r="L9" s="1039">
        <f t="shared" si="1"/>
        <v>127937</v>
      </c>
    </row>
    <row r="10" spans="1:12" x14ac:dyDescent="0.35">
      <c r="A10" s="313">
        <v>4</v>
      </c>
      <c r="B10" s="32"/>
      <c r="E10" s="33">
        <v>7</v>
      </c>
      <c r="F10" s="34" t="s">
        <v>202</v>
      </c>
      <c r="G10" s="23">
        <v>171260</v>
      </c>
      <c r="H10" s="23">
        <v>146209</v>
      </c>
      <c r="I10" s="23">
        <v>302687</v>
      </c>
      <c r="J10" s="1034">
        <f>'4.Inki'!P247</f>
        <v>201397</v>
      </c>
      <c r="K10" s="23">
        <v>499428</v>
      </c>
      <c r="L10" s="1039">
        <f>'4.Inki'!P249</f>
        <v>127937</v>
      </c>
    </row>
    <row r="11" spans="1:12" x14ac:dyDescent="0.35">
      <c r="A11" s="313">
        <v>5</v>
      </c>
      <c r="B11" s="32"/>
      <c r="E11" s="33">
        <v>8</v>
      </c>
      <c r="F11" s="34" t="s">
        <v>139</v>
      </c>
      <c r="I11" s="23">
        <v>2290</v>
      </c>
      <c r="J11" s="1034"/>
      <c r="L11" s="1039"/>
    </row>
    <row r="12" spans="1:12" x14ac:dyDescent="0.35">
      <c r="A12" s="313">
        <v>6</v>
      </c>
      <c r="B12" s="32"/>
      <c r="E12" s="33">
        <v>9</v>
      </c>
      <c r="F12" s="34" t="s">
        <v>203</v>
      </c>
      <c r="G12" s="23">
        <v>3115</v>
      </c>
      <c r="J12" s="1034"/>
      <c r="L12" s="1039"/>
    </row>
    <row r="13" spans="1:12" s="31" customFormat="1" ht="30" customHeight="1" x14ac:dyDescent="0.35">
      <c r="A13" s="313">
        <v>7</v>
      </c>
      <c r="B13" s="155" t="s">
        <v>347</v>
      </c>
      <c r="C13" s="35"/>
      <c r="D13" s="36"/>
      <c r="E13" s="36"/>
      <c r="F13" s="37" t="s">
        <v>109</v>
      </c>
      <c r="G13" s="37">
        <f>SUM(G14:G15,G26,G27)</f>
        <v>14306769</v>
      </c>
      <c r="H13" s="37">
        <f>SUM(H14:H15,H26,H27)</f>
        <v>37267991</v>
      </c>
      <c r="I13" s="37">
        <f>SUM(I14:I15,I26,I27)</f>
        <v>22019954</v>
      </c>
      <c r="J13" s="1035">
        <f>SUM(J14:J15,J26,J27)</f>
        <v>48660223</v>
      </c>
      <c r="K13" s="37">
        <f t="shared" ref="K13" si="2">SUM(K14:K15,K26,K27)</f>
        <v>50863421</v>
      </c>
      <c r="L13" s="1465">
        <f>SUM(L14:L15,L26,L27)</f>
        <v>13039232</v>
      </c>
    </row>
    <row r="14" spans="1:12" s="31" customFormat="1" ht="25.5" customHeight="1" x14ac:dyDescent="0.35">
      <c r="A14" s="313">
        <v>8</v>
      </c>
      <c r="B14" s="32"/>
      <c r="C14" s="38"/>
      <c r="D14" s="33">
        <v>1</v>
      </c>
      <c r="E14" s="38"/>
      <c r="F14" s="31" t="s">
        <v>37</v>
      </c>
      <c r="G14" s="31">
        <v>5608944</v>
      </c>
      <c r="H14" s="31">
        <v>6150481</v>
      </c>
      <c r="I14" s="31">
        <v>6077164</v>
      </c>
      <c r="J14" s="1036">
        <v>9141624</v>
      </c>
      <c r="K14" s="31">
        <v>10585962</v>
      </c>
      <c r="L14" s="1466">
        <f>'6.Önk.műk.'!I662+'7.Beruh.'!I222+'8.Felúj.'!I119+'9.Projekt'!I92+'9.Projekt'!J92+'9.Projekt'!K92+'9.Projekt'!L92+'10.MVP és hazai'!I65+'10.MVP és hazai'!J65+'10.MVP és hazai'!K65+'10.MVP és hazai'!L65+'11.EKF'!I292+'11.EKF'!J292+'11.EKF'!K292+'11.EKF'!L292</f>
        <v>4476095</v>
      </c>
    </row>
    <row r="15" spans="1:12" ht="25.5" customHeight="1" x14ac:dyDescent="0.35">
      <c r="A15" s="313">
        <v>9</v>
      </c>
      <c r="B15" s="32"/>
      <c r="C15" s="38"/>
      <c r="D15" s="38"/>
      <c r="E15" s="38"/>
      <c r="F15" s="31" t="s">
        <v>180</v>
      </c>
      <c r="G15" s="31">
        <f>SUM(G16,G22)</f>
        <v>0</v>
      </c>
      <c r="H15" s="31">
        <f>SUM(H16,H22)</f>
        <v>791669</v>
      </c>
      <c r="I15" s="31">
        <f>SUM(I16,I22)</f>
        <v>0</v>
      </c>
      <c r="J15" s="1036">
        <f>SUM(J16,J22)</f>
        <v>765905</v>
      </c>
      <c r="K15" s="31">
        <f t="shared" ref="K15:L15" si="3">SUM(K16,K22)</f>
        <v>1006758</v>
      </c>
      <c r="L15" s="1466">
        <f t="shared" si="3"/>
        <v>0</v>
      </c>
    </row>
    <row r="16" spans="1:12" s="41" customFormat="1" ht="25.5" customHeight="1" x14ac:dyDescent="0.35">
      <c r="A16" s="313">
        <v>10</v>
      </c>
      <c r="B16" s="156"/>
      <c r="C16" s="39"/>
      <c r="D16" s="33">
        <v>1</v>
      </c>
      <c r="E16" s="33">
        <v>6</v>
      </c>
      <c r="F16" s="40" t="s">
        <v>361</v>
      </c>
      <c r="G16" s="41">
        <f>SUM(G17:G20)</f>
        <v>0</v>
      </c>
      <c r="H16" s="41">
        <f>SUM(H17:H21)</f>
        <v>428014</v>
      </c>
      <c r="I16" s="41">
        <f>SUM(I17:I21)</f>
        <v>0</v>
      </c>
      <c r="J16" s="1037">
        <f>SUM(J17:J21)</f>
        <v>644089</v>
      </c>
      <c r="K16" s="41">
        <f>SUM(K17:K21)</f>
        <v>874942</v>
      </c>
      <c r="L16" s="1039">
        <f t="shared" ref="L16" si="4">SUM(L17:L21)</f>
        <v>0</v>
      </c>
    </row>
    <row r="17" spans="1:12" x14ac:dyDescent="0.35">
      <c r="A17" s="313">
        <v>11</v>
      </c>
      <c r="B17" s="32"/>
      <c r="F17" s="42" t="s">
        <v>498</v>
      </c>
      <c r="H17" s="23">
        <v>188014</v>
      </c>
      <c r="J17" s="1034">
        <v>110517</v>
      </c>
      <c r="K17" s="23">
        <v>91370</v>
      </c>
      <c r="L17" s="1039"/>
    </row>
    <row r="18" spans="1:12" x14ac:dyDescent="0.35">
      <c r="A18" s="313">
        <v>12</v>
      </c>
      <c r="B18" s="32"/>
      <c r="F18" s="42" t="s">
        <v>791</v>
      </c>
      <c r="J18" s="1034"/>
      <c r="K18" s="23">
        <v>0</v>
      </c>
      <c r="L18" s="1039"/>
    </row>
    <row r="19" spans="1:12" x14ac:dyDescent="0.35">
      <c r="A19" s="313">
        <v>13</v>
      </c>
      <c r="B19" s="32"/>
      <c r="F19" s="42" t="s">
        <v>370</v>
      </c>
      <c r="J19" s="1034"/>
      <c r="L19" s="1039"/>
    </row>
    <row r="20" spans="1:12" x14ac:dyDescent="0.35">
      <c r="A20" s="313">
        <v>14</v>
      </c>
      <c r="B20" s="32"/>
      <c r="F20" s="42" t="s">
        <v>686</v>
      </c>
      <c r="J20" s="1034">
        <v>483572</v>
      </c>
      <c r="K20" s="23">
        <v>483572</v>
      </c>
      <c r="L20" s="1039"/>
    </row>
    <row r="21" spans="1:12" x14ac:dyDescent="0.35">
      <c r="A21" s="313">
        <v>15</v>
      </c>
      <c r="B21" s="32"/>
      <c r="F21" s="42" t="s">
        <v>383</v>
      </c>
      <c r="H21" s="23">
        <v>240000</v>
      </c>
      <c r="J21" s="1034">
        <v>50000</v>
      </c>
      <c r="K21" s="23">
        <v>300000</v>
      </c>
      <c r="L21" s="1039"/>
    </row>
    <row r="22" spans="1:12" s="41" customFormat="1" ht="25.5" customHeight="1" x14ac:dyDescent="0.35">
      <c r="A22" s="313">
        <v>16</v>
      </c>
      <c r="B22" s="156"/>
      <c r="C22" s="39"/>
      <c r="D22" s="33">
        <v>2</v>
      </c>
      <c r="E22" s="33">
        <v>10</v>
      </c>
      <c r="F22" s="40" t="s">
        <v>362</v>
      </c>
      <c r="G22" s="41">
        <f>SUM(G23:G25)</f>
        <v>0</v>
      </c>
      <c r="H22" s="41">
        <f>SUM(H23:H25)</f>
        <v>363655</v>
      </c>
      <c r="I22" s="41">
        <f>SUM(I23:I25)</f>
        <v>0</v>
      </c>
      <c r="J22" s="1037">
        <f>SUM(J23:J25)</f>
        <v>121816</v>
      </c>
      <c r="K22" s="41">
        <f>SUM(K23:K25)</f>
        <v>131816</v>
      </c>
      <c r="L22" s="1039">
        <f t="shared" ref="L22" si="5">SUM(L23:L25)</f>
        <v>0</v>
      </c>
    </row>
    <row r="23" spans="1:12" x14ac:dyDescent="0.35">
      <c r="A23" s="313">
        <v>17</v>
      </c>
      <c r="B23" s="32"/>
      <c r="D23" s="39"/>
      <c r="F23" s="42" t="s">
        <v>627</v>
      </c>
      <c r="J23" s="1034"/>
      <c r="K23" s="23">
        <v>10000</v>
      </c>
      <c r="L23" s="1039"/>
    </row>
    <row r="24" spans="1:12" x14ac:dyDescent="0.35">
      <c r="A24" s="313">
        <v>18</v>
      </c>
      <c r="B24" s="32"/>
      <c r="D24" s="39"/>
      <c r="F24" s="243" t="s">
        <v>369</v>
      </c>
      <c r="H24" s="25">
        <v>64615</v>
      </c>
      <c r="I24" s="25"/>
      <c r="J24" s="1040">
        <v>5000</v>
      </c>
      <c r="K24" s="23">
        <v>5000</v>
      </c>
      <c r="L24" s="1039"/>
    </row>
    <row r="25" spans="1:12" x14ac:dyDescent="0.35">
      <c r="A25" s="313">
        <v>19</v>
      </c>
      <c r="B25" s="32"/>
      <c r="D25" s="39"/>
      <c r="F25" s="42" t="s">
        <v>338</v>
      </c>
      <c r="H25" s="23">
        <v>299040</v>
      </c>
      <c r="J25" s="1034">
        <v>116816</v>
      </c>
      <c r="K25" s="23">
        <v>116816</v>
      </c>
      <c r="L25" s="1039"/>
    </row>
    <row r="26" spans="1:12" s="25" customFormat="1" ht="25.5" customHeight="1" x14ac:dyDescent="0.2">
      <c r="A26" s="313">
        <v>20</v>
      </c>
      <c r="B26" s="157"/>
      <c r="C26" s="43"/>
      <c r="D26" s="43"/>
      <c r="E26" s="43"/>
      <c r="F26" s="44" t="s">
        <v>181</v>
      </c>
      <c r="G26" s="44"/>
      <c r="H26" s="44">
        <v>150000</v>
      </c>
      <c r="I26" s="44"/>
      <c r="J26" s="1041">
        <v>150000</v>
      </c>
      <c r="K26" s="25">
        <v>145030</v>
      </c>
      <c r="L26" s="1467"/>
    </row>
    <row r="27" spans="1:12" s="31" customFormat="1" ht="25.5" customHeight="1" x14ac:dyDescent="0.35">
      <c r="A27" s="313">
        <v>21</v>
      </c>
      <c r="B27" s="32"/>
      <c r="C27" s="38"/>
      <c r="D27" s="33">
        <v>2</v>
      </c>
      <c r="E27" s="38"/>
      <c r="F27" s="31" t="s">
        <v>138</v>
      </c>
      <c r="G27" s="31">
        <f>SUM(G28:G30)</f>
        <v>8697825</v>
      </c>
      <c r="H27" s="31">
        <f>SUM(H28:H30)</f>
        <v>30175841</v>
      </c>
      <c r="I27" s="31">
        <f>SUM(I28:I30)</f>
        <v>15942790</v>
      </c>
      <c r="J27" s="1036">
        <f>SUM(J28:J30)</f>
        <v>38602694</v>
      </c>
      <c r="K27" s="31">
        <f t="shared" ref="K27:L27" si="6">SUM(K28:K30)</f>
        <v>39125671</v>
      </c>
      <c r="L27" s="1466">
        <f t="shared" si="6"/>
        <v>8563137</v>
      </c>
    </row>
    <row r="28" spans="1:12" x14ac:dyDescent="0.35">
      <c r="A28" s="313">
        <v>22</v>
      </c>
      <c r="B28" s="32"/>
      <c r="C28" s="38"/>
      <c r="E28" s="33">
        <v>7</v>
      </c>
      <c r="F28" s="34" t="s">
        <v>202</v>
      </c>
      <c r="G28" s="23">
        <v>5639171</v>
      </c>
      <c r="H28" s="23">
        <v>30091595</v>
      </c>
      <c r="I28" s="23">
        <v>15610218</v>
      </c>
      <c r="J28" s="1034">
        <f>'7.Beruh.'!J220+'9.Projekt'!M90+'10.MVP és hazai'!M63+'11.EKF'!M290</f>
        <v>38112500</v>
      </c>
      <c r="K28" s="23">
        <v>38584031</v>
      </c>
      <c r="L28" s="1039">
        <f>'7.Beruh.'!J222+'9.Projekt'!M92+'10.MVP és hazai'!M65+'11.EKF'!M292</f>
        <v>8242285</v>
      </c>
    </row>
    <row r="29" spans="1:12" x14ac:dyDescent="0.35">
      <c r="A29" s="313">
        <v>23</v>
      </c>
      <c r="B29" s="32"/>
      <c r="C29" s="38"/>
      <c r="E29" s="33">
        <v>8</v>
      </c>
      <c r="F29" s="34" t="s">
        <v>139</v>
      </c>
      <c r="G29" s="23">
        <v>2927040</v>
      </c>
      <c r="H29" s="23">
        <v>60493</v>
      </c>
      <c r="I29" s="23">
        <v>320498</v>
      </c>
      <c r="J29" s="1034">
        <f>'7.Beruh.'!K220+'9.Projekt'!N90+'10.MVP és hazai'!N63+'11.EKF'!O290</f>
        <v>337493</v>
      </c>
      <c r="K29" s="23">
        <v>382439</v>
      </c>
      <c r="L29" s="1039">
        <f>'7.Beruh.'!K222+'9.Projekt'!N92+'10.MVP és hazai'!N65+'11.EKF'!O292</f>
        <v>293272</v>
      </c>
    </row>
    <row r="30" spans="1:12" x14ac:dyDescent="0.35">
      <c r="A30" s="313">
        <v>24</v>
      </c>
      <c r="B30" s="32"/>
      <c r="C30" s="38"/>
      <c r="E30" s="33">
        <v>9</v>
      </c>
      <c r="F30" s="34" t="s">
        <v>203</v>
      </c>
      <c r="G30" s="23">
        <v>131614</v>
      </c>
      <c r="H30" s="23">
        <v>23753</v>
      </c>
      <c r="I30" s="23">
        <v>12074</v>
      </c>
      <c r="J30" s="1034">
        <f>'8.Felúj.'!J117</f>
        <v>152701</v>
      </c>
      <c r="K30" s="23">
        <v>159201</v>
      </c>
      <c r="L30" s="1039">
        <f>'8.Felúj.'!J119+'11.EKF'!N292</f>
        <v>27580</v>
      </c>
    </row>
    <row r="31" spans="1:12" s="31" customFormat="1" ht="30" customHeight="1" x14ac:dyDescent="0.35">
      <c r="A31" s="313">
        <v>25</v>
      </c>
      <c r="B31" s="155" t="s">
        <v>347</v>
      </c>
      <c r="C31" s="35"/>
      <c r="D31" s="36"/>
      <c r="E31" s="35"/>
      <c r="F31" s="37" t="s">
        <v>182</v>
      </c>
      <c r="G31" s="37">
        <f>SUM(G32:G33)</f>
        <v>0</v>
      </c>
      <c r="H31" s="37">
        <f>SUM(H32:H33)</f>
        <v>0</v>
      </c>
      <c r="I31" s="37">
        <f>SUM(I32:I33)</f>
        <v>0</v>
      </c>
      <c r="J31" s="1035">
        <f>SUM(J32:J33)</f>
        <v>0</v>
      </c>
      <c r="K31" s="37">
        <f t="shared" ref="K31:L31" si="7">SUM(K32:K33)</f>
        <v>0</v>
      </c>
      <c r="L31" s="1465">
        <f t="shared" si="7"/>
        <v>0</v>
      </c>
    </row>
    <row r="32" spans="1:12" ht="24" customHeight="1" x14ac:dyDescent="0.35">
      <c r="A32" s="313">
        <v>26</v>
      </c>
      <c r="B32" s="32"/>
      <c r="D32" s="33">
        <v>1</v>
      </c>
      <c r="F32" s="45" t="s">
        <v>37</v>
      </c>
      <c r="J32" s="1034"/>
      <c r="L32" s="1039"/>
    </row>
    <row r="33" spans="1:12" ht="24" customHeight="1" thickBot="1" x14ac:dyDescent="0.4">
      <c r="A33" s="313">
        <v>27</v>
      </c>
      <c r="B33" s="32"/>
      <c r="D33" s="33">
        <v>2</v>
      </c>
      <c r="F33" s="306" t="s">
        <v>138</v>
      </c>
      <c r="J33" s="1034"/>
      <c r="L33" s="1039"/>
    </row>
    <row r="34" spans="1:12" s="44" customFormat="1" ht="39.950000000000003" customHeight="1" thickBot="1" x14ac:dyDescent="0.25">
      <c r="A34" s="313">
        <v>28</v>
      </c>
      <c r="B34" s="49"/>
      <c r="C34" s="50"/>
      <c r="D34" s="51"/>
      <c r="E34" s="50"/>
      <c r="F34" s="52" t="s">
        <v>183</v>
      </c>
      <c r="G34" s="52">
        <f>SUM(G7,G13,G31)</f>
        <v>21967156</v>
      </c>
      <c r="H34" s="52">
        <f>SUM(H7,H13,H31)</f>
        <v>46102993</v>
      </c>
      <c r="I34" s="52">
        <f>SUM(I7,I13,I31)</f>
        <v>30237445</v>
      </c>
      <c r="J34" s="1038">
        <f>SUM(J7,J13,J31)</f>
        <v>58591196</v>
      </c>
      <c r="K34" s="52">
        <f t="shared" ref="K34:L34" si="8">SUM(K7,K13,K31)</f>
        <v>62394901</v>
      </c>
      <c r="L34" s="1468">
        <f t="shared" si="8"/>
        <v>17874643</v>
      </c>
    </row>
    <row r="35" spans="1:12" ht="30" customHeight="1" x14ac:dyDescent="0.35">
      <c r="A35" s="313">
        <v>29</v>
      </c>
      <c r="B35" s="32" t="s">
        <v>347</v>
      </c>
      <c r="F35" s="31" t="s">
        <v>184</v>
      </c>
      <c r="G35" s="31">
        <f>SUM(G39:G40,G36:G37)</f>
        <v>367272</v>
      </c>
      <c r="H35" s="31">
        <f>SUM(H39:H40,H36:H37)</f>
        <v>319022</v>
      </c>
      <c r="I35" s="31">
        <f>SUM(I39:I40,I36:I37)</f>
        <v>354664</v>
      </c>
      <c r="J35" s="1036">
        <f>SUM(J39:J40,J36:J37)</f>
        <v>401930</v>
      </c>
      <c r="K35" s="31">
        <f t="shared" ref="K35:L35" si="9">SUM(K39:K40,K36:K37)</f>
        <v>461074</v>
      </c>
      <c r="L35" s="1466">
        <f t="shared" si="9"/>
        <v>357282</v>
      </c>
    </row>
    <row r="36" spans="1:12" x14ac:dyDescent="0.35">
      <c r="A36" s="313">
        <v>30</v>
      </c>
      <c r="B36" s="32"/>
      <c r="D36" s="33">
        <v>1</v>
      </c>
      <c r="F36" s="23" t="s">
        <v>185</v>
      </c>
      <c r="J36" s="1034"/>
      <c r="L36" s="1039"/>
    </row>
    <row r="37" spans="1:12" x14ac:dyDescent="0.35">
      <c r="A37" s="313">
        <v>31</v>
      </c>
      <c r="B37" s="32"/>
      <c r="E37" s="33">
        <v>11</v>
      </c>
      <c r="F37" s="23" t="s">
        <v>232</v>
      </c>
      <c r="G37" s="23">
        <v>258768</v>
      </c>
      <c r="H37" s="23">
        <v>180835</v>
      </c>
      <c r="I37" s="23">
        <v>216477</v>
      </c>
      <c r="J37" s="1034">
        <v>187380</v>
      </c>
      <c r="K37" s="23">
        <v>246524</v>
      </c>
      <c r="L37" s="1039">
        <v>246423</v>
      </c>
    </row>
    <row r="38" spans="1:12" x14ac:dyDescent="0.35">
      <c r="A38" s="313">
        <v>32</v>
      </c>
      <c r="B38" s="32"/>
      <c r="D38" s="33">
        <v>2</v>
      </c>
      <c r="F38" s="23" t="s">
        <v>186</v>
      </c>
      <c r="J38" s="1034"/>
      <c r="L38" s="1039"/>
    </row>
    <row r="39" spans="1:12" x14ac:dyDescent="0.35">
      <c r="A39" s="313">
        <v>33</v>
      </c>
      <c r="B39" s="32"/>
      <c r="E39" s="33">
        <v>12</v>
      </c>
      <c r="F39" s="53" t="s">
        <v>187</v>
      </c>
      <c r="G39" s="23">
        <v>108504</v>
      </c>
      <c r="H39" s="23">
        <v>138187</v>
      </c>
      <c r="I39" s="23">
        <v>138187</v>
      </c>
      <c r="J39" s="1034">
        <v>214550</v>
      </c>
      <c r="K39" s="23">
        <v>214550</v>
      </c>
      <c r="L39" s="1039">
        <v>110859</v>
      </c>
    </row>
    <row r="40" spans="1:12" s="48" customFormat="1" ht="18" customHeight="1" thickBot="1" x14ac:dyDescent="0.25">
      <c r="A40" s="313">
        <v>34</v>
      </c>
      <c r="B40" s="46"/>
      <c r="C40" s="47"/>
      <c r="D40" s="47"/>
      <c r="E40" s="47">
        <v>12</v>
      </c>
      <c r="F40" s="54" t="s">
        <v>188</v>
      </c>
      <c r="J40" s="1042"/>
      <c r="L40" s="1469"/>
    </row>
    <row r="41" spans="1:12" s="44" customFormat="1" ht="39.950000000000003" customHeight="1" thickBot="1" x14ac:dyDescent="0.25">
      <c r="A41" s="313">
        <v>35</v>
      </c>
      <c r="B41" s="49"/>
      <c r="C41" s="50"/>
      <c r="D41" s="51"/>
      <c r="E41" s="50"/>
      <c r="F41" s="52" t="s">
        <v>189</v>
      </c>
      <c r="G41" s="52">
        <f>SUM(G34:G35)</f>
        <v>22334428</v>
      </c>
      <c r="H41" s="52">
        <f>SUM(H34:H35)</f>
        <v>46422015</v>
      </c>
      <c r="I41" s="52">
        <f>SUM(I34:I35)</f>
        <v>30592109</v>
      </c>
      <c r="J41" s="1038">
        <f>SUM(J34:J35)</f>
        <v>58993126</v>
      </c>
      <c r="K41" s="52">
        <f t="shared" ref="K41:L41" si="10">SUM(K34:K35)</f>
        <v>62855975</v>
      </c>
      <c r="L41" s="1468">
        <f t="shared" si="10"/>
        <v>18231925</v>
      </c>
    </row>
    <row r="46" spans="1:12" x14ac:dyDescent="0.35">
      <c r="C46" s="38"/>
      <c r="E46" s="38"/>
      <c r="F46" s="31"/>
      <c r="G46" s="31"/>
      <c r="H46" s="31"/>
      <c r="I46" s="31"/>
    </row>
    <row r="57" spans="1:12" s="31" customFormat="1" x14ac:dyDescent="0.35">
      <c r="A57" s="315"/>
      <c r="B57" s="55"/>
      <c r="C57" s="38"/>
      <c r="D57" s="33"/>
      <c r="E57" s="38"/>
      <c r="L57" s="1337"/>
    </row>
    <row r="62" spans="1:12" s="31" customFormat="1" x14ac:dyDescent="0.35">
      <c r="A62" s="315"/>
      <c r="B62" s="55"/>
      <c r="C62" s="38"/>
      <c r="D62" s="33"/>
      <c r="E62" s="38"/>
      <c r="L62" s="1337"/>
    </row>
    <row r="64" spans="1:12" s="31" customFormat="1" x14ac:dyDescent="0.35">
      <c r="A64" s="315"/>
      <c r="B64" s="55"/>
      <c r="C64" s="38"/>
      <c r="D64" s="33"/>
      <c r="E64" s="38"/>
      <c r="L64" s="1337"/>
    </row>
  </sheetData>
  <mergeCells count="3">
    <mergeCell ref="B1:F1"/>
    <mergeCell ref="B2:L2"/>
    <mergeCell ref="B3:L3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54" fitToHeight="2" orientation="portrait" r:id="rId1"/>
  <headerFooter alignWithMargins="0">
    <oddFooter>&amp;C- 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46"/>
  <sheetViews>
    <sheetView view="pageBreakPreview" zoomScaleNormal="100" zoomScaleSheetLayoutView="100" workbookViewId="0">
      <selection activeCell="Q142" sqref="Q142"/>
    </sheetView>
  </sheetViews>
  <sheetFormatPr defaultColWidth="9.140625" defaultRowHeight="12.75" x14ac:dyDescent="0.2"/>
  <cols>
    <col min="1" max="1" width="3.7109375" style="724" customWidth="1"/>
    <col min="2" max="3" width="5.7109375" customWidth="1"/>
    <col min="4" max="4" width="4.7109375" customWidth="1"/>
    <col min="5" max="5" width="51.7109375" customWidth="1"/>
    <col min="6" max="8" width="10.5703125" customWidth="1"/>
    <col min="9" max="9" width="13.5703125" customWidth="1"/>
    <col min="10" max="10" width="10" customWidth="1"/>
    <col min="11" max="11" width="14" bestFit="1" customWidth="1"/>
    <col min="12" max="12" width="11.7109375" customWidth="1"/>
    <col min="13" max="13" width="12.42578125" bestFit="1" customWidth="1"/>
    <col min="14" max="14" width="14" customWidth="1"/>
    <col min="15" max="16" width="12.7109375" customWidth="1"/>
    <col min="17" max="17" width="10.7109375" customWidth="1"/>
    <col min="18" max="18" width="12.7109375" style="710" customWidth="1"/>
  </cols>
  <sheetData>
    <row r="1" spans="1:19" s="658" customFormat="1" ht="18" customHeight="1" x14ac:dyDescent="0.3">
      <c r="A1" s="656"/>
      <c r="B1" s="1585" t="s">
        <v>879</v>
      </c>
      <c r="C1" s="1585"/>
      <c r="D1" s="1585"/>
      <c r="E1" s="1585"/>
      <c r="F1" s="1585"/>
      <c r="G1" s="62"/>
      <c r="H1" s="62"/>
      <c r="I1" s="62"/>
      <c r="J1" s="136"/>
      <c r="K1" s="192"/>
      <c r="L1" s="192"/>
      <c r="M1" s="192"/>
      <c r="N1" s="192"/>
      <c r="O1" s="192"/>
      <c r="P1" s="192"/>
      <c r="Q1" s="192"/>
      <c r="R1" s="657"/>
      <c r="S1" s="192"/>
    </row>
    <row r="2" spans="1:19" s="658" customFormat="1" ht="24.75" customHeight="1" x14ac:dyDescent="0.2">
      <c r="A2" s="656"/>
      <c r="B2" s="1610" t="s">
        <v>117</v>
      </c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  <c r="N2" s="1610"/>
      <c r="O2" s="1610"/>
      <c r="P2" s="1610"/>
      <c r="Q2" s="1610"/>
      <c r="R2" s="1610"/>
      <c r="S2" s="192"/>
    </row>
    <row r="3" spans="1:19" s="658" customFormat="1" ht="24.75" customHeight="1" x14ac:dyDescent="0.2">
      <c r="A3" s="656"/>
      <c r="B3" s="1610" t="s">
        <v>870</v>
      </c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  <c r="N3" s="1610"/>
      <c r="O3" s="1610"/>
      <c r="P3" s="1610"/>
      <c r="Q3" s="1610"/>
      <c r="R3" s="1610"/>
      <c r="S3" s="192"/>
    </row>
    <row r="4" spans="1:19" ht="18" customHeight="1" x14ac:dyDescent="0.3">
      <c r="A4" s="656"/>
      <c r="B4" s="659"/>
      <c r="C4" s="128"/>
      <c r="D4" s="128"/>
      <c r="E4" s="128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1" t="s">
        <v>0</v>
      </c>
      <c r="S4" s="660"/>
    </row>
    <row r="5" spans="1:19" s="656" customFormat="1" ht="18" customHeight="1" thickBot="1" x14ac:dyDescent="0.25">
      <c r="B5" s="656" t="s">
        <v>1</v>
      </c>
      <c r="C5" s="656" t="s">
        <v>3</v>
      </c>
      <c r="D5" s="1611" t="s">
        <v>2</v>
      </c>
      <c r="E5" s="1611"/>
      <c r="F5" s="656" t="s">
        <v>4</v>
      </c>
      <c r="G5" s="656" t="s">
        <v>5</v>
      </c>
      <c r="H5" s="656" t="s">
        <v>15</v>
      </c>
      <c r="I5" s="656" t="s">
        <v>16</v>
      </c>
      <c r="J5" s="656" t="s">
        <v>17</v>
      </c>
      <c r="K5" s="656" t="s">
        <v>34</v>
      </c>
      <c r="L5" s="656" t="s">
        <v>30</v>
      </c>
      <c r="M5" s="656" t="s">
        <v>23</v>
      </c>
      <c r="N5" s="656" t="s">
        <v>35</v>
      </c>
      <c r="O5" s="656" t="s">
        <v>36</v>
      </c>
      <c r="P5" s="656" t="s">
        <v>135</v>
      </c>
      <c r="Q5" s="656" t="s">
        <v>136</v>
      </c>
      <c r="R5" s="656" t="s">
        <v>137</v>
      </c>
    </row>
    <row r="6" spans="1:19" s="659" customFormat="1" ht="30" customHeight="1" x14ac:dyDescent="0.2">
      <c r="A6" s="656"/>
      <c r="B6" s="1612" t="s">
        <v>18</v>
      </c>
      <c r="C6" s="1614" t="s">
        <v>19</v>
      </c>
      <c r="D6" s="1616" t="s">
        <v>6</v>
      </c>
      <c r="E6" s="1617"/>
      <c r="F6" s="1620" t="s">
        <v>471</v>
      </c>
      <c r="G6" s="1620" t="s">
        <v>504</v>
      </c>
      <c r="H6" s="1622" t="s">
        <v>707</v>
      </c>
      <c r="I6" s="1603" t="s">
        <v>637</v>
      </c>
      <c r="J6" s="1605" t="s">
        <v>118</v>
      </c>
      <c r="K6" s="1605"/>
      <c r="L6" s="1605"/>
      <c r="M6" s="1606" t="s">
        <v>119</v>
      </c>
      <c r="N6" s="1606"/>
      <c r="O6" s="1606"/>
      <c r="P6" s="1606" t="s">
        <v>230</v>
      </c>
      <c r="Q6" s="1606" t="s">
        <v>120</v>
      </c>
      <c r="R6" s="1606"/>
    </row>
    <row r="7" spans="1:19" ht="60.75" thickBot="1" x14ac:dyDescent="0.25">
      <c r="A7" s="656"/>
      <c r="B7" s="1613"/>
      <c r="C7" s="1615"/>
      <c r="D7" s="1618"/>
      <c r="E7" s="1619"/>
      <c r="F7" s="1621"/>
      <c r="G7" s="1621"/>
      <c r="H7" s="1623"/>
      <c r="I7" s="1604"/>
      <c r="J7" s="1513" t="s">
        <v>121</v>
      </c>
      <c r="K7" s="1513" t="s">
        <v>122</v>
      </c>
      <c r="L7" s="1513" t="s">
        <v>123</v>
      </c>
      <c r="M7" s="1513" t="s">
        <v>124</v>
      </c>
      <c r="N7" s="1513" t="s">
        <v>125</v>
      </c>
      <c r="O7" s="1513" t="s">
        <v>126</v>
      </c>
      <c r="P7" s="1624"/>
      <c r="Q7" s="1513" t="s">
        <v>110</v>
      </c>
      <c r="R7" s="662" t="s">
        <v>291</v>
      </c>
      <c r="S7" s="660"/>
    </row>
    <row r="8" spans="1:19" s="128" customFormat="1" ht="22.5" customHeight="1" x14ac:dyDescent="0.3">
      <c r="A8" s="656">
        <v>1</v>
      </c>
      <c r="B8" s="663">
        <v>1</v>
      </c>
      <c r="C8" s="664"/>
      <c r="D8" s="665" t="s">
        <v>271</v>
      </c>
      <c r="E8" s="666"/>
      <c r="F8" s="667">
        <v>219560</v>
      </c>
      <c r="G8" s="667">
        <v>228773</v>
      </c>
      <c r="H8" s="1341">
        <v>242863</v>
      </c>
      <c r="I8" s="668"/>
      <c r="J8" s="667"/>
      <c r="K8" s="667"/>
      <c r="L8" s="667"/>
      <c r="M8" s="667"/>
      <c r="N8" s="667"/>
      <c r="O8" s="667"/>
      <c r="P8" s="667"/>
      <c r="Q8" s="667"/>
      <c r="R8" s="939"/>
    </row>
    <row r="9" spans="1:19" s="128" customFormat="1" ht="18" customHeight="1" x14ac:dyDescent="0.3">
      <c r="A9" s="656">
        <v>2</v>
      </c>
      <c r="B9" s="669"/>
      <c r="C9" s="670"/>
      <c r="D9" s="671" t="s">
        <v>276</v>
      </c>
      <c r="E9" s="1516"/>
      <c r="F9" s="672"/>
      <c r="G9" s="672"/>
      <c r="H9" s="1342"/>
      <c r="I9" s="673"/>
      <c r="J9" s="672"/>
      <c r="K9" s="672"/>
      <c r="L9" s="672"/>
      <c r="M9" s="672"/>
      <c r="N9" s="672"/>
      <c r="O9" s="672"/>
      <c r="P9" s="672"/>
      <c r="Q9" s="672"/>
      <c r="R9" s="831"/>
    </row>
    <row r="10" spans="1:19" s="681" customFormat="1" ht="18" customHeight="1" x14ac:dyDescent="0.3">
      <c r="A10" s="656">
        <v>3</v>
      </c>
      <c r="B10" s="675"/>
      <c r="C10" s="676"/>
      <c r="D10" s="677"/>
      <c r="E10" s="739" t="s">
        <v>268</v>
      </c>
      <c r="F10" s="678"/>
      <c r="G10" s="678"/>
      <c r="H10" s="1343"/>
      <c r="I10" s="679">
        <f>SUM(J10:Q10)</f>
        <v>242748</v>
      </c>
      <c r="J10" s="678">
        <v>4865</v>
      </c>
      <c r="K10" s="678"/>
      <c r="L10" s="678"/>
      <c r="M10" s="678"/>
      <c r="N10" s="678"/>
      <c r="O10" s="678"/>
      <c r="P10" s="678">
        <v>8670</v>
      </c>
      <c r="Q10" s="678">
        <v>229213</v>
      </c>
      <c r="R10" s="940">
        <f>202433+5763</f>
        <v>208196</v>
      </c>
      <c r="S10" s="680"/>
    </row>
    <row r="11" spans="1:19" s="681" customFormat="1" ht="18" customHeight="1" x14ac:dyDescent="0.3">
      <c r="A11" s="656">
        <v>4</v>
      </c>
      <c r="B11" s="675"/>
      <c r="C11" s="676"/>
      <c r="D11" s="677"/>
      <c r="E11" s="224" t="s">
        <v>796</v>
      </c>
      <c r="F11" s="678"/>
      <c r="G11" s="678"/>
      <c r="H11" s="1343"/>
      <c r="I11" s="1097">
        <f t="shared" ref="I11:I12" si="0">SUM(J11:Q11)</f>
        <v>256765</v>
      </c>
      <c r="J11" s="827">
        <v>4865</v>
      </c>
      <c r="K11" s="827"/>
      <c r="L11" s="827"/>
      <c r="M11" s="827"/>
      <c r="N11" s="827"/>
      <c r="O11" s="827"/>
      <c r="P11" s="827">
        <v>20921</v>
      </c>
      <c r="Q11" s="827">
        <v>230979</v>
      </c>
      <c r="R11" s="1095">
        <v>208196</v>
      </c>
      <c r="S11" s="680"/>
    </row>
    <row r="12" spans="1:19" s="681" customFormat="1" ht="18" customHeight="1" x14ac:dyDescent="0.3">
      <c r="A12" s="656">
        <v>5</v>
      </c>
      <c r="B12" s="675"/>
      <c r="C12" s="676"/>
      <c r="D12" s="677"/>
      <c r="E12" s="976" t="s">
        <v>861</v>
      </c>
      <c r="F12" s="678"/>
      <c r="G12" s="678"/>
      <c r="H12" s="1343"/>
      <c r="I12" s="1096">
        <f t="shared" si="0"/>
        <v>118480</v>
      </c>
      <c r="J12" s="674">
        <v>3535</v>
      </c>
      <c r="K12" s="674"/>
      <c r="L12" s="674"/>
      <c r="M12" s="674"/>
      <c r="N12" s="674"/>
      <c r="O12" s="674"/>
      <c r="P12" s="674">
        <v>20921</v>
      </c>
      <c r="Q12" s="674">
        <v>94024</v>
      </c>
      <c r="R12" s="831">
        <v>104531</v>
      </c>
      <c r="S12" s="680"/>
    </row>
    <row r="13" spans="1:19" s="683" customFormat="1" ht="22.5" customHeight="1" x14ac:dyDescent="0.3">
      <c r="A13" s="656">
        <v>6</v>
      </c>
      <c r="B13" s="669">
        <v>2</v>
      </c>
      <c r="C13" s="670"/>
      <c r="D13" s="682" t="s">
        <v>290</v>
      </c>
      <c r="E13" s="682"/>
      <c r="F13" s="672">
        <v>397826</v>
      </c>
      <c r="G13" s="672">
        <v>379260</v>
      </c>
      <c r="H13" s="1342">
        <v>394814</v>
      </c>
      <c r="I13" s="673"/>
      <c r="J13" s="672"/>
      <c r="K13" s="672"/>
      <c r="L13" s="672"/>
      <c r="M13" s="672"/>
      <c r="N13" s="672"/>
      <c r="O13" s="672"/>
      <c r="P13" s="672"/>
      <c r="Q13" s="672"/>
      <c r="R13" s="831"/>
    </row>
    <row r="14" spans="1:19" s="683" customFormat="1" ht="18" customHeight="1" x14ac:dyDescent="0.3">
      <c r="A14" s="656">
        <v>7</v>
      </c>
      <c r="B14" s="669"/>
      <c r="C14" s="670"/>
      <c r="D14" s="1516" t="s">
        <v>269</v>
      </c>
      <c r="E14" s="1516"/>
      <c r="F14" s="672"/>
      <c r="G14" s="672"/>
      <c r="H14" s="1342"/>
      <c r="I14" s="673"/>
      <c r="J14" s="672"/>
      <c r="K14" s="672"/>
      <c r="L14" s="672"/>
      <c r="M14" s="672"/>
      <c r="N14" s="672"/>
      <c r="O14" s="672"/>
      <c r="P14" s="672"/>
      <c r="Q14" s="672"/>
      <c r="R14" s="831"/>
    </row>
    <row r="15" spans="1:19" s="684" customFormat="1" ht="18" customHeight="1" x14ac:dyDescent="0.3">
      <c r="A15" s="656">
        <v>8</v>
      </c>
      <c r="B15" s="675"/>
      <c r="C15" s="676"/>
      <c r="D15" s="677"/>
      <c r="E15" s="739" t="s">
        <v>268</v>
      </c>
      <c r="F15" s="678"/>
      <c r="G15" s="678"/>
      <c r="H15" s="1343"/>
      <c r="I15" s="679">
        <f>SUM(J15:Q15)</f>
        <v>406776</v>
      </c>
      <c r="J15" s="678">
        <v>10017</v>
      </c>
      <c r="K15" s="678"/>
      <c r="L15" s="678"/>
      <c r="M15" s="678"/>
      <c r="N15" s="678"/>
      <c r="O15" s="678"/>
      <c r="P15" s="678">
        <v>5000</v>
      </c>
      <c r="Q15" s="678">
        <v>391759</v>
      </c>
      <c r="R15" s="940">
        <f>313948+9047</f>
        <v>322995</v>
      </c>
    </row>
    <row r="16" spans="1:19" s="684" customFormat="1" ht="18" customHeight="1" x14ac:dyDescent="0.3">
      <c r="A16" s="656">
        <v>9</v>
      </c>
      <c r="B16" s="675"/>
      <c r="C16" s="676"/>
      <c r="D16" s="677"/>
      <c r="E16" s="224" t="s">
        <v>796</v>
      </c>
      <c r="F16" s="678"/>
      <c r="G16" s="678"/>
      <c r="H16" s="1343"/>
      <c r="I16" s="1097">
        <f t="shared" ref="I16:I17" si="1">SUM(J16:Q16)</f>
        <v>419166</v>
      </c>
      <c r="J16" s="827">
        <v>10017</v>
      </c>
      <c r="K16" s="827"/>
      <c r="L16" s="827"/>
      <c r="M16" s="827"/>
      <c r="N16" s="827"/>
      <c r="O16" s="827"/>
      <c r="P16" s="827">
        <v>14710</v>
      </c>
      <c r="Q16" s="827">
        <v>394439</v>
      </c>
      <c r="R16" s="1095">
        <v>321461</v>
      </c>
    </row>
    <row r="17" spans="1:19" s="684" customFormat="1" ht="18" customHeight="1" x14ac:dyDescent="0.3">
      <c r="A17" s="656">
        <v>10</v>
      </c>
      <c r="B17" s="675"/>
      <c r="C17" s="676"/>
      <c r="D17" s="677"/>
      <c r="E17" s="976" t="s">
        <v>861</v>
      </c>
      <c r="F17" s="678"/>
      <c r="G17" s="678"/>
      <c r="H17" s="1343"/>
      <c r="I17" s="1096">
        <f t="shared" si="1"/>
        <v>190857</v>
      </c>
      <c r="J17" s="674">
        <v>5365</v>
      </c>
      <c r="K17" s="827"/>
      <c r="L17" s="827"/>
      <c r="M17" s="827"/>
      <c r="N17" s="827"/>
      <c r="O17" s="827"/>
      <c r="P17" s="674">
        <v>14710</v>
      </c>
      <c r="Q17" s="674">
        <v>170782</v>
      </c>
      <c r="R17" s="831">
        <v>165325</v>
      </c>
    </row>
    <row r="18" spans="1:19" s="685" customFormat="1" ht="22.5" customHeight="1" x14ac:dyDescent="0.3">
      <c r="A18" s="656">
        <v>11</v>
      </c>
      <c r="B18" s="669">
        <v>3</v>
      </c>
      <c r="C18" s="670"/>
      <c r="D18" s="682" t="s">
        <v>233</v>
      </c>
      <c r="E18" s="682"/>
      <c r="F18" s="672">
        <v>447705</v>
      </c>
      <c r="G18" s="672">
        <v>430451</v>
      </c>
      <c r="H18" s="1342">
        <v>445648</v>
      </c>
      <c r="I18" s="673"/>
      <c r="J18" s="672"/>
      <c r="K18" s="672"/>
      <c r="L18" s="672"/>
      <c r="M18" s="672"/>
      <c r="N18" s="672"/>
      <c r="O18" s="672"/>
      <c r="P18" s="672"/>
      <c r="Q18" s="672"/>
      <c r="R18" s="831"/>
    </row>
    <row r="19" spans="1:19" s="128" customFormat="1" ht="18" customHeight="1" x14ac:dyDescent="0.3">
      <c r="A19" s="656">
        <v>12</v>
      </c>
      <c r="B19" s="686"/>
      <c r="C19" s="670"/>
      <c r="D19" s="687" t="s">
        <v>128</v>
      </c>
      <c r="E19" s="687"/>
      <c r="F19" s="688"/>
      <c r="G19" s="688"/>
      <c r="H19" s="1344"/>
      <c r="I19" s="689"/>
      <c r="J19" s="688"/>
      <c r="K19" s="688"/>
      <c r="L19" s="688"/>
      <c r="M19" s="688"/>
      <c r="N19" s="688"/>
      <c r="O19" s="688"/>
      <c r="P19" s="688"/>
      <c r="Q19" s="688"/>
      <c r="R19" s="941"/>
    </row>
    <row r="20" spans="1:19" s="681" customFormat="1" ht="18" customHeight="1" x14ac:dyDescent="0.3">
      <c r="A20" s="656">
        <v>13</v>
      </c>
      <c r="B20" s="675"/>
      <c r="C20" s="676"/>
      <c r="D20" s="677"/>
      <c r="E20" s="739" t="s">
        <v>268</v>
      </c>
      <c r="F20" s="678"/>
      <c r="G20" s="678"/>
      <c r="H20" s="1343"/>
      <c r="I20" s="679">
        <f>SUM(J20:Q20)</f>
        <v>457212</v>
      </c>
      <c r="J20" s="678">
        <v>12633</v>
      </c>
      <c r="K20" s="678"/>
      <c r="L20" s="678"/>
      <c r="M20" s="678"/>
      <c r="N20" s="678"/>
      <c r="O20" s="678"/>
      <c r="P20" s="678">
        <v>24909</v>
      </c>
      <c r="Q20" s="678">
        <v>419670</v>
      </c>
      <c r="R20" s="940">
        <f>329503+10783</f>
        <v>340286</v>
      </c>
      <c r="S20" s="680"/>
    </row>
    <row r="21" spans="1:19" s="681" customFormat="1" ht="18" customHeight="1" x14ac:dyDescent="0.3">
      <c r="A21" s="656">
        <v>14</v>
      </c>
      <c r="B21" s="675"/>
      <c r="C21" s="676"/>
      <c r="D21" s="677"/>
      <c r="E21" s="224" t="s">
        <v>796</v>
      </c>
      <c r="F21" s="678"/>
      <c r="G21" s="678"/>
      <c r="H21" s="1343"/>
      <c r="I21" s="1097">
        <f t="shared" ref="I21:I22" si="2">SUM(J21:Q21)</f>
        <v>487660</v>
      </c>
      <c r="J21" s="827">
        <v>12633</v>
      </c>
      <c r="K21" s="827"/>
      <c r="L21" s="827"/>
      <c r="M21" s="827"/>
      <c r="N21" s="827"/>
      <c r="O21" s="827"/>
      <c r="P21" s="827">
        <v>54211</v>
      </c>
      <c r="Q21" s="827">
        <v>420816</v>
      </c>
      <c r="R21" s="1095">
        <v>342366</v>
      </c>
      <c r="S21" s="680"/>
    </row>
    <row r="22" spans="1:19" s="681" customFormat="1" ht="18" customHeight="1" x14ac:dyDescent="0.3">
      <c r="A22" s="656">
        <v>15</v>
      </c>
      <c r="B22" s="675"/>
      <c r="C22" s="676"/>
      <c r="D22" s="677"/>
      <c r="E22" s="976" t="s">
        <v>861</v>
      </c>
      <c r="F22" s="678"/>
      <c r="G22" s="678"/>
      <c r="H22" s="1343"/>
      <c r="I22" s="1096">
        <f t="shared" si="2"/>
        <v>204821</v>
      </c>
      <c r="J22" s="674">
        <v>6629</v>
      </c>
      <c r="K22" s="827"/>
      <c r="L22" s="827"/>
      <c r="M22" s="827"/>
      <c r="N22" s="827"/>
      <c r="O22" s="827"/>
      <c r="P22" s="674">
        <v>54211</v>
      </c>
      <c r="Q22" s="674">
        <v>143981</v>
      </c>
      <c r="R22" s="831">
        <v>174403</v>
      </c>
      <c r="S22" s="680"/>
    </row>
    <row r="23" spans="1:19" s="683" customFormat="1" ht="22.5" customHeight="1" x14ac:dyDescent="0.3">
      <c r="A23" s="656">
        <v>16</v>
      </c>
      <c r="B23" s="669">
        <v>4</v>
      </c>
      <c r="C23" s="670"/>
      <c r="D23" s="690" t="s">
        <v>234</v>
      </c>
      <c r="E23" s="690"/>
      <c r="F23" s="672">
        <v>333792</v>
      </c>
      <c r="G23" s="672">
        <v>340680</v>
      </c>
      <c r="H23" s="1342">
        <v>362411</v>
      </c>
      <c r="I23" s="673"/>
      <c r="J23" s="672"/>
      <c r="K23" s="672"/>
      <c r="L23" s="672"/>
      <c r="M23" s="672"/>
      <c r="N23" s="672"/>
      <c r="O23" s="672"/>
      <c r="P23" s="672"/>
      <c r="Q23" s="672"/>
      <c r="R23" s="831"/>
    </row>
    <row r="24" spans="1:19" s="685" customFormat="1" ht="18" customHeight="1" x14ac:dyDescent="0.3">
      <c r="A24" s="656">
        <v>17</v>
      </c>
      <c r="B24" s="686"/>
      <c r="C24" s="670"/>
      <c r="D24" s="687" t="s">
        <v>129</v>
      </c>
      <c r="E24" s="687"/>
      <c r="F24" s="688"/>
      <c r="G24" s="688"/>
      <c r="H24" s="1344"/>
      <c r="I24" s="689"/>
      <c r="J24" s="688"/>
      <c r="K24" s="688"/>
      <c r="L24" s="688"/>
      <c r="M24" s="688"/>
      <c r="N24" s="688"/>
      <c r="O24" s="688"/>
      <c r="P24" s="688"/>
      <c r="Q24" s="688"/>
      <c r="R24" s="941"/>
    </row>
    <row r="25" spans="1:19" s="691" customFormat="1" ht="18" customHeight="1" x14ac:dyDescent="0.3">
      <c r="A25" s="656">
        <v>18</v>
      </c>
      <c r="B25" s="675"/>
      <c r="C25" s="676"/>
      <c r="D25" s="677"/>
      <c r="E25" s="739" t="s">
        <v>268</v>
      </c>
      <c r="F25" s="678"/>
      <c r="G25" s="678"/>
      <c r="H25" s="1343"/>
      <c r="I25" s="679">
        <f>SUM(J25:Q25)</f>
        <v>388568</v>
      </c>
      <c r="J25" s="678">
        <v>13962</v>
      </c>
      <c r="K25" s="678"/>
      <c r="L25" s="678"/>
      <c r="M25" s="678"/>
      <c r="N25" s="678"/>
      <c r="O25" s="678"/>
      <c r="P25" s="678">
        <v>7711</v>
      </c>
      <c r="Q25" s="678">
        <v>366895</v>
      </c>
      <c r="R25" s="940">
        <f>298729+8260</f>
        <v>306989</v>
      </c>
    </row>
    <row r="26" spans="1:19" s="691" customFormat="1" ht="18" customHeight="1" x14ac:dyDescent="0.3">
      <c r="A26" s="656">
        <v>19</v>
      </c>
      <c r="B26" s="675"/>
      <c r="C26" s="676"/>
      <c r="D26" s="677"/>
      <c r="E26" s="224" t="s">
        <v>796</v>
      </c>
      <c r="F26" s="678"/>
      <c r="G26" s="678"/>
      <c r="H26" s="1343"/>
      <c r="I26" s="1097">
        <f t="shared" ref="I26:I27" si="3">SUM(J26:Q26)</f>
        <v>405661</v>
      </c>
      <c r="J26" s="827">
        <v>13962</v>
      </c>
      <c r="K26" s="827"/>
      <c r="L26" s="827"/>
      <c r="M26" s="827"/>
      <c r="N26" s="827"/>
      <c r="O26" s="827"/>
      <c r="P26" s="827">
        <v>23042</v>
      </c>
      <c r="Q26" s="827">
        <v>368657</v>
      </c>
      <c r="R26" s="1095">
        <v>306116</v>
      </c>
    </row>
    <row r="27" spans="1:19" s="691" customFormat="1" ht="18" customHeight="1" x14ac:dyDescent="0.3">
      <c r="A27" s="656">
        <v>20</v>
      </c>
      <c r="B27" s="675"/>
      <c r="C27" s="676"/>
      <c r="D27" s="677"/>
      <c r="E27" s="976" t="s">
        <v>861</v>
      </c>
      <c r="F27" s="678"/>
      <c r="G27" s="678"/>
      <c r="H27" s="1343"/>
      <c r="I27" s="1096">
        <f t="shared" si="3"/>
        <v>184159</v>
      </c>
      <c r="J27" s="674">
        <v>7199</v>
      </c>
      <c r="K27" s="827"/>
      <c r="L27" s="827"/>
      <c r="M27" s="827"/>
      <c r="N27" s="827"/>
      <c r="O27" s="827"/>
      <c r="P27" s="674">
        <v>23042</v>
      </c>
      <c r="Q27" s="674">
        <v>153918</v>
      </c>
      <c r="R27" s="831">
        <v>158470</v>
      </c>
    </row>
    <row r="28" spans="1:19" s="692" customFormat="1" ht="22.5" customHeight="1" x14ac:dyDescent="0.3">
      <c r="A28" s="656">
        <v>21</v>
      </c>
      <c r="B28" s="669">
        <v>5</v>
      </c>
      <c r="C28" s="670"/>
      <c r="D28" s="690" t="s">
        <v>235</v>
      </c>
      <c r="E28" s="690"/>
      <c r="F28" s="672">
        <v>365853</v>
      </c>
      <c r="G28" s="672">
        <v>362829</v>
      </c>
      <c r="H28" s="1342">
        <v>371087</v>
      </c>
      <c r="I28" s="673"/>
      <c r="J28" s="672"/>
      <c r="K28" s="672"/>
      <c r="L28" s="672"/>
      <c r="M28" s="672"/>
      <c r="N28" s="672"/>
      <c r="O28" s="672"/>
      <c r="P28" s="672"/>
      <c r="Q28" s="672"/>
      <c r="R28" s="831"/>
    </row>
    <row r="29" spans="1:19" s="683" customFormat="1" ht="18" customHeight="1" x14ac:dyDescent="0.3">
      <c r="A29" s="656">
        <v>22</v>
      </c>
      <c r="B29" s="686"/>
      <c r="C29" s="670"/>
      <c r="D29" s="687" t="s">
        <v>130</v>
      </c>
      <c r="E29" s="687"/>
      <c r="F29" s="688"/>
      <c r="G29" s="688"/>
      <c r="H29" s="1344"/>
      <c r="I29" s="689"/>
      <c r="J29" s="688"/>
      <c r="K29" s="688"/>
      <c r="L29" s="688"/>
      <c r="M29" s="688"/>
      <c r="N29" s="688"/>
      <c r="O29" s="688"/>
      <c r="P29" s="688"/>
      <c r="Q29" s="688"/>
      <c r="R29" s="941"/>
    </row>
    <row r="30" spans="1:19" s="684" customFormat="1" ht="18" customHeight="1" x14ac:dyDescent="0.3">
      <c r="A30" s="656">
        <v>23</v>
      </c>
      <c r="B30" s="675"/>
      <c r="C30" s="676"/>
      <c r="D30" s="677"/>
      <c r="E30" s="739" t="s">
        <v>268</v>
      </c>
      <c r="F30" s="678"/>
      <c r="G30" s="678"/>
      <c r="H30" s="1343"/>
      <c r="I30" s="679">
        <f>SUM(J30:Q30)</f>
        <v>403969</v>
      </c>
      <c r="J30" s="678">
        <v>16853</v>
      </c>
      <c r="K30" s="678"/>
      <c r="L30" s="678"/>
      <c r="M30" s="678"/>
      <c r="N30" s="678"/>
      <c r="O30" s="678"/>
      <c r="P30" s="678">
        <v>10049</v>
      </c>
      <c r="Q30" s="678">
        <v>377067</v>
      </c>
      <c r="R30" s="940">
        <f>315637+9139</f>
        <v>324776</v>
      </c>
    </row>
    <row r="31" spans="1:19" s="684" customFormat="1" ht="18" customHeight="1" x14ac:dyDescent="0.3">
      <c r="A31" s="656">
        <v>24</v>
      </c>
      <c r="B31" s="675"/>
      <c r="C31" s="676"/>
      <c r="D31" s="677"/>
      <c r="E31" s="224" t="s">
        <v>796</v>
      </c>
      <c r="F31" s="678"/>
      <c r="G31" s="678"/>
      <c r="H31" s="1343"/>
      <c r="I31" s="1097">
        <f t="shared" ref="I31" si="4">SUM(J31:Q31)</f>
        <v>416952</v>
      </c>
      <c r="J31" s="827">
        <v>16853</v>
      </c>
      <c r="K31" s="827"/>
      <c r="L31" s="827"/>
      <c r="M31" s="827"/>
      <c r="N31" s="827"/>
      <c r="O31" s="827"/>
      <c r="P31" s="827">
        <v>23032</v>
      </c>
      <c r="Q31" s="827">
        <v>377067</v>
      </c>
      <c r="R31" s="1095">
        <v>323415</v>
      </c>
    </row>
    <row r="32" spans="1:19" s="684" customFormat="1" ht="18" customHeight="1" x14ac:dyDescent="0.3">
      <c r="A32" s="656">
        <v>25</v>
      </c>
      <c r="B32" s="675"/>
      <c r="C32" s="676"/>
      <c r="D32" s="677"/>
      <c r="E32" s="976" t="s">
        <v>861</v>
      </c>
      <c r="F32" s="678"/>
      <c r="G32" s="678"/>
      <c r="H32" s="1343"/>
      <c r="I32" s="1096">
        <f>SUM(J32:Q32)</f>
        <v>187139</v>
      </c>
      <c r="J32" s="674">
        <v>8032</v>
      </c>
      <c r="K32" s="827"/>
      <c r="L32" s="827"/>
      <c r="M32" s="827"/>
      <c r="N32" s="827"/>
      <c r="O32" s="827"/>
      <c r="P32" s="674">
        <v>23032</v>
      </c>
      <c r="Q32" s="674">
        <v>156075</v>
      </c>
      <c r="R32" s="831">
        <v>164931</v>
      </c>
    </row>
    <row r="33" spans="1:19" s="692" customFormat="1" ht="22.5" customHeight="1" x14ac:dyDescent="0.3">
      <c r="A33" s="656">
        <v>26</v>
      </c>
      <c r="B33" s="669">
        <v>6</v>
      </c>
      <c r="C33" s="670"/>
      <c r="D33" s="690" t="s">
        <v>236</v>
      </c>
      <c r="E33" s="690"/>
      <c r="F33" s="672">
        <v>189562</v>
      </c>
      <c r="G33" s="672">
        <v>206083</v>
      </c>
      <c r="H33" s="1342">
        <v>213275</v>
      </c>
      <c r="I33" s="673"/>
      <c r="J33" s="672"/>
      <c r="K33" s="672"/>
      <c r="L33" s="672"/>
      <c r="M33" s="672"/>
      <c r="N33" s="672"/>
      <c r="O33" s="672"/>
      <c r="P33" s="672"/>
      <c r="Q33" s="672"/>
      <c r="R33" s="831"/>
    </row>
    <row r="34" spans="1:19" s="692" customFormat="1" ht="18" customHeight="1" x14ac:dyDescent="0.3">
      <c r="A34" s="656">
        <v>27</v>
      </c>
      <c r="B34" s="686"/>
      <c r="C34" s="670"/>
      <c r="D34" s="687" t="s">
        <v>131</v>
      </c>
      <c r="E34" s="687"/>
      <c r="F34" s="688"/>
      <c r="G34" s="688"/>
      <c r="H34" s="1344"/>
      <c r="I34" s="689"/>
      <c r="J34" s="688"/>
      <c r="K34" s="688"/>
      <c r="L34" s="688"/>
      <c r="M34" s="688"/>
      <c r="N34" s="688"/>
      <c r="O34" s="688"/>
      <c r="P34" s="688"/>
      <c r="Q34" s="688"/>
      <c r="R34" s="941"/>
    </row>
    <row r="35" spans="1:19" s="693" customFormat="1" ht="18" customHeight="1" x14ac:dyDescent="0.3">
      <c r="A35" s="656">
        <v>28</v>
      </c>
      <c r="B35" s="675"/>
      <c r="C35" s="676"/>
      <c r="D35" s="677"/>
      <c r="E35" s="739" t="s">
        <v>268</v>
      </c>
      <c r="F35" s="678"/>
      <c r="G35" s="678"/>
      <c r="H35" s="1343"/>
      <c r="I35" s="679">
        <f>SUM(J35:Q35)</f>
        <v>235926</v>
      </c>
      <c r="J35" s="678">
        <v>5384</v>
      </c>
      <c r="K35" s="678"/>
      <c r="L35" s="678"/>
      <c r="M35" s="678"/>
      <c r="N35" s="678"/>
      <c r="O35" s="678"/>
      <c r="P35" s="678">
        <v>8274</v>
      </c>
      <c r="Q35" s="678">
        <v>222268</v>
      </c>
      <c r="R35" s="940">
        <f>157020+4770</f>
        <v>161790</v>
      </c>
    </row>
    <row r="36" spans="1:19" s="693" customFormat="1" ht="18" customHeight="1" x14ac:dyDescent="0.3">
      <c r="A36" s="656">
        <v>29</v>
      </c>
      <c r="B36" s="675"/>
      <c r="C36" s="1090"/>
      <c r="D36" s="1094"/>
      <c r="E36" s="224" t="s">
        <v>796</v>
      </c>
      <c r="F36" s="1091"/>
      <c r="G36" s="1091"/>
      <c r="H36" s="1345"/>
      <c r="I36" s="1097">
        <f t="shared" ref="I36:I37" si="5">SUM(J36:Q36)</f>
        <v>247329</v>
      </c>
      <c r="J36" s="1098">
        <v>5384</v>
      </c>
      <c r="K36" s="1098"/>
      <c r="L36" s="1098"/>
      <c r="M36" s="1098"/>
      <c r="N36" s="1098"/>
      <c r="O36" s="1098"/>
      <c r="P36" s="1098">
        <v>16965</v>
      </c>
      <c r="Q36" s="1098">
        <v>224980</v>
      </c>
      <c r="R36" s="1099">
        <v>158228</v>
      </c>
    </row>
    <row r="37" spans="1:19" s="693" customFormat="1" ht="18" customHeight="1" thickBot="1" x14ac:dyDescent="0.35">
      <c r="A37" s="656">
        <v>30</v>
      </c>
      <c r="B37" s="675"/>
      <c r="C37" s="1090"/>
      <c r="D37" s="1090"/>
      <c r="E37" s="976" t="s">
        <v>861</v>
      </c>
      <c r="F37" s="1091"/>
      <c r="G37" s="1091"/>
      <c r="H37" s="1345"/>
      <c r="I37" s="1096">
        <f t="shared" si="5"/>
        <v>118418</v>
      </c>
      <c r="J37" s="1310">
        <v>3417</v>
      </c>
      <c r="K37" s="1098"/>
      <c r="L37" s="1098"/>
      <c r="M37" s="1098"/>
      <c r="N37" s="1098"/>
      <c r="O37" s="1098"/>
      <c r="P37" s="1310">
        <v>16965</v>
      </c>
      <c r="Q37" s="1310">
        <v>98036</v>
      </c>
      <c r="R37" s="939">
        <v>83435</v>
      </c>
    </row>
    <row r="38" spans="1:19" s="660" customFormat="1" ht="22.5" customHeight="1" thickTop="1" x14ac:dyDescent="0.3">
      <c r="A38" s="656">
        <v>31</v>
      </c>
      <c r="B38" s="686"/>
      <c r="C38" s="1593" t="s">
        <v>384</v>
      </c>
      <c r="D38" s="1594"/>
      <c r="E38" s="1609"/>
      <c r="F38" s="694">
        <f>SUM(F8:F35)</f>
        <v>1954298</v>
      </c>
      <c r="G38" s="694">
        <f>SUM(G8:G35)</f>
        <v>1948076</v>
      </c>
      <c r="H38" s="1346">
        <f>SUM(H8:H35)</f>
        <v>2030098</v>
      </c>
      <c r="I38" s="695"/>
      <c r="J38" s="694"/>
      <c r="K38" s="694"/>
      <c r="L38" s="694"/>
      <c r="M38" s="694"/>
      <c r="N38" s="694"/>
      <c r="O38" s="694"/>
      <c r="P38" s="694"/>
      <c r="Q38" s="694"/>
      <c r="R38" s="942"/>
    </row>
    <row r="39" spans="1:19" s="681" customFormat="1" ht="18" customHeight="1" x14ac:dyDescent="0.3">
      <c r="A39" s="656">
        <v>32</v>
      </c>
      <c r="B39" s="696"/>
      <c r="C39" s="701"/>
      <c r="D39" s="702"/>
      <c r="E39" s="787" t="s">
        <v>268</v>
      </c>
      <c r="F39" s="703"/>
      <c r="G39" s="703"/>
      <c r="H39" s="1347"/>
      <c r="I39" s="704">
        <f t="shared" ref="I39:R39" si="6">SUM(I10,I15,I20,I25,I30,I35,)</f>
        <v>2135199</v>
      </c>
      <c r="J39" s="703">
        <f t="shared" si="6"/>
        <v>63714</v>
      </c>
      <c r="K39" s="703">
        <f t="shared" si="6"/>
        <v>0</v>
      </c>
      <c r="L39" s="703">
        <f t="shared" si="6"/>
        <v>0</v>
      </c>
      <c r="M39" s="703">
        <f t="shared" si="6"/>
        <v>0</v>
      </c>
      <c r="N39" s="703">
        <f t="shared" si="6"/>
        <v>0</v>
      </c>
      <c r="O39" s="703">
        <f t="shared" si="6"/>
        <v>0</v>
      </c>
      <c r="P39" s="703">
        <f t="shared" si="6"/>
        <v>64613</v>
      </c>
      <c r="Q39" s="703">
        <f t="shared" si="6"/>
        <v>2006872</v>
      </c>
      <c r="R39" s="1093">
        <f t="shared" si="6"/>
        <v>1665032</v>
      </c>
      <c r="S39" s="680"/>
    </row>
    <row r="40" spans="1:19" s="681" customFormat="1" ht="18" customHeight="1" x14ac:dyDescent="0.3">
      <c r="A40" s="656">
        <v>33</v>
      </c>
      <c r="B40" s="1092"/>
      <c r="C40" s="676"/>
      <c r="D40" s="677"/>
      <c r="E40" s="225" t="s">
        <v>796</v>
      </c>
      <c r="F40" s="678"/>
      <c r="G40" s="678"/>
      <c r="H40" s="1343"/>
      <c r="I40" s="1100">
        <f t="shared" ref="I40:R40" si="7">SUM(I11,I16,I21,I26,I31,I36,)</f>
        <v>2233533</v>
      </c>
      <c r="J40" s="1101">
        <f t="shared" si="7"/>
        <v>63714</v>
      </c>
      <c r="K40" s="1101">
        <f t="shared" si="7"/>
        <v>0</v>
      </c>
      <c r="L40" s="1101">
        <f t="shared" si="7"/>
        <v>0</v>
      </c>
      <c r="M40" s="1101">
        <f t="shared" si="7"/>
        <v>0</v>
      </c>
      <c r="N40" s="1101">
        <f t="shared" si="7"/>
        <v>0</v>
      </c>
      <c r="O40" s="1101">
        <f t="shared" si="7"/>
        <v>0</v>
      </c>
      <c r="P40" s="1101">
        <f t="shared" si="7"/>
        <v>152881</v>
      </c>
      <c r="Q40" s="1101">
        <f t="shared" si="7"/>
        <v>2016938</v>
      </c>
      <c r="R40" s="1102">
        <f t="shared" si="7"/>
        <v>1659782</v>
      </c>
      <c r="S40" s="680"/>
    </row>
    <row r="41" spans="1:19" s="681" customFormat="1" ht="18" customHeight="1" thickBot="1" x14ac:dyDescent="0.35">
      <c r="A41" s="656">
        <v>34</v>
      </c>
      <c r="B41" s="1092"/>
      <c r="C41" s="697"/>
      <c r="D41" s="698"/>
      <c r="E41" s="1446" t="s">
        <v>860</v>
      </c>
      <c r="F41" s="699"/>
      <c r="G41" s="699"/>
      <c r="H41" s="1348"/>
      <c r="I41" s="1460">
        <f>SUM(J41:Q41)</f>
        <v>1003874</v>
      </c>
      <c r="J41" s="1461">
        <f>SUM(J12,J17,J22,J27,J32,J37,)</f>
        <v>34177</v>
      </c>
      <c r="K41" s="1461">
        <f t="shared" ref="K41:R41" si="8">SUM(K12,K17,K22,K27,K32,K37,)</f>
        <v>0</v>
      </c>
      <c r="L41" s="1461">
        <f t="shared" si="8"/>
        <v>0</v>
      </c>
      <c r="M41" s="1461">
        <f t="shared" si="8"/>
        <v>0</v>
      </c>
      <c r="N41" s="1461">
        <f t="shared" si="8"/>
        <v>0</v>
      </c>
      <c r="O41" s="1461">
        <f t="shared" si="8"/>
        <v>0</v>
      </c>
      <c r="P41" s="1461">
        <f t="shared" si="8"/>
        <v>152881</v>
      </c>
      <c r="Q41" s="1461">
        <f t="shared" si="8"/>
        <v>816816</v>
      </c>
      <c r="R41" s="1518">
        <f t="shared" si="8"/>
        <v>851095</v>
      </c>
      <c r="S41" s="680"/>
    </row>
    <row r="42" spans="1:19" s="128" customFormat="1" ht="30" customHeight="1" thickTop="1" x14ac:dyDescent="0.3">
      <c r="A42" s="656">
        <v>35</v>
      </c>
      <c r="B42" s="700">
        <v>7</v>
      </c>
      <c r="C42" s="664"/>
      <c r="D42" s="1607" t="s">
        <v>278</v>
      </c>
      <c r="E42" s="1608"/>
      <c r="F42" s="667">
        <v>1098222</v>
      </c>
      <c r="G42" s="667">
        <v>1120897</v>
      </c>
      <c r="H42" s="1341">
        <v>1201600</v>
      </c>
      <c r="I42" s="668"/>
      <c r="J42" s="667"/>
      <c r="K42" s="667"/>
      <c r="L42" s="667"/>
      <c r="M42" s="667"/>
      <c r="N42" s="667"/>
      <c r="O42" s="667"/>
      <c r="P42" s="667"/>
      <c r="Q42" s="667"/>
      <c r="R42" s="939"/>
    </row>
    <row r="43" spans="1:19" s="680" customFormat="1" ht="18" customHeight="1" x14ac:dyDescent="0.3">
      <c r="A43" s="656">
        <v>36</v>
      </c>
      <c r="B43" s="675"/>
      <c r="C43" s="676"/>
      <c r="D43" s="677"/>
      <c r="E43" s="739" t="s">
        <v>268</v>
      </c>
      <c r="F43" s="678"/>
      <c r="G43" s="678"/>
      <c r="H43" s="1343"/>
      <c r="I43" s="679">
        <f>SUM(J43:Q43)</f>
        <v>1378413</v>
      </c>
      <c r="J43" s="678">
        <v>22557</v>
      </c>
      <c r="K43" s="678">
        <v>1528</v>
      </c>
      <c r="L43" s="678"/>
      <c r="M43" s="678"/>
      <c r="N43" s="678"/>
      <c r="O43" s="678"/>
      <c r="P43" s="678">
        <v>9970</v>
      </c>
      <c r="Q43" s="678">
        <v>1344358</v>
      </c>
      <c r="R43" s="940">
        <f>950330+12869</f>
        <v>963199</v>
      </c>
    </row>
    <row r="44" spans="1:19" s="680" customFormat="1" ht="18" customHeight="1" x14ac:dyDescent="0.3">
      <c r="A44" s="656">
        <v>37</v>
      </c>
      <c r="B44" s="675"/>
      <c r="C44" s="676"/>
      <c r="D44" s="677"/>
      <c r="E44" s="224" t="s">
        <v>796</v>
      </c>
      <c r="F44" s="678"/>
      <c r="G44" s="678"/>
      <c r="H44" s="1343"/>
      <c r="I44" s="1097">
        <f>SUM(J44:Q44)</f>
        <v>1425052</v>
      </c>
      <c r="J44" s="827">
        <v>22557</v>
      </c>
      <c r="K44" s="827">
        <v>12379</v>
      </c>
      <c r="L44" s="827"/>
      <c r="M44" s="827"/>
      <c r="N44" s="827"/>
      <c r="O44" s="827"/>
      <c r="P44" s="827">
        <v>31657</v>
      </c>
      <c r="Q44" s="827">
        <v>1358459</v>
      </c>
      <c r="R44" s="1095">
        <v>970774</v>
      </c>
    </row>
    <row r="45" spans="1:19" s="680" customFormat="1" ht="18" customHeight="1" x14ac:dyDescent="0.3">
      <c r="A45" s="656">
        <v>38</v>
      </c>
      <c r="B45" s="675"/>
      <c r="C45" s="676"/>
      <c r="D45" s="677"/>
      <c r="E45" s="976" t="s">
        <v>861</v>
      </c>
      <c r="F45" s="678"/>
      <c r="G45" s="678"/>
      <c r="H45" s="1343"/>
      <c r="I45" s="1096">
        <f t="shared" ref="I45" si="9">SUM(J45:Q45)</f>
        <v>665807</v>
      </c>
      <c r="J45" s="674">
        <v>12830</v>
      </c>
      <c r="K45" s="674">
        <v>14098</v>
      </c>
      <c r="L45" s="674"/>
      <c r="M45" s="674"/>
      <c r="N45" s="674"/>
      <c r="O45" s="674"/>
      <c r="P45" s="674">
        <v>31657</v>
      </c>
      <c r="Q45" s="674">
        <v>607222</v>
      </c>
      <c r="R45" s="831">
        <v>538236</v>
      </c>
    </row>
    <row r="46" spans="1:19" ht="22.5" customHeight="1" x14ac:dyDescent="0.3">
      <c r="A46" s="656">
        <v>39</v>
      </c>
      <c r="B46" s="669">
        <v>8</v>
      </c>
      <c r="C46" s="670"/>
      <c r="D46" s="690" t="s">
        <v>108</v>
      </c>
      <c r="E46" s="690"/>
      <c r="F46" s="672">
        <v>104176</v>
      </c>
      <c r="G46" s="672">
        <v>73767</v>
      </c>
      <c r="H46" s="1342">
        <v>103537</v>
      </c>
      <c r="I46" s="673"/>
      <c r="J46" s="672"/>
      <c r="K46" s="672"/>
      <c r="L46" s="672"/>
      <c r="M46" s="672"/>
      <c r="N46" s="672"/>
      <c r="O46" s="672"/>
      <c r="P46" s="672"/>
      <c r="Q46" s="672"/>
      <c r="R46" s="831"/>
      <c r="S46" s="128"/>
    </row>
    <row r="47" spans="1:19" s="684" customFormat="1" ht="18" customHeight="1" x14ac:dyDescent="0.3">
      <c r="A47" s="656">
        <v>40</v>
      </c>
      <c r="B47" s="675"/>
      <c r="C47" s="676"/>
      <c r="D47" s="677"/>
      <c r="E47" s="739" t="s">
        <v>268</v>
      </c>
      <c r="F47" s="678"/>
      <c r="G47" s="678"/>
      <c r="H47" s="1343"/>
      <c r="I47" s="679">
        <f>SUM(J47:Q47)</f>
        <v>86372</v>
      </c>
      <c r="J47" s="678">
        <v>14100</v>
      </c>
      <c r="K47" s="678"/>
      <c r="L47" s="678"/>
      <c r="M47" s="678"/>
      <c r="N47" s="678"/>
      <c r="O47" s="678"/>
      <c r="P47" s="678">
        <v>3307</v>
      </c>
      <c r="Q47" s="678">
        <v>68965</v>
      </c>
      <c r="R47" s="940">
        <v>41506</v>
      </c>
    </row>
    <row r="48" spans="1:19" s="684" customFormat="1" ht="18" customHeight="1" x14ac:dyDescent="0.3">
      <c r="A48" s="656">
        <v>41</v>
      </c>
      <c r="B48" s="675"/>
      <c r="C48" s="676"/>
      <c r="D48" s="677"/>
      <c r="E48" s="224" t="s">
        <v>796</v>
      </c>
      <c r="F48" s="678"/>
      <c r="G48" s="678"/>
      <c r="H48" s="1343"/>
      <c r="I48" s="1097">
        <f>SUM(J48:Q48)</f>
        <v>109527</v>
      </c>
      <c r="J48" s="827">
        <v>14100</v>
      </c>
      <c r="K48" s="827"/>
      <c r="L48" s="827"/>
      <c r="M48" s="827"/>
      <c r="N48" s="827"/>
      <c r="O48" s="827"/>
      <c r="P48" s="827">
        <v>13405</v>
      </c>
      <c r="Q48" s="827">
        <v>82022</v>
      </c>
      <c r="R48" s="1095">
        <v>54563</v>
      </c>
    </row>
    <row r="49" spans="1:19" s="684" customFormat="1" ht="18" customHeight="1" x14ac:dyDescent="0.3">
      <c r="A49" s="656">
        <v>42</v>
      </c>
      <c r="B49" s="675"/>
      <c r="C49" s="676"/>
      <c r="D49" s="677"/>
      <c r="E49" s="976" t="s">
        <v>861</v>
      </c>
      <c r="F49" s="678"/>
      <c r="G49" s="678"/>
      <c r="H49" s="1343"/>
      <c r="I49" s="1096">
        <f t="shared" ref="I49" si="10">SUM(J49:Q49)</f>
        <v>49940</v>
      </c>
      <c r="J49" s="674">
        <v>6037</v>
      </c>
      <c r="K49" s="674"/>
      <c r="L49" s="674"/>
      <c r="M49" s="674"/>
      <c r="N49" s="674"/>
      <c r="O49" s="674"/>
      <c r="P49" s="674">
        <v>13405</v>
      </c>
      <c r="Q49" s="674">
        <v>30498</v>
      </c>
      <c r="R49" s="831">
        <v>34190</v>
      </c>
    </row>
    <row r="50" spans="1:19" ht="22.5" customHeight="1" x14ac:dyDescent="0.3">
      <c r="A50" s="656">
        <v>43</v>
      </c>
      <c r="B50" s="669">
        <v>9</v>
      </c>
      <c r="C50" s="670"/>
      <c r="D50" s="690" t="s">
        <v>343</v>
      </c>
      <c r="E50" s="690"/>
      <c r="F50" s="672">
        <v>343864</v>
      </c>
      <c r="G50" s="672">
        <v>263190</v>
      </c>
      <c r="H50" s="1342">
        <v>346656</v>
      </c>
      <c r="I50" s="673"/>
      <c r="J50" s="672"/>
      <c r="K50" s="672"/>
      <c r="L50" s="672"/>
      <c r="M50" s="672"/>
      <c r="N50" s="672"/>
      <c r="O50" s="672"/>
      <c r="P50" s="672"/>
      <c r="Q50" s="672"/>
      <c r="R50" s="831"/>
      <c r="S50" s="128"/>
    </row>
    <row r="51" spans="1:19" s="684" customFormat="1" ht="18" customHeight="1" x14ac:dyDescent="0.3">
      <c r="A51" s="656">
        <v>44</v>
      </c>
      <c r="B51" s="675"/>
      <c r="C51" s="701"/>
      <c r="D51" s="702"/>
      <c r="E51" s="739" t="s">
        <v>268</v>
      </c>
      <c r="F51" s="703"/>
      <c r="G51" s="703"/>
      <c r="H51" s="1347"/>
      <c r="I51" s="704">
        <f>SUM(J51:Q51)</f>
        <v>293643</v>
      </c>
      <c r="J51" s="703">
        <v>1800</v>
      </c>
      <c r="K51" s="703"/>
      <c r="L51" s="703"/>
      <c r="M51" s="703"/>
      <c r="N51" s="703"/>
      <c r="O51" s="703"/>
      <c r="P51" s="703">
        <v>6653</v>
      </c>
      <c r="Q51" s="703">
        <v>285190</v>
      </c>
      <c r="R51" s="943">
        <v>188942</v>
      </c>
    </row>
    <row r="52" spans="1:19" s="684" customFormat="1" ht="18" customHeight="1" x14ac:dyDescent="0.3">
      <c r="A52" s="656">
        <v>45</v>
      </c>
      <c r="B52" s="675"/>
      <c r="C52" s="701"/>
      <c r="D52" s="702"/>
      <c r="E52" s="224" t="s">
        <v>796</v>
      </c>
      <c r="F52" s="703"/>
      <c r="G52" s="703"/>
      <c r="H52" s="1347"/>
      <c r="I52" s="1100">
        <f t="shared" ref="I52:I53" si="11">SUM(J52:Q52)</f>
        <v>362103</v>
      </c>
      <c r="J52" s="1101">
        <v>1800</v>
      </c>
      <c r="K52" s="1101"/>
      <c r="L52" s="1101"/>
      <c r="M52" s="1101"/>
      <c r="N52" s="1101"/>
      <c r="O52" s="1101"/>
      <c r="P52" s="1101">
        <v>20194</v>
      </c>
      <c r="Q52" s="1101">
        <v>340109</v>
      </c>
      <c r="R52" s="1104">
        <v>226180</v>
      </c>
    </row>
    <row r="53" spans="1:19" s="684" customFormat="1" ht="18" customHeight="1" x14ac:dyDescent="0.3">
      <c r="A53" s="656">
        <v>46</v>
      </c>
      <c r="B53" s="675"/>
      <c r="C53" s="701"/>
      <c r="D53" s="702"/>
      <c r="E53" s="976" t="s">
        <v>861</v>
      </c>
      <c r="F53" s="703"/>
      <c r="G53" s="703"/>
      <c r="H53" s="1347"/>
      <c r="I53" s="1106">
        <f t="shared" si="11"/>
        <v>188441</v>
      </c>
      <c r="J53" s="1107">
        <v>1432</v>
      </c>
      <c r="K53" s="1107"/>
      <c r="L53" s="1107"/>
      <c r="M53" s="1107"/>
      <c r="N53" s="1107"/>
      <c r="O53" s="1107"/>
      <c r="P53" s="1107">
        <v>20194</v>
      </c>
      <c r="Q53" s="1107">
        <v>166815</v>
      </c>
      <c r="R53" s="1108">
        <v>143165</v>
      </c>
    </row>
    <row r="54" spans="1:19" s="706" customFormat="1" ht="30" customHeight="1" x14ac:dyDescent="0.3">
      <c r="A54" s="656">
        <v>47</v>
      </c>
      <c r="B54" s="669"/>
      <c r="C54" s="705">
        <v>1</v>
      </c>
      <c r="D54" s="1601" t="s">
        <v>638</v>
      </c>
      <c r="E54" s="1602"/>
      <c r="F54" s="672"/>
      <c r="G54" s="672"/>
      <c r="H54" s="1342">
        <v>3750</v>
      </c>
      <c r="I54" s="673"/>
      <c r="J54" s="672"/>
      <c r="K54" s="672"/>
      <c r="L54" s="672"/>
      <c r="M54" s="672"/>
      <c r="N54" s="672"/>
      <c r="O54" s="672"/>
      <c r="P54" s="672"/>
      <c r="Q54" s="672"/>
      <c r="R54" s="831"/>
      <c r="S54" s="660"/>
    </row>
    <row r="55" spans="1:19" s="706" customFormat="1" ht="18" customHeight="1" x14ac:dyDescent="0.3">
      <c r="A55" s="656">
        <v>48</v>
      </c>
      <c r="B55" s="669"/>
      <c r="C55" s="1408"/>
      <c r="D55" s="1514"/>
      <c r="E55" s="224" t="s">
        <v>796</v>
      </c>
      <c r="F55" s="672"/>
      <c r="G55" s="672"/>
      <c r="H55" s="1342"/>
      <c r="I55" s="1100">
        <f>SUM(J55:Q55)</f>
        <v>11250</v>
      </c>
      <c r="J55" s="672"/>
      <c r="K55" s="827">
        <v>10579</v>
      </c>
      <c r="L55" s="827"/>
      <c r="M55" s="827"/>
      <c r="N55" s="827">
        <v>671</v>
      </c>
      <c r="O55" s="672"/>
      <c r="P55" s="672"/>
      <c r="Q55" s="672"/>
      <c r="R55" s="831"/>
      <c r="S55" s="660"/>
    </row>
    <row r="56" spans="1:19" s="680" customFormat="1" ht="18" customHeight="1" thickBot="1" x14ac:dyDescent="0.35">
      <c r="A56" s="656">
        <v>49</v>
      </c>
      <c r="B56" s="696"/>
      <c r="C56" s="1094"/>
      <c r="D56" s="1094"/>
      <c r="E56" s="976" t="s">
        <v>860</v>
      </c>
      <c r="F56" s="678"/>
      <c r="G56" s="678"/>
      <c r="H56" s="1343"/>
      <c r="I56" s="1106">
        <f t="shared" ref="I56" si="12">SUM(J56:Q56)</f>
        <v>191</v>
      </c>
      <c r="J56" s="674"/>
      <c r="K56" s="674">
        <v>191</v>
      </c>
      <c r="L56" s="674"/>
      <c r="M56" s="674"/>
      <c r="N56" s="674"/>
      <c r="O56" s="678"/>
      <c r="P56" s="678"/>
      <c r="Q56" s="678"/>
      <c r="R56" s="940"/>
    </row>
    <row r="57" spans="1:19" s="692" customFormat="1" ht="22.5" customHeight="1" thickTop="1" x14ac:dyDescent="0.3">
      <c r="A57" s="656">
        <v>50</v>
      </c>
      <c r="B57" s="686"/>
      <c r="C57" s="1593" t="s">
        <v>385</v>
      </c>
      <c r="D57" s="1594"/>
      <c r="E57" s="1609"/>
      <c r="F57" s="694">
        <f>SUM(F42:F54)</f>
        <v>1546262</v>
      </c>
      <c r="G57" s="694">
        <f>SUM(G42:G54)</f>
        <v>1457854</v>
      </c>
      <c r="H57" s="1346">
        <f>SUM(H42:H54)</f>
        <v>1655543</v>
      </c>
      <c r="I57" s="695"/>
      <c r="J57" s="694"/>
      <c r="K57" s="694"/>
      <c r="L57" s="694"/>
      <c r="M57" s="694"/>
      <c r="N57" s="694"/>
      <c r="O57" s="694"/>
      <c r="P57" s="694"/>
      <c r="Q57" s="694"/>
      <c r="R57" s="944"/>
    </row>
    <row r="58" spans="1:19" s="684" customFormat="1" ht="18" customHeight="1" x14ac:dyDescent="0.3">
      <c r="A58" s="656">
        <v>51</v>
      </c>
      <c r="B58" s="675"/>
      <c r="C58" s="701"/>
      <c r="D58" s="702"/>
      <c r="E58" s="739" t="s">
        <v>268</v>
      </c>
      <c r="F58" s="703"/>
      <c r="G58" s="703"/>
      <c r="H58" s="1347"/>
      <c r="I58" s="704">
        <f>SUM(I43,I47,I51,)</f>
        <v>1758428</v>
      </c>
      <c r="J58" s="703">
        <f t="shared" ref="J58:R58" si="13">SUM(J43,J47,J51)</f>
        <v>38457</v>
      </c>
      <c r="K58" s="703">
        <f t="shared" si="13"/>
        <v>1528</v>
      </c>
      <c r="L58" s="703">
        <f t="shared" si="13"/>
        <v>0</v>
      </c>
      <c r="M58" s="703">
        <f t="shared" si="13"/>
        <v>0</v>
      </c>
      <c r="N58" s="703">
        <f t="shared" si="13"/>
        <v>0</v>
      </c>
      <c r="O58" s="703">
        <f t="shared" si="13"/>
        <v>0</v>
      </c>
      <c r="P58" s="703">
        <f t="shared" si="13"/>
        <v>19930</v>
      </c>
      <c r="Q58" s="703">
        <f t="shared" si="13"/>
        <v>1698513</v>
      </c>
      <c r="R58" s="1093">
        <f t="shared" si="13"/>
        <v>1193647</v>
      </c>
    </row>
    <row r="59" spans="1:19" s="684" customFormat="1" ht="18" customHeight="1" x14ac:dyDescent="0.3">
      <c r="A59" s="656">
        <v>52</v>
      </c>
      <c r="B59" s="1105"/>
      <c r="C59" s="676"/>
      <c r="D59" s="677"/>
      <c r="E59" s="225" t="s">
        <v>796</v>
      </c>
      <c r="F59" s="678"/>
      <c r="G59" s="678"/>
      <c r="H59" s="1343"/>
      <c r="I59" s="1100">
        <f>SUM(J59:Q59)</f>
        <v>1907932</v>
      </c>
      <c r="J59" s="1101">
        <f t="shared" ref="J59:R59" si="14">SUM(J44,J48,J52,J55)</f>
        <v>38457</v>
      </c>
      <c r="K59" s="1101">
        <f t="shared" si="14"/>
        <v>22958</v>
      </c>
      <c r="L59" s="1101">
        <f t="shared" si="14"/>
        <v>0</v>
      </c>
      <c r="M59" s="1101">
        <f t="shared" si="14"/>
        <v>0</v>
      </c>
      <c r="N59" s="1101">
        <f t="shared" si="14"/>
        <v>671</v>
      </c>
      <c r="O59" s="1101">
        <f t="shared" si="14"/>
        <v>0</v>
      </c>
      <c r="P59" s="1101">
        <f t="shared" si="14"/>
        <v>65256</v>
      </c>
      <c r="Q59" s="1101">
        <f t="shared" si="14"/>
        <v>1780590</v>
      </c>
      <c r="R59" s="1102">
        <f t="shared" si="14"/>
        <v>1251517</v>
      </c>
    </row>
    <row r="60" spans="1:19" s="684" customFormat="1" ht="18" customHeight="1" thickBot="1" x14ac:dyDescent="0.35">
      <c r="A60" s="656">
        <v>53</v>
      </c>
      <c r="B60" s="1105"/>
      <c r="C60" s="697"/>
      <c r="D60" s="698"/>
      <c r="E60" s="1446" t="s">
        <v>860</v>
      </c>
      <c r="F60" s="699"/>
      <c r="G60" s="699"/>
      <c r="H60" s="1348"/>
      <c r="I60" s="1460">
        <f>SUM(J60:Q60)</f>
        <v>904379</v>
      </c>
      <c r="J60" s="1461">
        <f>SUM(J45:J45,J49:J49,J53:J53,J56,)</f>
        <v>20299</v>
      </c>
      <c r="K60" s="1461">
        <f t="shared" ref="K60:R60" si="15">SUM(K45:K45,K49:K49,K53:K53,K56,)</f>
        <v>14289</v>
      </c>
      <c r="L60" s="1461">
        <f t="shared" si="15"/>
        <v>0</v>
      </c>
      <c r="M60" s="1461">
        <f t="shared" si="15"/>
        <v>0</v>
      </c>
      <c r="N60" s="1461">
        <f t="shared" si="15"/>
        <v>0</v>
      </c>
      <c r="O60" s="1461">
        <f t="shared" si="15"/>
        <v>0</v>
      </c>
      <c r="P60" s="1461">
        <f t="shared" si="15"/>
        <v>65256</v>
      </c>
      <c r="Q60" s="1461">
        <f t="shared" si="15"/>
        <v>804535</v>
      </c>
      <c r="R60" s="1518">
        <f t="shared" si="15"/>
        <v>715591</v>
      </c>
    </row>
    <row r="61" spans="1:19" s="661" customFormat="1" ht="22.5" customHeight="1" thickTop="1" x14ac:dyDescent="0.3">
      <c r="A61" s="656">
        <v>54</v>
      </c>
      <c r="B61" s="663">
        <v>10</v>
      </c>
      <c r="C61" s="664"/>
      <c r="D61" s="655" t="s">
        <v>345</v>
      </c>
      <c r="E61" s="707"/>
      <c r="F61" s="667">
        <v>256766</v>
      </c>
      <c r="G61" s="667">
        <v>239700</v>
      </c>
      <c r="H61" s="1341">
        <v>319958</v>
      </c>
      <c r="I61" s="668"/>
      <c r="J61" s="667"/>
      <c r="K61" s="667"/>
      <c r="L61" s="667"/>
      <c r="M61" s="667"/>
      <c r="N61" s="667"/>
      <c r="O61" s="667"/>
      <c r="P61" s="667"/>
      <c r="Q61" s="667"/>
      <c r="R61" s="939"/>
      <c r="S61" s="660"/>
    </row>
    <row r="62" spans="1:19" s="680" customFormat="1" ht="18" customHeight="1" x14ac:dyDescent="0.3">
      <c r="A62" s="656">
        <v>55</v>
      </c>
      <c r="B62" s="675"/>
      <c r="C62" s="676"/>
      <c r="D62" s="677"/>
      <c r="E62" s="739" t="s">
        <v>268</v>
      </c>
      <c r="F62" s="678"/>
      <c r="G62" s="678"/>
      <c r="H62" s="1343"/>
      <c r="I62" s="679">
        <f>SUM(J62:Q62)</f>
        <v>253600</v>
      </c>
      <c r="J62" s="678">
        <v>38377</v>
      </c>
      <c r="K62" s="678">
        <v>18172</v>
      </c>
      <c r="L62" s="678"/>
      <c r="M62" s="678"/>
      <c r="N62" s="678"/>
      <c r="O62" s="678"/>
      <c r="P62" s="678">
        <v>311</v>
      </c>
      <c r="Q62" s="678">
        <v>196740</v>
      </c>
      <c r="R62" s="940">
        <v>26989</v>
      </c>
    </row>
    <row r="63" spans="1:19" s="680" customFormat="1" ht="18" customHeight="1" x14ac:dyDescent="0.3">
      <c r="A63" s="656">
        <v>56</v>
      </c>
      <c r="B63" s="675"/>
      <c r="C63" s="676"/>
      <c r="D63" s="677"/>
      <c r="E63" s="224" t="s">
        <v>796</v>
      </c>
      <c r="F63" s="678"/>
      <c r="G63" s="678"/>
      <c r="H63" s="1343"/>
      <c r="I63" s="1100">
        <f>SUM(J63:Q63)</f>
        <v>355493</v>
      </c>
      <c r="J63" s="827">
        <v>38377</v>
      </c>
      <c r="K63" s="827">
        <v>19012</v>
      </c>
      <c r="L63" s="827">
        <v>31800</v>
      </c>
      <c r="M63" s="827"/>
      <c r="N63" s="827"/>
      <c r="O63" s="827">
        <v>200</v>
      </c>
      <c r="P63" s="827">
        <v>63494</v>
      </c>
      <c r="Q63" s="827">
        <v>202610</v>
      </c>
      <c r="R63" s="1095">
        <v>26989</v>
      </c>
    </row>
    <row r="64" spans="1:19" s="680" customFormat="1" ht="18" customHeight="1" x14ac:dyDescent="0.3">
      <c r="A64" s="656">
        <v>57</v>
      </c>
      <c r="B64" s="675"/>
      <c r="C64" s="676"/>
      <c r="D64" s="677"/>
      <c r="E64" s="976" t="s">
        <v>861</v>
      </c>
      <c r="F64" s="678"/>
      <c r="G64" s="678"/>
      <c r="H64" s="1343"/>
      <c r="I64" s="1106">
        <f t="shared" ref="I64" si="16">SUM(J64:Q64)</f>
        <v>175445</v>
      </c>
      <c r="J64" s="674">
        <v>30818</v>
      </c>
      <c r="K64" s="674">
        <f>24804-5292</f>
        <v>19512</v>
      </c>
      <c r="L64" s="674">
        <v>32140</v>
      </c>
      <c r="M64" s="674"/>
      <c r="N64" s="827"/>
      <c r="O64" s="674">
        <v>3140</v>
      </c>
      <c r="P64" s="674">
        <v>63494</v>
      </c>
      <c r="Q64" s="674">
        <v>26341</v>
      </c>
      <c r="R64" s="831">
        <v>14035</v>
      </c>
    </row>
    <row r="65" spans="1:19" s="706" customFormat="1" ht="30" customHeight="1" x14ac:dyDescent="0.3">
      <c r="A65" s="656">
        <v>58</v>
      </c>
      <c r="B65" s="669"/>
      <c r="C65" s="705">
        <v>1</v>
      </c>
      <c r="D65" s="1601" t="s">
        <v>381</v>
      </c>
      <c r="E65" s="1602"/>
      <c r="F65" s="672">
        <v>33609</v>
      </c>
      <c r="G65" s="672">
        <v>75640</v>
      </c>
      <c r="H65" s="1342">
        <v>33064</v>
      </c>
      <c r="I65" s="673"/>
      <c r="J65" s="672"/>
      <c r="K65" s="672"/>
      <c r="L65" s="672"/>
      <c r="M65" s="672"/>
      <c r="N65" s="672"/>
      <c r="O65" s="672"/>
      <c r="P65" s="672"/>
      <c r="Q65" s="672"/>
      <c r="R65" s="831"/>
      <c r="S65" s="660"/>
    </row>
    <row r="66" spans="1:19" s="680" customFormat="1" ht="18" customHeight="1" x14ac:dyDescent="0.3">
      <c r="A66" s="656">
        <v>59</v>
      </c>
      <c r="B66" s="696"/>
      <c r="C66" s="701"/>
      <c r="D66" s="702"/>
      <c r="E66" s="787" t="s">
        <v>268</v>
      </c>
      <c r="F66" s="703"/>
      <c r="G66" s="703"/>
      <c r="H66" s="1347"/>
      <c r="I66" s="704">
        <f>SUM(J66:Q66)</f>
        <v>66535</v>
      </c>
      <c r="J66" s="703"/>
      <c r="K66" s="703">
        <v>43829</v>
      </c>
      <c r="L66" s="703"/>
      <c r="M66" s="703"/>
      <c r="N66" s="703">
        <v>2741</v>
      </c>
      <c r="O66" s="703"/>
      <c r="P66" s="703">
        <v>19965</v>
      </c>
      <c r="Q66" s="703"/>
      <c r="R66" s="943"/>
    </row>
    <row r="67" spans="1:19" s="680" customFormat="1" ht="18" customHeight="1" x14ac:dyDescent="0.3">
      <c r="A67" s="656">
        <v>60</v>
      </c>
      <c r="B67" s="696"/>
      <c r="C67" s="701"/>
      <c r="D67" s="702"/>
      <c r="E67" s="224" t="s">
        <v>796</v>
      </c>
      <c r="F67" s="703"/>
      <c r="G67" s="703"/>
      <c r="H67" s="1347"/>
      <c r="I67" s="1100">
        <f t="shared" ref="I67:I68" si="17">SUM(J67:Q67)</f>
        <v>66535</v>
      </c>
      <c r="J67" s="1101"/>
      <c r="K67" s="1101">
        <v>43829</v>
      </c>
      <c r="L67" s="1101"/>
      <c r="M67" s="1101"/>
      <c r="N67" s="1101">
        <v>2741</v>
      </c>
      <c r="O67" s="1101"/>
      <c r="P67" s="1101">
        <v>19965</v>
      </c>
      <c r="Q67" s="1101"/>
      <c r="R67" s="1104"/>
    </row>
    <row r="68" spans="1:19" s="680" customFormat="1" ht="18" customHeight="1" x14ac:dyDescent="0.3">
      <c r="A68" s="656">
        <v>61</v>
      </c>
      <c r="B68" s="696"/>
      <c r="C68" s="701"/>
      <c r="D68" s="702"/>
      <c r="E68" s="976" t="s">
        <v>860</v>
      </c>
      <c r="F68" s="703"/>
      <c r="G68" s="703"/>
      <c r="H68" s="1347"/>
      <c r="I68" s="1106">
        <f t="shared" si="17"/>
        <v>25257</v>
      </c>
      <c r="J68" s="1101"/>
      <c r="K68" s="1107">
        <v>5292</v>
      </c>
      <c r="L68" s="1101"/>
      <c r="M68" s="1101"/>
      <c r="N68" s="1101"/>
      <c r="O68" s="1101"/>
      <c r="P68" s="1107">
        <v>19965</v>
      </c>
      <c r="Q68" s="1101"/>
      <c r="R68" s="1104"/>
    </row>
    <row r="69" spans="1:19" s="706" customFormat="1" ht="30" customHeight="1" x14ac:dyDescent="0.3">
      <c r="A69" s="656">
        <v>62</v>
      </c>
      <c r="B69" s="669"/>
      <c r="C69" s="705">
        <v>2</v>
      </c>
      <c r="D69" s="1601" t="s">
        <v>639</v>
      </c>
      <c r="E69" s="1602"/>
      <c r="F69" s="672"/>
      <c r="G69" s="672"/>
      <c r="H69" s="1342">
        <v>20000</v>
      </c>
      <c r="I69" s="673"/>
      <c r="J69" s="672"/>
      <c r="K69" s="672"/>
      <c r="L69" s="672"/>
      <c r="M69" s="672"/>
      <c r="N69" s="672"/>
      <c r="O69" s="672"/>
      <c r="P69" s="672"/>
      <c r="Q69" s="672"/>
      <c r="R69" s="831"/>
      <c r="S69" s="660"/>
    </row>
    <row r="70" spans="1:19" s="680" customFormat="1" ht="18" customHeight="1" x14ac:dyDescent="0.3">
      <c r="A70" s="656">
        <v>63</v>
      </c>
      <c r="B70" s="696"/>
      <c r="C70" s="701"/>
      <c r="D70" s="702"/>
      <c r="E70" s="787" t="s">
        <v>268</v>
      </c>
      <c r="F70" s="703"/>
      <c r="G70" s="703"/>
      <c r="H70" s="1347"/>
      <c r="I70" s="704">
        <f>SUM(J70:Q70)</f>
        <v>1173</v>
      </c>
      <c r="J70" s="703"/>
      <c r="K70" s="703"/>
      <c r="L70" s="703"/>
      <c r="M70" s="703"/>
      <c r="N70" s="703"/>
      <c r="O70" s="703"/>
      <c r="P70" s="703">
        <v>1173</v>
      </c>
      <c r="Q70" s="703"/>
      <c r="R70" s="943"/>
    </row>
    <row r="71" spans="1:19" s="680" customFormat="1" ht="18" customHeight="1" x14ac:dyDescent="0.3">
      <c r="A71" s="656">
        <v>64</v>
      </c>
      <c r="B71" s="696"/>
      <c r="C71" s="701"/>
      <c r="D71" s="702"/>
      <c r="E71" s="224" t="s">
        <v>796</v>
      </c>
      <c r="F71" s="703"/>
      <c r="G71" s="703"/>
      <c r="H71" s="1347"/>
      <c r="I71" s="1100">
        <f t="shared" ref="I71:I72" si="18">SUM(J71:Q71)</f>
        <v>1173</v>
      </c>
      <c r="J71" s="703"/>
      <c r="K71" s="703"/>
      <c r="L71" s="703"/>
      <c r="M71" s="703"/>
      <c r="N71" s="703"/>
      <c r="O71" s="703"/>
      <c r="P71" s="1101">
        <v>1173</v>
      </c>
      <c r="Q71" s="703"/>
      <c r="R71" s="943"/>
    </row>
    <row r="72" spans="1:19" s="680" customFormat="1" ht="18" customHeight="1" x14ac:dyDescent="0.3">
      <c r="A72" s="656">
        <v>65</v>
      </c>
      <c r="B72" s="696"/>
      <c r="C72" s="701"/>
      <c r="D72" s="702"/>
      <c r="E72" s="976" t="s">
        <v>860</v>
      </c>
      <c r="F72" s="703"/>
      <c r="G72" s="703"/>
      <c r="H72" s="1347"/>
      <c r="I72" s="1106">
        <f t="shared" si="18"/>
        <v>1173</v>
      </c>
      <c r="J72" s="703"/>
      <c r="K72" s="703"/>
      <c r="L72" s="703"/>
      <c r="M72" s="703"/>
      <c r="N72" s="703"/>
      <c r="O72" s="703"/>
      <c r="P72" s="1107">
        <v>1173</v>
      </c>
      <c r="Q72" s="703"/>
      <c r="R72" s="943"/>
    </row>
    <row r="73" spans="1:19" s="706" customFormat="1" ht="22.5" customHeight="1" x14ac:dyDescent="0.3">
      <c r="A73" s="656">
        <v>66</v>
      </c>
      <c r="B73" s="669">
        <v>11</v>
      </c>
      <c r="C73" s="670"/>
      <c r="D73" s="690" t="s">
        <v>339</v>
      </c>
      <c r="E73" s="690"/>
      <c r="F73" s="672">
        <v>154309</v>
      </c>
      <c r="G73" s="672">
        <v>156915</v>
      </c>
      <c r="H73" s="1342">
        <v>183589</v>
      </c>
      <c r="I73" s="673"/>
      <c r="J73" s="672"/>
      <c r="K73" s="672"/>
      <c r="L73" s="672"/>
      <c r="M73" s="672"/>
      <c r="N73" s="672"/>
      <c r="O73" s="672"/>
      <c r="P73" s="672"/>
      <c r="Q73" s="672"/>
      <c r="R73" s="831"/>
      <c r="S73" s="660"/>
    </row>
    <row r="74" spans="1:19" s="680" customFormat="1" ht="18" customHeight="1" x14ac:dyDescent="0.3">
      <c r="A74" s="656">
        <v>67</v>
      </c>
      <c r="B74" s="675"/>
      <c r="C74" s="676"/>
      <c r="D74" s="677"/>
      <c r="E74" s="739" t="s">
        <v>268</v>
      </c>
      <c r="F74" s="678"/>
      <c r="G74" s="678"/>
      <c r="H74" s="1343"/>
      <c r="I74" s="679">
        <f>SUM(J74:Q74)</f>
        <v>173307</v>
      </c>
      <c r="J74" s="678">
        <v>12693</v>
      </c>
      <c r="K74" s="678"/>
      <c r="L74" s="678"/>
      <c r="M74" s="678"/>
      <c r="N74" s="678"/>
      <c r="O74" s="678"/>
      <c r="P74" s="678">
        <v>9503</v>
      </c>
      <c r="Q74" s="678">
        <v>151111</v>
      </c>
      <c r="R74" s="940">
        <v>25598</v>
      </c>
    </row>
    <row r="75" spans="1:19" s="680" customFormat="1" ht="18" customHeight="1" x14ac:dyDescent="0.3">
      <c r="A75" s="656">
        <v>68</v>
      </c>
      <c r="B75" s="675"/>
      <c r="C75" s="676"/>
      <c r="D75" s="677"/>
      <c r="E75" s="224" t="s">
        <v>796</v>
      </c>
      <c r="F75" s="678"/>
      <c r="G75" s="678"/>
      <c r="H75" s="1343"/>
      <c r="I75" s="1100">
        <f t="shared" ref="I75:I76" si="19">SUM(J75:Q75)</f>
        <v>379241</v>
      </c>
      <c r="J75" s="827">
        <v>51365</v>
      </c>
      <c r="K75" s="827">
        <v>19586</v>
      </c>
      <c r="L75" s="827">
        <v>115083</v>
      </c>
      <c r="M75" s="827"/>
      <c r="N75" s="827">
        <v>3680</v>
      </c>
      <c r="O75" s="827">
        <v>41505</v>
      </c>
      <c r="P75" s="827">
        <v>11837</v>
      </c>
      <c r="Q75" s="827">
        <v>136185</v>
      </c>
      <c r="R75" s="1095">
        <v>25598</v>
      </c>
    </row>
    <row r="76" spans="1:19" s="680" customFormat="1" ht="18" customHeight="1" x14ac:dyDescent="0.3">
      <c r="A76" s="656">
        <v>69</v>
      </c>
      <c r="B76" s="675"/>
      <c r="C76" s="676"/>
      <c r="D76" s="677"/>
      <c r="E76" s="976" t="s">
        <v>860</v>
      </c>
      <c r="F76" s="678"/>
      <c r="G76" s="678"/>
      <c r="H76" s="1343"/>
      <c r="I76" s="1106">
        <f t="shared" si="19"/>
        <v>153509</v>
      </c>
      <c r="J76" s="674">
        <v>5848</v>
      </c>
      <c r="K76" s="674">
        <v>19586</v>
      </c>
      <c r="L76" s="674">
        <v>46650</v>
      </c>
      <c r="M76" s="674"/>
      <c r="N76" s="674">
        <v>3680</v>
      </c>
      <c r="O76" s="674">
        <v>4873</v>
      </c>
      <c r="P76" s="674">
        <v>11837</v>
      </c>
      <c r="Q76" s="674">
        <v>61035</v>
      </c>
      <c r="R76" s="831">
        <v>13307</v>
      </c>
    </row>
    <row r="77" spans="1:19" s="706" customFormat="1" ht="18" customHeight="1" x14ac:dyDescent="0.3">
      <c r="A77" s="656">
        <v>70</v>
      </c>
      <c r="B77" s="669"/>
      <c r="C77" s="670">
        <v>1</v>
      </c>
      <c r="D77" s="682" t="s">
        <v>461</v>
      </c>
      <c r="E77" s="1516"/>
      <c r="F77" s="672">
        <v>1879</v>
      </c>
      <c r="G77" s="672">
        <v>2349</v>
      </c>
      <c r="H77" s="1342">
        <v>1879</v>
      </c>
      <c r="I77" s="673"/>
      <c r="J77" s="672"/>
      <c r="K77" s="672"/>
      <c r="L77" s="672"/>
      <c r="M77" s="672"/>
      <c r="N77" s="672"/>
      <c r="O77" s="672"/>
      <c r="P77" s="672"/>
      <c r="Q77" s="672"/>
      <c r="R77" s="831"/>
      <c r="S77" s="660"/>
    </row>
    <row r="78" spans="1:19" s="680" customFormat="1" ht="18" customHeight="1" x14ac:dyDescent="0.3">
      <c r="A78" s="656">
        <v>71</v>
      </c>
      <c r="B78" s="696"/>
      <c r="C78" s="701"/>
      <c r="D78" s="702"/>
      <c r="E78" s="787" t="s">
        <v>268</v>
      </c>
      <c r="F78" s="703"/>
      <c r="G78" s="703"/>
      <c r="H78" s="1347"/>
      <c r="I78" s="704">
        <f>SUM(J78:Q78)</f>
        <v>0</v>
      </c>
      <c r="J78" s="703"/>
      <c r="K78" s="703"/>
      <c r="L78" s="703"/>
      <c r="M78" s="703"/>
      <c r="N78" s="703"/>
      <c r="O78" s="703"/>
      <c r="P78" s="703"/>
      <c r="Q78" s="703"/>
      <c r="R78" s="943"/>
    </row>
    <row r="79" spans="1:19" s="680" customFormat="1" ht="18" customHeight="1" x14ac:dyDescent="0.3">
      <c r="A79" s="656">
        <v>72</v>
      </c>
      <c r="B79" s="696"/>
      <c r="C79" s="701"/>
      <c r="D79" s="702"/>
      <c r="E79" s="224" t="s">
        <v>796</v>
      </c>
      <c r="F79" s="703"/>
      <c r="G79" s="703"/>
      <c r="H79" s="1347"/>
      <c r="I79" s="1100">
        <f t="shared" ref="I79:I80" si="20">SUM(J79:Q79)</f>
        <v>470</v>
      </c>
      <c r="J79" s="703"/>
      <c r="K79" s="1101"/>
      <c r="L79" s="1101">
        <v>470</v>
      </c>
      <c r="M79" s="703"/>
      <c r="N79" s="703"/>
      <c r="O79" s="703"/>
      <c r="P79" s="703"/>
      <c r="Q79" s="703"/>
      <c r="R79" s="943"/>
    </row>
    <row r="80" spans="1:19" s="680" customFormat="1" ht="18" customHeight="1" x14ac:dyDescent="0.3">
      <c r="A80" s="656">
        <v>73</v>
      </c>
      <c r="B80" s="696"/>
      <c r="C80" s="701"/>
      <c r="D80" s="702"/>
      <c r="E80" s="976" t="s">
        <v>861</v>
      </c>
      <c r="F80" s="703"/>
      <c r="G80" s="703"/>
      <c r="H80" s="1347"/>
      <c r="I80" s="1106">
        <f t="shared" si="20"/>
        <v>0</v>
      </c>
      <c r="J80" s="703"/>
      <c r="K80" s="1107"/>
      <c r="L80" s="1107"/>
      <c r="M80" s="703"/>
      <c r="N80" s="703"/>
      <c r="O80" s="703"/>
      <c r="P80" s="703"/>
      <c r="Q80" s="703"/>
      <c r="R80" s="943"/>
    </row>
    <row r="81" spans="1:19" s="706" customFormat="1" ht="18" customHeight="1" x14ac:dyDescent="0.3">
      <c r="A81" s="656">
        <v>74</v>
      </c>
      <c r="B81" s="669"/>
      <c r="C81" s="670">
        <v>2</v>
      </c>
      <c r="D81" s="682" t="s">
        <v>640</v>
      </c>
      <c r="E81" s="1516"/>
      <c r="F81" s="672"/>
      <c r="G81" s="672"/>
      <c r="H81" s="1342">
        <v>15000</v>
      </c>
      <c r="I81" s="673"/>
      <c r="J81" s="672"/>
      <c r="K81" s="672"/>
      <c r="L81" s="672"/>
      <c r="M81" s="672"/>
      <c r="N81" s="672"/>
      <c r="O81" s="672"/>
      <c r="P81" s="672"/>
      <c r="Q81" s="672"/>
      <c r="R81" s="831"/>
      <c r="S81" s="660"/>
    </row>
    <row r="82" spans="1:19" s="680" customFormat="1" ht="18" customHeight="1" x14ac:dyDescent="0.3">
      <c r="A82" s="656">
        <v>75</v>
      </c>
      <c r="B82" s="696"/>
      <c r="C82" s="701"/>
      <c r="D82" s="702"/>
      <c r="E82" s="787" t="s">
        <v>268</v>
      </c>
      <c r="F82" s="703"/>
      <c r="G82" s="703"/>
      <c r="H82" s="1347"/>
      <c r="I82" s="704">
        <f>SUM(J82:Q82)</f>
        <v>7512</v>
      </c>
      <c r="J82" s="703"/>
      <c r="K82" s="703"/>
      <c r="L82" s="703"/>
      <c r="M82" s="703"/>
      <c r="N82" s="703"/>
      <c r="O82" s="703"/>
      <c r="P82" s="703">
        <v>7512</v>
      </c>
      <c r="Q82" s="703"/>
      <c r="R82" s="943"/>
    </row>
    <row r="83" spans="1:19" s="680" customFormat="1" ht="18" customHeight="1" x14ac:dyDescent="0.3">
      <c r="A83" s="656">
        <v>76</v>
      </c>
      <c r="B83" s="696"/>
      <c r="C83" s="701"/>
      <c r="D83" s="702"/>
      <c r="E83" s="224" t="s">
        <v>796</v>
      </c>
      <c r="F83" s="703"/>
      <c r="G83" s="703"/>
      <c r="H83" s="1347"/>
      <c r="I83" s="1100">
        <f t="shared" ref="I83:I84" si="21">SUM(J83:Q83)</f>
        <v>7512</v>
      </c>
      <c r="J83" s="703"/>
      <c r="K83" s="703"/>
      <c r="L83" s="703"/>
      <c r="M83" s="703"/>
      <c r="N83" s="703"/>
      <c r="O83" s="703"/>
      <c r="P83" s="1101">
        <v>7512</v>
      </c>
      <c r="Q83" s="703"/>
      <c r="R83" s="943"/>
    </row>
    <row r="84" spans="1:19" s="680" customFormat="1" ht="18" customHeight="1" x14ac:dyDescent="0.3">
      <c r="A84" s="656">
        <v>77</v>
      </c>
      <c r="B84" s="696"/>
      <c r="C84" s="701"/>
      <c r="D84" s="702"/>
      <c r="E84" s="976" t="s">
        <v>860</v>
      </c>
      <c r="F84" s="703"/>
      <c r="G84" s="703"/>
      <c r="H84" s="1347"/>
      <c r="I84" s="1106">
        <f t="shared" si="21"/>
        <v>7512</v>
      </c>
      <c r="J84" s="703"/>
      <c r="K84" s="703"/>
      <c r="L84" s="703"/>
      <c r="M84" s="703"/>
      <c r="N84" s="703"/>
      <c r="O84" s="703"/>
      <c r="P84" s="1107">
        <v>7512</v>
      </c>
      <c r="Q84" s="703"/>
      <c r="R84" s="943"/>
    </row>
    <row r="85" spans="1:19" s="685" customFormat="1" ht="22.5" customHeight="1" x14ac:dyDescent="0.3">
      <c r="A85" s="656">
        <v>78</v>
      </c>
      <c r="B85" s="669">
        <v>12</v>
      </c>
      <c r="C85" s="670"/>
      <c r="D85" s="690" t="s">
        <v>25</v>
      </c>
      <c r="E85" s="708"/>
      <c r="F85" s="672">
        <v>460446</v>
      </c>
      <c r="G85" s="672">
        <v>458734</v>
      </c>
      <c r="H85" s="1342">
        <v>486711</v>
      </c>
      <c r="I85" s="673"/>
      <c r="J85" s="672"/>
      <c r="K85" s="672"/>
      <c r="L85" s="672"/>
      <c r="M85" s="672"/>
      <c r="N85" s="672"/>
      <c r="O85" s="672"/>
      <c r="P85" s="672"/>
      <c r="Q85" s="672"/>
      <c r="R85" s="831"/>
    </row>
    <row r="86" spans="1:19" s="691" customFormat="1" ht="18" customHeight="1" x14ac:dyDescent="0.3">
      <c r="A86" s="656">
        <v>79</v>
      </c>
      <c r="B86" s="675"/>
      <c r="C86" s="676"/>
      <c r="D86" s="677"/>
      <c r="E86" s="739" t="s">
        <v>268</v>
      </c>
      <c r="F86" s="678"/>
      <c r="G86" s="678"/>
      <c r="H86" s="1343"/>
      <c r="I86" s="679">
        <f>SUM(J86:Q86)</f>
        <v>531198</v>
      </c>
      <c r="J86" s="678">
        <v>30171</v>
      </c>
      <c r="K86" s="678">
        <v>40025</v>
      </c>
      <c r="L86" s="678"/>
      <c r="M86" s="678"/>
      <c r="N86" s="678"/>
      <c r="O86" s="678"/>
      <c r="P86" s="678"/>
      <c r="Q86" s="678">
        <v>461002</v>
      </c>
      <c r="R86" s="940">
        <v>290456</v>
      </c>
    </row>
    <row r="87" spans="1:19" s="691" customFormat="1" ht="18" customHeight="1" x14ac:dyDescent="0.3">
      <c r="A87" s="656">
        <v>80</v>
      </c>
      <c r="B87" s="675"/>
      <c r="C87" s="676"/>
      <c r="D87" s="677"/>
      <c r="E87" s="224" t="s">
        <v>796</v>
      </c>
      <c r="F87" s="678"/>
      <c r="G87" s="678"/>
      <c r="H87" s="1343"/>
      <c r="I87" s="1100">
        <f t="shared" ref="I87:I88" si="22">SUM(J87:Q87)</f>
        <v>591126</v>
      </c>
      <c r="J87" s="827">
        <v>37178</v>
      </c>
      <c r="K87" s="827">
        <v>37503</v>
      </c>
      <c r="L87" s="827">
        <v>3141</v>
      </c>
      <c r="M87" s="827"/>
      <c r="N87" s="827"/>
      <c r="O87" s="827">
        <v>25203</v>
      </c>
      <c r="P87" s="827">
        <v>22843</v>
      </c>
      <c r="Q87" s="827">
        <v>465258</v>
      </c>
      <c r="R87" s="1095">
        <v>294712</v>
      </c>
    </row>
    <row r="88" spans="1:19" s="691" customFormat="1" ht="18" customHeight="1" x14ac:dyDescent="0.3">
      <c r="A88" s="656">
        <v>81</v>
      </c>
      <c r="B88" s="675"/>
      <c r="C88" s="676"/>
      <c r="D88" s="677"/>
      <c r="E88" s="976" t="s">
        <v>861</v>
      </c>
      <c r="F88" s="678"/>
      <c r="G88" s="678"/>
      <c r="H88" s="1343"/>
      <c r="I88" s="1106">
        <f t="shared" si="22"/>
        <v>343638</v>
      </c>
      <c r="J88" s="674">
        <v>21515</v>
      </c>
      <c r="K88" s="674">
        <v>37503</v>
      </c>
      <c r="L88" s="674">
        <v>3071</v>
      </c>
      <c r="M88" s="827"/>
      <c r="N88" s="827"/>
      <c r="O88" s="674">
        <v>20163</v>
      </c>
      <c r="P88" s="674">
        <v>22843</v>
      </c>
      <c r="Q88" s="674">
        <v>238543</v>
      </c>
      <c r="R88" s="831">
        <v>155293</v>
      </c>
    </row>
    <row r="89" spans="1:19" s="685" customFormat="1" ht="30" customHeight="1" x14ac:dyDescent="0.3">
      <c r="A89" s="656">
        <v>82</v>
      </c>
      <c r="B89" s="686"/>
      <c r="C89" s="705">
        <v>2</v>
      </c>
      <c r="D89" s="1601" t="s">
        <v>381</v>
      </c>
      <c r="E89" s="1602"/>
      <c r="F89" s="672">
        <v>18642</v>
      </c>
      <c r="G89" s="672">
        <v>49690</v>
      </c>
      <c r="H89" s="1342">
        <v>16646</v>
      </c>
      <c r="I89" s="673"/>
      <c r="J89" s="672"/>
      <c r="K89" s="672"/>
      <c r="L89" s="672"/>
      <c r="M89" s="672"/>
      <c r="N89" s="672"/>
      <c r="O89" s="672"/>
      <c r="P89" s="672"/>
      <c r="Q89" s="672"/>
      <c r="R89" s="831"/>
    </row>
    <row r="90" spans="1:19" s="681" customFormat="1" ht="18" customHeight="1" x14ac:dyDescent="0.3">
      <c r="A90" s="656">
        <v>83</v>
      </c>
      <c r="B90" s="696"/>
      <c r="C90" s="676"/>
      <c r="D90" s="677"/>
      <c r="E90" s="787" t="s">
        <v>268</v>
      </c>
      <c r="F90" s="678"/>
      <c r="G90" s="678"/>
      <c r="H90" s="1343"/>
      <c r="I90" s="679">
        <f>SUM(J90:Q90)</f>
        <v>38331</v>
      </c>
      <c r="J90" s="678"/>
      <c r="K90" s="678">
        <v>26691</v>
      </c>
      <c r="L90" s="678"/>
      <c r="M90" s="678"/>
      <c r="N90" s="678"/>
      <c r="O90" s="678"/>
      <c r="P90" s="678">
        <v>11640</v>
      </c>
      <c r="Q90" s="678"/>
      <c r="R90" s="940"/>
      <c r="S90" s="680"/>
    </row>
    <row r="91" spans="1:19" s="681" customFormat="1" ht="18" customHeight="1" x14ac:dyDescent="0.3">
      <c r="A91" s="656">
        <v>84</v>
      </c>
      <c r="B91" s="696"/>
      <c r="C91" s="676"/>
      <c r="D91" s="677"/>
      <c r="E91" s="224" t="s">
        <v>796</v>
      </c>
      <c r="F91" s="678"/>
      <c r="G91" s="678"/>
      <c r="H91" s="1343"/>
      <c r="I91" s="1100">
        <f t="shared" ref="I91:I92" si="23">SUM(J91:Q91)</f>
        <v>38331</v>
      </c>
      <c r="J91" s="678"/>
      <c r="K91" s="827">
        <v>26691</v>
      </c>
      <c r="L91" s="827"/>
      <c r="M91" s="827"/>
      <c r="N91" s="827"/>
      <c r="O91" s="827"/>
      <c r="P91" s="827">
        <v>11640</v>
      </c>
      <c r="Q91" s="678"/>
      <c r="R91" s="940"/>
      <c r="S91" s="680"/>
    </row>
    <row r="92" spans="1:19" s="681" customFormat="1" ht="18" customHeight="1" x14ac:dyDescent="0.3">
      <c r="A92" s="656">
        <v>85</v>
      </c>
      <c r="B92" s="696"/>
      <c r="C92" s="676"/>
      <c r="D92" s="677"/>
      <c r="E92" s="976" t="s">
        <v>860</v>
      </c>
      <c r="F92" s="678"/>
      <c r="G92" s="678"/>
      <c r="H92" s="1343"/>
      <c r="I92" s="1106">
        <f t="shared" si="23"/>
        <v>11640</v>
      </c>
      <c r="J92" s="678"/>
      <c r="K92" s="827"/>
      <c r="L92" s="827"/>
      <c r="M92" s="827"/>
      <c r="N92" s="827"/>
      <c r="O92" s="827"/>
      <c r="P92" s="674">
        <v>11640</v>
      </c>
      <c r="Q92" s="678"/>
      <c r="R92" s="940"/>
      <c r="S92" s="680"/>
    </row>
    <row r="93" spans="1:19" s="685" customFormat="1" ht="22.5" customHeight="1" x14ac:dyDescent="0.3">
      <c r="A93" s="656">
        <v>86</v>
      </c>
      <c r="B93" s="669">
        <v>13</v>
      </c>
      <c r="C93" s="670"/>
      <c r="D93" s="690" t="s">
        <v>32</v>
      </c>
      <c r="E93" s="708"/>
      <c r="F93" s="672">
        <v>437547</v>
      </c>
      <c r="G93" s="672">
        <v>442284</v>
      </c>
      <c r="H93" s="1342">
        <v>494751</v>
      </c>
      <c r="I93" s="673"/>
      <c r="J93" s="672"/>
      <c r="K93" s="672"/>
      <c r="L93" s="672"/>
      <c r="M93" s="672"/>
      <c r="N93" s="672"/>
      <c r="O93" s="672"/>
      <c r="P93" s="672"/>
      <c r="Q93" s="672"/>
      <c r="R93" s="831"/>
    </row>
    <row r="94" spans="1:19" s="691" customFormat="1" ht="18" customHeight="1" x14ac:dyDescent="0.3">
      <c r="A94" s="656">
        <v>87</v>
      </c>
      <c r="B94" s="675"/>
      <c r="C94" s="676"/>
      <c r="D94" s="677"/>
      <c r="E94" s="739" t="s">
        <v>268</v>
      </c>
      <c r="F94" s="678"/>
      <c r="G94" s="678"/>
      <c r="H94" s="1343"/>
      <c r="I94" s="679">
        <f>SUM(J94:Q94)</f>
        <v>410179</v>
      </c>
      <c r="J94" s="678">
        <v>96166</v>
      </c>
      <c r="K94" s="678">
        <v>38692</v>
      </c>
      <c r="L94" s="678">
        <v>5210</v>
      </c>
      <c r="M94" s="678"/>
      <c r="N94" s="678"/>
      <c r="O94" s="678"/>
      <c r="P94" s="678">
        <v>15219</v>
      </c>
      <c r="Q94" s="678">
        <v>254892</v>
      </c>
      <c r="R94" s="940">
        <v>120660</v>
      </c>
    </row>
    <row r="95" spans="1:19" s="691" customFormat="1" ht="18" customHeight="1" x14ac:dyDescent="0.3">
      <c r="A95" s="656">
        <v>88</v>
      </c>
      <c r="B95" s="675"/>
      <c r="C95" s="676"/>
      <c r="D95" s="677"/>
      <c r="E95" s="224" t="s">
        <v>796</v>
      </c>
      <c r="F95" s="678"/>
      <c r="G95" s="678"/>
      <c r="H95" s="1343"/>
      <c r="I95" s="1100">
        <f t="shared" ref="I95:I96" si="24">SUM(J95:Q95)</f>
        <v>510443</v>
      </c>
      <c r="J95" s="827">
        <v>123641</v>
      </c>
      <c r="K95" s="827">
        <v>38692</v>
      </c>
      <c r="L95" s="827">
        <v>7210</v>
      </c>
      <c r="M95" s="827"/>
      <c r="N95" s="827">
        <v>450</v>
      </c>
      <c r="O95" s="827"/>
      <c r="P95" s="827">
        <v>85558</v>
      </c>
      <c r="Q95" s="827">
        <v>254892</v>
      </c>
      <c r="R95" s="1095">
        <v>120660</v>
      </c>
    </row>
    <row r="96" spans="1:19" s="691" customFormat="1" ht="18" customHeight="1" x14ac:dyDescent="0.3">
      <c r="A96" s="656">
        <v>89</v>
      </c>
      <c r="B96" s="675"/>
      <c r="C96" s="676"/>
      <c r="D96" s="677"/>
      <c r="E96" s="976" t="s">
        <v>861</v>
      </c>
      <c r="F96" s="678"/>
      <c r="G96" s="678"/>
      <c r="H96" s="1343"/>
      <c r="I96" s="1106">
        <f t="shared" si="24"/>
        <v>284423</v>
      </c>
      <c r="J96" s="674">
        <v>58915</v>
      </c>
      <c r="K96" s="674">
        <v>38692</v>
      </c>
      <c r="L96" s="674">
        <v>11747</v>
      </c>
      <c r="M96" s="674"/>
      <c r="N96" s="674">
        <v>450</v>
      </c>
      <c r="O96" s="674">
        <v>11671</v>
      </c>
      <c r="P96" s="674">
        <v>85558</v>
      </c>
      <c r="Q96" s="674">
        <v>77390</v>
      </c>
      <c r="R96" s="831">
        <v>62743</v>
      </c>
    </row>
    <row r="97" spans="1:19" s="706" customFormat="1" ht="18" customHeight="1" x14ac:dyDescent="0.3">
      <c r="A97" s="656">
        <v>90</v>
      </c>
      <c r="B97" s="669"/>
      <c r="C97" s="670">
        <v>1</v>
      </c>
      <c r="D97" s="682" t="s">
        <v>461</v>
      </c>
      <c r="E97" s="1516"/>
      <c r="F97" s="672">
        <v>8944</v>
      </c>
      <c r="G97" s="672">
        <v>8944</v>
      </c>
      <c r="H97" s="1342">
        <v>8944</v>
      </c>
      <c r="I97" s="673"/>
      <c r="J97" s="672"/>
      <c r="K97" s="672"/>
      <c r="L97" s="672"/>
      <c r="M97" s="672"/>
      <c r="N97" s="672"/>
      <c r="O97" s="672"/>
      <c r="P97" s="672"/>
      <c r="Q97" s="672"/>
      <c r="R97" s="831"/>
      <c r="S97" s="660"/>
    </row>
    <row r="98" spans="1:19" s="680" customFormat="1" ht="18" customHeight="1" x14ac:dyDescent="0.3">
      <c r="A98" s="656">
        <v>91</v>
      </c>
      <c r="B98" s="696"/>
      <c r="C98" s="701"/>
      <c r="D98" s="702"/>
      <c r="E98" s="787" t="s">
        <v>268</v>
      </c>
      <c r="F98" s="703"/>
      <c r="G98" s="703"/>
      <c r="H98" s="1347"/>
      <c r="I98" s="704">
        <f>SUM(J98:Q98)</f>
        <v>8944</v>
      </c>
      <c r="J98" s="703"/>
      <c r="K98" s="703"/>
      <c r="L98" s="703"/>
      <c r="M98" s="703"/>
      <c r="N98" s="703"/>
      <c r="O98" s="703"/>
      <c r="P98" s="703">
        <v>8944</v>
      </c>
      <c r="Q98" s="703"/>
      <c r="R98" s="943"/>
    </row>
    <row r="99" spans="1:19" s="680" customFormat="1" ht="18" customHeight="1" x14ac:dyDescent="0.3">
      <c r="A99" s="656">
        <v>92</v>
      </c>
      <c r="B99" s="696"/>
      <c r="C99" s="701"/>
      <c r="D99" s="702"/>
      <c r="E99" s="224" t="s">
        <v>796</v>
      </c>
      <c r="F99" s="703"/>
      <c r="G99" s="703"/>
      <c r="H99" s="1347"/>
      <c r="I99" s="1100">
        <f t="shared" ref="I99:I100" si="25">SUM(J99:Q99)</f>
        <v>8944</v>
      </c>
      <c r="J99" s="703"/>
      <c r="K99" s="703"/>
      <c r="L99" s="703"/>
      <c r="M99" s="703"/>
      <c r="N99" s="703"/>
      <c r="O99" s="703"/>
      <c r="P99" s="1101">
        <v>8944</v>
      </c>
      <c r="Q99" s="703"/>
      <c r="R99" s="943"/>
    </row>
    <row r="100" spans="1:19" s="680" customFormat="1" ht="18" customHeight="1" x14ac:dyDescent="0.3">
      <c r="A100" s="656">
        <v>93</v>
      </c>
      <c r="B100" s="696"/>
      <c r="C100" s="701"/>
      <c r="D100" s="702"/>
      <c r="E100" s="976" t="s">
        <v>860</v>
      </c>
      <c r="F100" s="703"/>
      <c r="G100" s="703"/>
      <c r="H100" s="1347"/>
      <c r="I100" s="1106">
        <f t="shared" si="25"/>
        <v>8944</v>
      </c>
      <c r="J100" s="703"/>
      <c r="K100" s="703"/>
      <c r="L100" s="703"/>
      <c r="M100" s="703"/>
      <c r="N100" s="703"/>
      <c r="O100" s="703"/>
      <c r="P100" s="1107">
        <v>8944</v>
      </c>
      <c r="Q100" s="703"/>
      <c r="R100" s="943"/>
    </row>
    <row r="101" spans="1:19" s="706" customFormat="1" ht="30" customHeight="1" x14ac:dyDescent="0.3">
      <c r="A101" s="656">
        <v>94</v>
      </c>
      <c r="B101" s="669"/>
      <c r="C101" s="705">
        <v>2</v>
      </c>
      <c r="D101" s="1591" t="s">
        <v>641</v>
      </c>
      <c r="E101" s="1592"/>
      <c r="F101" s="672"/>
      <c r="G101" s="672"/>
      <c r="H101" s="1342">
        <v>25000</v>
      </c>
      <c r="I101" s="673"/>
      <c r="J101" s="672"/>
      <c r="K101" s="672"/>
      <c r="L101" s="672"/>
      <c r="M101" s="672"/>
      <c r="N101" s="672"/>
      <c r="O101" s="672"/>
      <c r="P101" s="672"/>
      <c r="Q101" s="672"/>
      <c r="R101" s="831"/>
      <c r="S101" s="660"/>
    </row>
    <row r="102" spans="1:19" s="680" customFormat="1" ht="18" customHeight="1" x14ac:dyDescent="0.3">
      <c r="A102" s="656">
        <v>95</v>
      </c>
      <c r="B102" s="696"/>
      <c r="C102" s="701"/>
      <c r="D102" s="702"/>
      <c r="E102" s="787" t="s">
        <v>268</v>
      </c>
      <c r="F102" s="703"/>
      <c r="G102" s="703"/>
      <c r="H102" s="1347"/>
      <c r="I102" s="704">
        <f>SUM(J102:Q102)</f>
        <v>30582</v>
      </c>
      <c r="J102" s="703">
        <v>5582</v>
      </c>
      <c r="K102" s="703"/>
      <c r="L102" s="703"/>
      <c r="M102" s="703"/>
      <c r="N102" s="703"/>
      <c r="O102" s="703"/>
      <c r="P102" s="703">
        <v>25000</v>
      </c>
      <c r="Q102" s="703"/>
      <c r="R102" s="943"/>
    </row>
    <row r="103" spans="1:19" s="680" customFormat="1" ht="18" customHeight="1" x14ac:dyDescent="0.3">
      <c r="A103" s="656">
        <v>96</v>
      </c>
      <c r="B103" s="696"/>
      <c r="C103" s="701"/>
      <c r="D103" s="702"/>
      <c r="E103" s="224" t="s">
        <v>796</v>
      </c>
      <c r="F103" s="703"/>
      <c r="G103" s="703"/>
      <c r="H103" s="1347"/>
      <c r="I103" s="1100">
        <f t="shared" ref="I103:I104" si="26">SUM(J103:Q103)</f>
        <v>30582</v>
      </c>
      <c r="J103" s="1101">
        <v>5582</v>
      </c>
      <c r="K103" s="1101"/>
      <c r="L103" s="1101"/>
      <c r="M103" s="1101"/>
      <c r="N103" s="1101"/>
      <c r="O103" s="1101"/>
      <c r="P103" s="1101">
        <v>25000</v>
      </c>
      <c r="Q103" s="703"/>
      <c r="R103" s="943"/>
    </row>
    <row r="104" spans="1:19" s="680" customFormat="1" ht="18" customHeight="1" x14ac:dyDescent="0.3">
      <c r="A104" s="656">
        <v>97</v>
      </c>
      <c r="B104" s="696"/>
      <c r="C104" s="701"/>
      <c r="D104" s="702"/>
      <c r="E104" s="976" t="s">
        <v>860</v>
      </c>
      <c r="F104" s="703"/>
      <c r="G104" s="703"/>
      <c r="H104" s="1347"/>
      <c r="I104" s="1106">
        <f t="shared" si="26"/>
        <v>25000</v>
      </c>
      <c r="J104" s="1101"/>
      <c r="K104" s="1101"/>
      <c r="L104" s="1101"/>
      <c r="M104" s="1101"/>
      <c r="N104" s="1101"/>
      <c r="O104" s="1101"/>
      <c r="P104" s="1107">
        <v>25000</v>
      </c>
      <c r="Q104" s="703"/>
      <c r="R104" s="943"/>
    </row>
    <row r="105" spans="1:19" s="685" customFormat="1" ht="22.5" customHeight="1" x14ac:dyDescent="0.3">
      <c r="A105" s="656">
        <v>98</v>
      </c>
      <c r="B105" s="669">
        <v>14</v>
      </c>
      <c r="C105" s="670"/>
      <c r="D105" s="690" t="s">
        <v>340</v>
      </c>
      <c r="E105" s="690"/>
      <c r="F105" s="672">
        <v>140902</v>
      </c>
      <c r="G105" s="672">
        <v>150913</v>
      </c>
      <c r="H105" s="1342">
        <f>189063-1755</f>
        <v>187308</v>
      </c>
      <c r="I105" s="673"/>
      <c r="J105" s="672"/>
      <c r="K105" s="672"/>
      <c r="L105" s="672"/>
      <c r="M105" s="672"/>
      <c r="N105" s="672"/>
      <c r="O105" s="672"/>
      <c r="P105" s="672"/>
      <c r="Q105" s="672"/>
      <c r="R105" s="831"/>
    </row>
    <row r="106" spans="1:19" s="691" customFormat="1" ht="18" customHeight="1" x14ac:dyDescent="0.3">
      <c r="A106" s="656">
        <v>99</v>
      </c>
      <c r="B106" s="675"/>
      <c r="C106" s="676"/>
      <c r="D106" s="677"/>
      <c r="E106" s="739" t="s">
        <v>268</v>
      </c>
      <c r="F106" s="678"/>
      <c r="G106" s="678"/>
      <c r="H106" s="1343"/>
      <c r="I106" s="679">
        <f>SUM(J106:Q106)</f>
        <v>192725</v>
      </c>
      <c r="J106" s="678">
        <v>38526</v>
      </c>
      <c r="K106" s="678">
        <v>17976</v>
      </c>
      <c r="L106" s="678">
        <v>10000</v>
      </c>
      <c r="M106" s="678"/>
      <c r="N106" s="678"/>
      <c r="O106" s="678"/>
      <c r="P106" s="678">
        <v>3826</v>
      </c>
      <c r="Q106" s="678">
        <v>122397</v>
      </c>
      <c r="R106" s="940">
        <v>61643</v>
      </c>
    </row>
    <row r="107" spans="1:19" s="691" customFormat="1" ht="18" customHeight="1" x14ac:dyDescent="0.3">
      <c r="A107" s="656">
        <v>100</v>
      </c>
      <c r="B107" s="675"/>
      <c r="C107" s="676"/>
      <c r="D107" s="677"/>
      <c r="E107" s="224" t="s">
        <v>796</v>
      </c>
      <c r="F107" s="678"/>
      <c r="G107" s="678"/>
      <c r="H107" s="1343"/>
      <c r="I107" s="1100">
        <f t="shared" ref="I107:I108" si="27">SUM(J107:Q107)</f>
        <v>205253</v>
      </c>
      <c r="J107" s="827">
        <v>24903</v>
      </c>
      <c r="K107" s="827">
        <v>30032</v>
      </c>
      <c r="L107" s="827">
        <v>11567</v>
      </c>
      <c r="M107" s="827"/>
      <c r="N107" s="827"/>
      <c r="O107" s="827"/>
      <c r="P107" s="827">
        <v>16354</v>
      </c>
      <c r="Q107" s="827">
        <v>122397</v>
      </c>
      <c r="R107" s="1095">
        <v>61643</v>
      </c>
    </row>
    <row r="108" spans="1:19" s="691" customFormat="1" ht="18" customHeight="1" x14ac:dyDescent="0.3">
      <c r="A108" s="656">
        <v>101</v>
      </c>
      <c r="B108" s="675"/>
      <c r="C108" s="676"/>
      <c r="D108" s="677"/>
      <c r="E108" s="976" t="s">
        <v>861</v>
      </c>
      <c r="F108" s="678"/>
      <c r="G108" s="678"/>
      <c r="H108" s="1343"/>
      <c r="I108" s="1106">
        <f t="shared" si="27"/>
        <v>146979</v>
      </c>
      <c r="J108" s="674">
        <f>15542-355</f>
        <v>15187</v>
      </c>
      <c r="K108" s="674">
        <f>30344-312</f>
        <v>30032</v>
      </c>
      <c r="L108" s="674">
        <f>25554-2874</f>
        <v>22680</v>
      </c>
      <c r="M108" s="674"/>
      <c r="N108" s="674"/>
      <c r="O108" s="674"/>
      <c r="P108" s="674">
        <v>16354</v>
      </c>
      <c r="Q108" s="674">
        <v>62726</v>
      </c>
      <c r="R108" s="831">
        <v>61643</v>
      </c>
    </row>
    <row r="109" spans="1:19" s="710" customFormat="1" ht="18" customHeight="1" x14ac:dyDescent="0.3">
      <c r="A109" s="656">
        <v>102</v>
      </c>
      <c r="B109" s="709"/>
      <c r="C109" s="670">
        <v>1</v>
      </c>
      <c r="D109" s="1516" t="s">
        <v>127</v>
      </c>
      <c r="E109" s="1516"/>
      <c r="F109" s="672">
        <v>639</v>
      </c>
      <c r="G109" s="672">
        <v>1054</v>
      </c>
      <c r="H109" s="1342">
        <v>1755</v>
      </c>
      <c r="I109" s="673"/>
      <c r="J109" s="672"/>
      <c r="K109" s="672"/>
      <c r="L109" s="672"/>
      <c r="M109" s="672"/>
      <c r="N109" s="672"/>
      <c r="O109" s="672"/>
      <c r="P109" s="672"/>
      <c r="Q109" s="672"/>
      <c r="R109" s="831"/>
      <c r="S109" s="661"/>
    </row>
    <row r="110" spans="1:19" s="712" customFormat="1" ht="18" customHeight="1" x14ac:dyDescent="0.3">
      <c r="A110" s="656">
        <v>103</v>
      </c>
      <c r="B110" s="696"/>
      <c r="C110" s="676"/>
      <c r="D110" s="677"/>
      <c r="E110" s="787" t="s">
        <v>268</v>
      </c>
      <c r="F110" s="678"/>
      <c r="G110" s="678"/>
      <c r="H110" s="1343"/>
      <c r="I110" s="679">
        <f>SUM(J110:Q110)</f>
        <v>1444</v>
      </c>
      <c r="J110" s="678"/>
      <c r="K110" s="678">
        <v>1444</v>
      </c>
      <c r="L110" s="678"/>
      <c r="M110" s="678"/>
      <c r="N110" s="678"/>
      <c r="O110" s="678"/>
      <c r="P110" s="678"/>
      <c r="Q110" s="678"/>
      <c r="R110" s="940"/>
      <c r="S110" s="711"/>
    </row>
    <row r="111" spans="1:19" s="712" customFormat="1" ht="18" customHeight="1" x14ac:dyDescent="0.3">
      <c r="A111" s="656">
        <v>104</v>
      </c>
      <c r="B111" s="696"/>
      <c r="C111" s="676"/>
      <c r="D111" s="677"/>
      <c r="E111" s="224" t="s">
        <v>796</v>
      </c>
      <c r="F111" s="678"/>
      <c r="G111" s="678"/>
      <c r="H111" s="1343"/>
      <c r="I111" s="1100">
        <f t="shared" ref="I111:I112" si="28">SUM(J111:Q111)</f>
        <v>520</v>
      </c>
      <c r="J111" s="678"/>
      <c r="K111" s="827">
        <v>520</v>
      </c>
      <c r="L111" s="678"/>
      <c r="M111" s="678"/>
      <c r="N111" s="678"/>
      <c r="O111" s="678"/>
      <c r="P111" s="678"/>
      <c r="Q111" s="678"/>
      <c r="R111" s="940"/>
      <c r="S111" s="711"/>
    </row>
    <row r="112" spans="1:19" s="712" customFormat="1" ht="18" customHeight="1" x14ac:dyDescent="0.3">
      <c r="A112" s="656">
        <v>105</v>
      </c>
      <c r="B112" s="696"/>
      <c r="C112" s="676"/>
      <c r="D112" s="677"/>
      <c r="E112" s="976" t="s">
        <v>860</v>
      </c>
      <c r="F112" s="678"/>
      <c r="G112" s="678"/>
      <c r="H112" s="1343"/>
      <c r="I112" s="1106">
        <f t="shared" si="28"/>
        <v>312</v>
      </c>
      <c r="J112" s="678"/>
      <c r="K112" s="674">
        <v>312</v>
      </c>
      <c r="L112" s="678"/>
      <c r="M112" s="678"/>
      <c r="N112" s="678"/>
      <c r="O112" s="678"/>
      <c r="P112" s="678"/>
      <c r="Q112" s="678"/>
      <c r="R112" s="940"/>
      <c r="S112" s="711"/>
    </row>
    <row r="113" spans="1:19" s="706" customFormat="1" ht="30" customHeight="1" x14ac:dyDescent="0.3">
      <c r="A113" s="656">
        <v>106</v>
      </c>
      <c r="B113" s="669"/>
      <c r="C113" s="670"/>
      <c r="D113" s="1591" t="s">
        <v>642</v>
      </c>
      <c r="E113" s="1592"/>
      <c r="F113" s="672">
        <v>5352</v>
      </c>
      <c r="G113" s="672"/>
      <c r="H113" s="1342"/>
      <c r="I113" s="673"/>
      <c r="J113" s="672"/>
      <c r="K113" s="672"/>
      <c r="L113" s="672"/>
      <c r="M113" s="672"/>
      <c r="N113" s="672"/>
      <c r="O113" s="672"/>
      <c r="P113" s="672"/>
      <c r="Q113" s="672"/>
      <c r="R113" s="831"/>
      <c r="S113" s="660"/>
    </row>
    <row r="114" spans="1:19" s="706" customFormat="1" ht="18" customHeight="1" x14ac:dyDescent="0.3">
      <c r="A114" s="656">
        <v>107</v>
      </c>
      <c r="B114" s="669"/>
      <c r="C114" s="670">
        <v>2</v>
      </c>
      <c r="D114" s="682" t="s">
        <v>461</v>
      </c>
      <c r="E114" s="1516"/>
      <c r="F114" s="672">
        <v>2627</v>
      </c>
      <c r="G114" s="672">
        <v>6701</v>
      </c>
      <c r="H114" s="1342">
        <v>2602</v>
      </c>
      <c r="I114" s="673"/>
      <c r="J114" s="672"/>
      <c r="K114" s="672"/>
      <c r="L114" s="672"/>
      <c r="M114" s="672"/>
      <c r="N114" s="672"/>
      <c r="O114" s="672"/>
      <c r="P114" s="672"/>
      <c r="Q114" s="672"/>
      <c r="R114" s="831"/>
      <c r="S114" s="660"/>
    </row>
    <row r="115" spans="1:19" s="680" customFormat="1" ht="18" customHeight="1" x14ac:dyDescent="0.3">
      <c r="A115" s="656">
        <v>108</v>
      </c>
      <c r="B115" s="696"/>
      <c r="C115" s="701"/>
      <c r="D115" s="702"/>
      <c r="E115" s="787" t="s">
        <v>268</v>
      </c>
      <c r="F115" s="703"/>
      <c r="G115" s="703"/>
      <c r="H115" s="1347"/>
      <c r="I115" s="704">
        <f>SUM(J115:Q115)</f>
        <v>4099</v>
      </c>
      <c r="J115" s="703"/>
      <c r="K115" s="703"/>
      <c r="L115" s="703">
        <v>4099</v>
      </c>
      <c r="M115" s="703"/>
      <c r="N115" s="703"/>
      <c r="O115" s="703"/>
      <c r="P115" s="703"/>
      <c r="Q115" s="703"/>
      <c r="R115" s="943"/>
    </row>
    <row r="116" spans="1:19" s="680" customFormat="1" ht="18" customHeight="1" x14ac:dyDescent="0.3">
      <c r="A116" s="656">
        <v>109</v>
      </c>
      <c r="B116" s="696"/>
      <c r="C116" s="701"/>
      <c r="D116" s="702"/>
      <c r="E116" s="224" t="s">
        <v>796</v>
      </c>
      <c r="F116" s="703"/>
      <c r="G116" s="703"/>
      <c r="H116" s="1347"/>
      <c r="I116" s="1100">
        <f t="shared" ref="I116:I117" si="29">SUM(J116:Q116)</f>
        <v>4099</v>
      </c>
      <c r="J116" s="703"/>
      <c r="K116" s="703"/>
      <c r="L116" s="1101">
        <v>4099</v>
      </c>
      <c r="M116" s="703"/>
      <c r="N116" s="703"/>
      <c r="O116" s="703"/>
      <c r="P116" s="703"/>
      <c r="Q116" s="703"/>
      <c r="R116" s="943"/>
    </row>
    <row r="117" spans="1:19" s="680" customFormat="1" ht="18" customHeight="1" x14ac:dyDescent="0.3">
      <c r="A117" s="656">
        <v>110</v>
      </c>
      <c r="B117" s="696"/>
      <c r="C117" s="701"/>
      <c r="D117" s="702"/>
      <c r="E117" s="976" t="s">
        <v>860</v>
      </c>
      <c r="F117" s="703"/>
      <c r="G117" s="703"/>
      <c r="H117" s="1347"/>
      <c r="I117" s="1106">
        <f t="shared" si="29"/>
        <v>2874</v>
      </c>
      <c r="J117" s="703"/>
      <c r="K117" s="703"/>
      <c r="L117" s="1107">
        <v>2874</v>
      </c>
      <c r="M117" s="703"/>
      <c r="N117" s="703"/>
      <c r="O117" s="703"/>
      <c r="P117" s="703"/>
      <c r="Q117" s="703"/>
      <c r="R117" s="943"/>
    </row>
    <row r="118" spans="1:19" s="706" customFormat="1" ht="45" customHeight="1" x14ac:dyDescent="0.3">
      <c r="A118" s="656">
        <v>111</v>
      </c>
      <c r="B118" s="669"/>
      <c r="C118" s="705">
        <v>3</v>
      </c>
      <c r="D118" s="1591" t="s">
        <v>643</v>
      </c>
      <c r="E118" s="1592"/>
      <c r="F118" s="672"/>
      <c r="G118" s="672"/>
      <c r="H118" s="1342">
        <v>15000</v>
      </c>
      <c r="I118" s="673"/>
      <c r="J118" s="672"/>
      <c r="K118" s="672"/>
      <c r="L118" s="672"/>
      <c r="M118" s="672"/>
      <c r="N118" s="672"/>
      <c r="O118" s="672"/>
      <c r="P118" s="672"/>
      <c r="Q118" s="672"/>
      <c r="R118" s="831"/>
      <c r="S118" s="660"/>
    </row>
    <row r="119" spans="1:19" s="680" customFormat="1" ht="18" customHeight="1" x14ac:dyDescent="0.3">
      <c r="A119" s="656">
        <v>112</v>
      </c>
      <c r="B119" s="696"/>
      <c r="C119" s="701"/>
      <c r="D119" s="702"/>
      <c r="E119" s="787" t="s">
        <v>268</v>
      </c>
      <c r="F119" s="703"/>
      <c r="G119" s="703"/>
      <c r="H119" s="1347"/>
      <c r="I119" s="704">
        <f>SUM(J119:Q119)</f>
        <v>6161</v>
      </c>
      <c r="J119" s="703">
        <v>1312</v>
      </c>
      <c r="K119" s="703"/>
      <c r="L119" s="703"/>
      <c r="M119" s="703"/>
      <c r="N119" s="703"/>
      <c r="O119" s="703"/>
      <c r="P119" s="703">
        <v>4849</v>
      </c>
      <c r="Q119" s="703"/>
      <c r="R119" s="943"/>
    </row>
    <row r="120" spans="1:19" s="680" customFormat="1" ht="18" customHeight="1" x14ac:dyDescent="0.3">
      <c r="A120" s="656">
        <v>113</v>
      </c>
      <c r="B120" s="696"/>
      <c r="C120" s="701"/>
      <c r="D120" s="702"/>
      <c r="E120" s="224" t="s">
        <v>796</v>
      </c>
      <c r="F120" s="703"/>
      <c r="G120" s="703"/>
      <c r="H120" s="1347"/>
      <c r="I120" s="1100">
        <f t="shared" ref="I120:I121" si="30">SUM(J120:Q120)</f>
        <v>6161</v>
      </c>
      <c r="J120" s="1101">
        <v>1312</v>
      </c>
      <c r="K120" s="1101"/>
      <c r="L120" s="1101"/>
      <c r="M120" s="1101"/>
      <c r="N120" s="1101"/>
      <c r="O120" s="1101"/>
      <c r="P120" s="1101">
        <v>4849</v>
      </c>
      <c r="Q120" s="703"/>
      <c r="R120" s="943"/>
    </row>
    <row r="121" spans="1:19" s="680" customFormat="1" ht="18" customHeight="1" x14ac:dyDescent="0.3">
      <c r="A121" s="656">
        <v>114</v>
      </c>
      <c r="B121" s="696"/>
      <c r="C121" s="701"/>
      <c r="D121" s="702"/>
      <c r="E121" s="976" t="s">
        <v>860</v>
      </c>
      <c r="F121" s="703"/>
      <c r="G121" s="703"/>
      <c r="H121" s="1347"/>
      <c r="I121" s="1106">
        <f t="shared" si="30"/>
        <v>5204</v>
      </c>
      <c r="J121" s="1107">
        <v>355</v>
      </c>
      <c r="K121" s="1101"/>
      <c r="L121" s="1101"/>
      <c r="M121" s="1101"/>
      <c r="N121" s="1101"/>
      <c r="O121" s="1101"/>
      <c r="P121" s="1107">
        <v>4849</v>
      </c>
      <c r="Q121" s="703"/>
      <c r="R121" s="943"/>
    </row>
    <row r="122" spans="1:19" s="683" customFormat="1" ht="22.5" customHeight="1" x14ac:dyDescent="0.3">
      <c r="A122" s="656">
        <v>115</v>
      </c>
      <c r="B122" s="669">
        <v>15</v>
      </c>
      <c r="C122" s="670"/>
      <c r="D122" s="690" t="s">
        <v>132</v>
      </c>
      <c r="E122" s="708"/>
      <c r="F122" s="672">
        <v>969326</v>
      </c>
      <c r="G122" s="672">
        <v>747152</v>
      </c>
      <c r="H122" s="1342">
        <v>1025452</v>
      </c>
      <c r="I122" s="673"/>
      <c r="J122" s="672"/>
      <c r="K122" s="672"/>
      <c r="L122" s="672"/>
      <c r="M122" s="672"/>
      <c r="N122" s="672"/>
      <c r="O122" s="672"/>
      <c r="P122" s="672"/>
      <c r="Q122" s="672"/>
      <c r="R122" s="831"/>
    </row>
    <row r="123" spans="1:19" s="684" customFormat="1" ht="18" customHeight="1" x14ac:dyDescent="0.3">
      <c r="A123" s="656">
        <v>116</v>
      </c>
      <c r="B123" s="675"/>
      <c r="C123" s="701"/>
      <c r="D123" s="702"/>
      <c r="E123" s="739" t="s">
        <v>268</v>
      </c>
      <c r="F123" s="703"/>
      <c r="G123" s="703"/>
      <c r="H123" s="1347"/>
      <c r="I123" s="704">
        <f>SUM(J123:Q123)</f>
        <v>833114</v>
      </c>
      <c r="J123" s="703">
        <v>120330</v>
      </c>
      <c r="K123" s="703">
        <v>139291</v>
      </c>
      <c r="L123" s="703"/>
      <c r="M123" s="703"/>
      <c r="N123" s="703"/>
      <c r="O123" s="703"/>
      <c r="P123" s="703"/>
      <c r="Q123" s="703">
        <v>573493</v>
      </c>
      <c r="R123" s="943">
        <v>355684</v>
      </c>
    </row>
    <row r="124" spans="1:19" s="684" customFormat="1" ht="18" customHeight="1" x14ac:dyDescent="0.3">
      <c r="A124" s="656">
        <v>117</v>
      </c>
      <c r="B124" s="675"/>
      <c r="C124" s="1094"/>
      <c r="D124" s="1094"/>
      <c r="E124" s="224" t="s">
        <v>796</v>
      </c>
      <c r="F124" s="678"/>
      <c r="G124" s="678"/>
      <c r="H124" s="1343"/>
      <c r="I124" s="1100">
        <f t="shared" ref="I124:I125" si="31">SUM(J124:Q124)</f>
        <v>1091912</v>
      </c>
      <c r="J124" s="827">
        <v>120330</v>
      </c>
      <c r="K124" s="827">
        <v>139291</v>
      </c>
      <c r="L124" s="827"/>
      <c r="M124" s="827"/>
      <c r="N124" s="827"/>
      <c r="O124" s="827"/>
      <c r="P124" s="827">
        <v>257266</v>
      </c>
      <c r="Q124" s="827">
        <v>575025</v>
      </c>
      <c r="R124" s="1095">
        <v>355684</v>
      </c>
    </row>
    <row r="125" spans="1:19" s="684" customFormat="1" ht="18" customHeight="1" thickBot="1" x14ac:dyDescent="0.35">
      <c r="A125" s="656">
        <v>118</v>
      </c>
      <c r="B125" s="675"/>
      <c r="C125" s="1094"/>
      <c r="D125" s="1094"/>
      <c r="E125" s="1446" t="s">
        <v>861</v>
      </c>
      <c r="F125" s="678"/>
      <c r="G125" s="678"/>
      <c r="H125" s="1343"/>
      <c r="I125" s="1106">
        <f t="shared" si="31"/>
        <v>893522</v>
      </c>
      <c r="J125" s="674">
        <v>99721</v>
      </c>
      <c r="K125" s="674">
        <v>167168</v>
      </c>
      <c r="L125" s="674">
        <v>800</v>
      </c>
      <c r="M125" s="674"/>
      <c r="N125" s="674"/>
      <c r="O125" s="674"/>
      <c r="P125" s="674">
        <v>257266</v>
      </c>
      <c r="Q125" s="674">
        <v>368567</v>
      </c>
      <c r="R125" s="831">
        <v>355684</v>
      </c>
    </row>
    <row r="126" spans="1:19" s="683" customFormat="1" ht="22.5" customHeight="1" thickTop="1" x14ac:dyDescent="0.3">
      <c r="A126" s="656">
        <v>119</v>
      </c>
      <c r="B126" s="686"/>
      <c r="C126" s="1593" t="s">
        <v>386</v>
      </c>
      <c r="D126" s="1594"/>
      <c r="E126" s="1595"/>
      <c r="F126" s="694">
        <f>SUM(F61:F123)</f>
        <v>2490988</v>
      </c>
      <c r="G126" s="694">
        <f>SUM(G61:G123)</f>
        <v>2340076</v>
      </c>
      <c r="H126" s="1346">
        <f>SUM(H61:H123)</f>
        <v>2837659</v>
      </c>
      <c r="I126" s="695"/>
      <c r="J126" s="694"/>
      <c r="K126" s="694"/>
      <c r="L126" s="694"/>
      <c r="M126" s="694"/>
      <c r="N126" s="694"/>
      <c r="O126" s="694"/>
      <c r="P126" s="694"/>
      <c r="Q126" s="694"/>
      <c r="R126" s="944"/>
    </row>
    <row r="127" spans="1:19" s="684" customFormat="1" ht="18" customHeight="1" x14ac:dyDescent="0.3">
      <c r="A127" s="656">
        <v>120</v>
      </c>
      <c r="B127" s="675"/>
      <c r="C127" s="701"/>
      <c r="D127" s="702"/>
      <c r="E127" s="722" t="s">
        <v>268</v>
      </c>
      <c r="F127" s="703"/>
      <c r="G127" s="703"/>
      <c r="H127" s="1347"/>
      <c r="I127" s="704">
        <f t="shared" ref="I127:R127" si="32">SUM(I62,I66,I74,I86,I90,I94,I106,I110,I123,I78,I98,I115,I70,I82,I102,I119)</f>
        <v>2558904</v>
      </c>
      <c r="J127" s="703">
        <f t="shared" si="32"/>
        <v>343157</v>
      </c>
      <c r="K127" s="703">
        <f t="shared" si="32"/>
        <v>326120</v>
      </c>
      <c r="L127" s="703">
        <f t="shared" si="32"/>
        <v>19309</v>
      </c>
      <c r="M127" s="703">
        <f t="shared" si="32"/>
        <v>0</v>
      </c>
      <c r="N127" s="703">
        <f t="shared" si="32"/>
        <v>2741</v>
      </c>
      <c r="O127" s="703">
        <f t="shared" si="32"/>
        <v>0</v>
      </c>
      <c r="P127" s="703">
        <f t="shared" si="32"/>
        <v>107942</v>
      </c>
      <c r="Q127" s="703">
        <f t="shared" si="32"/>
        <v>1759635</v>
      </c>
      <c r="R127" s="1093">
        <f t="shared" si="32"/>
        <v>881030</v>
      </c>
    </row>
    <row r="128" spans="1:19" s="684" customFormat="1" ht="18" customHeight="1" x14ac:dyDescent="0.3">
      <c r="A128" s="656">
        <v>121</v>
      </c>
      <c r="B128" s="1105"/>
      <c r="C128" s="676"/>
      <c r="D128" s="677"/>
      <c r="E128" s="225" t="s">
        <v>796</v>
      </c>
      <c r="F128" s="678"/>
      <c r="G128" s="678"/>
      <c r="H128" s="1343"/>
      <c r="I128" s="1100">
        <f>SUM(J128:Q128)</f>
        <v>3297795</v>
      </c>
      <c r="J128" s="1101">
        <f t="shared" ref="J128:R128" si="33">SUM(J63,J67,J75,J87,J91,J95,J107,J111,J124,J79,J99,J116,J71,J83,J103,J120)</f>
        <v>402688</v>
      </c>
      <c r="K128" s="1101">
        <f t="shared" si="33"/>
        <v>355156</v>
      </c>
      <c r="L128" s="1101">
        <f t="shared" si="33"/>
        <v>173370</v>
      </c>
      <c r="M128" s="1101">
        <f t="shared" si="33"/>
        <v>0</v>
      </c>
      <c r="N128" s="1101">
        <f t="shared" si="33"/>
        <v>6871</v>
      </c>
      <c r="O128" s="1101">
        <f t="shared" si="33"/>
        <v>66908</v>
      </c>
      <c r="P128" s="1101">
        <f t="shared" si="33"/>
        <v>536435</v>
      </c>
      <c r="Q128" s="1101">
        <f t="shared" si="33"/>
        <v>1756367</v>
      </c>
      <c r="R128" s="1102">
        <f t="shared" si="33"/>
        <v>885286</v>
      </c>
    </row>
    <row r="129" spans="1:19" s="684" customFormat="1" ht="18" customHeight="1" thickBot="1" x14ac:dyDescent="0.35">
      <c r="A129" s="656">
        <v>122</v>
      </c>
      <c r="B129" s="1105"/>
      <c r="C129" s="697"/>
      <c r="D129" s="698"/>
      <c r="E129" s="1446" t="s">
        <v>860</v>
      </c>
      <c r="F129" s="699"/>
      <c r="G129" s="699"/>
      <c r="H129" s="1348"/>
      <c r="I129" s="1460">
        <f>SUM(J129:Q129)</f>
        <v>2085432</v>
      </c>
      <c r="J129" s="1461">
        <f>SUM(J64:J64,J68,J76:J76,J88:J88,J92,J96:J96,J108,J112,J125,J80,J100,J117,J72,J84,J104,J121,)</f>
        <v>232359</v>
      </c>
      <c r="K129" s="1461">
        <f t="shared" ref="K129:R129" si="34">SUM(K64:K64,K68,K76:K76,K88:K88,K92,K96:K96,K108,K112,K125,K80,K100,K117,K72,K84,K104,K121,)</f>
        <v>318097</v>
      </c>
      <c r="L129" s="1461">
        <f t="shared" si="34"/>
        <v>119962</v>
      </c>
      <c r="M129" s="1461">
        <f t="shared" si="34"/>
        <v>0</v>
      </c>
      <c r="N129" s="1461">
        <f t="shared" si="34"/>
        <v>4130</v>
      </c>
      <c r="O129" s="1461">
        <f t="shared" si="34"/>
        <v>39847</v>
      </c>
      <c r="P129" s="1461">
        <f t="shared" si="34"/>
        <v>536435</v>
      </c>
      <c r="Q129" s="1461">
        <f t="shared" si="34"/>
        <v>834602</v>
      </c>
      <c r="R129" s="1518">
        <f t="shared" si="34"/>
        <v>662705</v>
      </c>
      <c r="S129" s="833"/>
    </row>
    <row r="130" spans="1:19" ht="22.5" customHeight="1" thickTop="1" x14ac:dyDescent="0.3">
      <c r="A130" s="656">
        <v>123</v>
      </c>
      <c r="B130" s="663">
        <v>16</v>
      </c>
      <c r="C130" s="664"/>
      <c r="D130" s="655" t="s">
        <v>237</v>
      </c>
      <c r="E130" s="655"/>
      <c r="F130" s="667">
        <v>935708</v>
      </c>
      <c r="G130" s="667">
        <v>1199812</v>
      </c>
      <c r="H130" s="1341">
        <v>1160179</v>
      </c>
      <c r="I130" s="668"/>
      <c r="J130" s="667"/>
      <c r="K130" s="667"/>
      <c r="L130" s="667"/>
      <c r="M130" s="667"/>
      <c r="N130" s="667"/>
      <c r="O130" s="667"/>
      <c r="P130" s="667"/>
      <c r="Q130" s="667"/>
      <c r="R130" s="939"/>
      <c r="S130" s="660"/>
    </row>
    <row r="131" spans="1:19" s="712" customFormat="1" ht="18" customHeight="1" x14ac:dyDescent="0.3">
      <c r="A131" s="656">
        <v>124</v>
      </c>
      <c r="B131" s="721"/>
      <c r="C131" s="701"/>
      <c r="D131" s="702"/>
      <c r="E131" s="722" t="s">
        <v>268</v>
      </c>
      <c r="F131" s="703"/>
      <c r="G131" s="703"/>
      <c r="H131" s="1347"/>
      <c r="I131" s="704">
        <f>SUM(J131:Q131)</f>
        <v>1370985</v>
      </c>
      <c r="J131" s="703">
        <v>336240</v>
      </c>
      <c r="K131" s="703"/>
      <c r="L131" s="703"/>
      <c r="M131" s="703"/>
      <c r="N131" s="703"/>
      <c r="O131" s="703"/>
      <c r="P131" s="703">
        <v>180073</v>
      </c>
      <c r="Q131" s="703">
        <v>854672</v>
      </c>
      <c r="R131" s="943">
        <f>369631+80398</f>
        <v>450029</v>
      </c>
      <c r="S131" s="711"/>
    </row>
    <row r="132" spans="1:19" s="712" customFormat="1" ht="18" customHeight="1" x14ac:dyDescent="0.3">
      <c r="A132" s="656">
        <v>125</v>
      </c>
      <c r="B132" s="675"/>
      <c r="C132" s="1094"/>
      <c r="D132" s="1094"/>
      <c r="E132" s="225" t="s">
        <v>796</v>
      </c>
      <c r="F132" s="678"/>
      <c r="G132" s="678"/>
      <c r="H132" s="1343"/>
      <c r="I132" s="1100">
        <f t="shared" ref="I132:I133" si="35">SUM(J132:Q132)</f>
        <v>1518297</v>
      </c>
      <c r="J132" s="827">
        <v>336240</v>
      </c>
      <c r="K132" s="827"/>
      <c r="L132" s="827"/>
      <c r="M132" s="827">
        <v>4000</v>
      </c>
      <c r="N132" s="827"/>
      <c r="O132" s="827"/>
      <c r="P132" s="827">
        <v>323385</v>
      </c>
      <c r="Q132" s="827">
        <v>854672</v>
      </c>
      <c r="R132" s="1095">
        <v>450029</v>
      </c>
      <c r="S132" s="711"/>
    </row>
    <row r="133" spans="1:19" s="712" customFormat="1" ht="18" customHeight="1" thickBot="1" x14ac:dyDescent="0.35">
      <c r="A133" s="656">
        <v>126</v>
      </c>
      <c r="B133" s="675"/>
      <c r="C133" s="1094"/>
      <c r="D133" s="1094"/>
      <c r="E133" s="1462" t="s">
        <v>861</v>
      </c>
      <c r="F133" s="678"/>
      <c r="G133" s="678"/>
      <c r="H133" s="1343"/>
      <c r="I133" s="1106">
        <f t="shared" si="35"/>
        <v>660997</v>
      </c>
      <c r="J133" s="674">
        <v>196194</v>
      </c>
      <c r="K133" s="674">
        <v>54</v>
      </c>
      <c r="L133" s="674"/>
      <c r="M133" s="674">
        <v>4000</v>
      </c>
      <c r="N133" s="674"/>
      <c r="O133" s="674"/>
      <c r="P133" s="674">
        <v>323385</v>
      </c>
      <c r="Q133" s="674">
        <v>137364</v>
      </c>
      <c r="R133" s="1584">
        <v>248731</v>
      </c>
      <c r="S133" s="711"/>
    </row>
    <row r="134" spans="1:19" s="710" customFormat="1" ht="36" customHeight="1" x14ac:dyDescent="0.3">
      <c r="A134" s="656">
        <v>127</v>
      </c>
      <c r="B134" s="1596" t="s">
        <v>133</v>
      </c>
      <c r="C134" s="1597"/>
      <c r="D134" s="1597"/>
      <c r="E134" s="1598"/>
      <c r="F134" s="713">
        <f>SUM(F130,F126,F57,F38)</f>
        <v>6927256</v>
      </c>
      <c r="G134" s="713">
        <f>SUM(G130,G126,G57,G38)</f>
        <v>6945818</v>
      </c>
      <c r="H134" s="1349">
        <f>SUM(H130,H126,H57,H38)</f>
        <v>7683479</v>
      </c>
      <c r="I134" s="714"/>
      <c r="J134" s="715"/>
      <c r="K134" s="715"/>
      <c r="L134" s="715"/>
      <c r="M134" s="715"/>
      <c r="N134" s="715"/>
      <c r="O134" s="715"/>
      <c r="P134" s="715"/>
      <c r="Q134" s="715"/>
      <c r="R134" s="945"/>
      <c r="S134" s="661"/>
    </row>
    <row r="135" spans="1:19" s="712" customFormat="1" ht="18" customHeight="1" x14ac:dyDescent="0.3">
      <c r="A135" s="656">
        <v>128</v>
      </c>
      <c r="B135" s="721"/>
      <c r="C135" s="701"/>
      <c r="D135" s="702"/>
      <c r="E135" s="722" t="s">
        <v>268</v>
      </c>
      <c r="F135" s="703"/>
      <c r="G135" s="703"/>
      <c r="H135" s="1347"/>
      <c r="I135" s="704">
        <f t="shared" ref="I135:R135" si="36">SUM(I131,I127,I58,I39)</f>
        <v>7823516</v>
      </c>
      <c r="J135" s="703">
        <f t="shared" si="36"/>
        <v>781568</v>
      </c>
      <c r="K135" s="703">
        <f t="shared" si="36"/>
        <v>327648</v>
      </c>
      <c r="L135" s="703">
        <f t="shared" si="36"/>
        <v>19309</v>
      </c>
      <c r="M135" s="703">
        <f t="shared" si="36"/>
        <v>0</v>
      </c>
      <c r="N135" s="703">
        <f t="shared" si="36"/>
        <v>2741</v>
      </c>
      <c r="O135" s="703">
        <f t="shared" si="36"/>
        <v>0</v>
      </c>
      <c r="P135" s="703">
        <f t="shared" si="36"/>
        <v>372558</v>
      </c>
      <c r="Q135" s="703">
        <f t="shared" si="36"/>
        <v>6319692</v>
      </c>
      <c r="R135" s="943">
        <f t="shared" si="36"/>
        <v>4189738</v>
      </c>
      <c r="S135" s="711"/>
    </row>
    <row r="136" spans="1:19" s="712" customFormat="1" ht="18" customHeight="1" x14ac:dyDescent="0.3">
      <c r="A136" s="656">
        <v>129</v>
      </c>
      <c r="B136" s="1109"/>
      <c r="C136" s="676"/>
      <c r="D136" s="1094"/>
      <c r="E136" s="225" t="s">
        <v>796</v>
      </c>
      <c r="F136" s="678"/>
      <c r="G136" s="678"/>
      <c r="H136" s="1350"/>
      <c r="I136" s="1100">
        <f t="shared" ref="I136:R136" si="37">SUM(I132,I128,I59,I40)</f>
        <v>8957557</v>
      </c>
      <c r="J136" s="1101">
        <f t="shared" si="37"/>
        <v>841099</v>
      </c>
      <c r="K136" s="1101">
        <f t="shared" si="37"/>
        <v>378114</v>
      </c>
      <c r="L136" s="1101">
        <f t="shared" si="37"/>
        <v>173370</v>
      </c>
      <c r="M136" s="1101">
        <f t="shared" si="37"/>
        <v>4000</v>
      </c>
      <c r="N136" s="1101">
        <f t="shared" si="37"/>
        <v>7542</v>
      </c>
      <c r="O136" s="1101">
        <f t="shared" si="37"/>
        <v>66908</v>
      </c>
      <c r="P136" s="1101">
        <f t="shared" si="37"/>
        <v>1077957</v>
      </c>
      <c r="Q136" s="1101">
        <f t="shared" si="37"/>
        <v>6408567</v>
      </c>
      <c r="R136" s="1104">
        <f t="shared" si="37"/>
        <v>4246614</v>
      </c>
      <c r="S136" s="711"/>
    </row>
    <row r="137" spans="1:19" s="712" customFormat="1" ht="18" customHeight="1" thickBot="1" x14ac:dyDescent="0.35">
      <c r="A137" s="656">
        <v>130</v>
      </c>
      <c r="B137" s="1109"/>
      <c r="C137" s="676"/>
      <c r="D137" s="1094"/>
      <c r="E137" s="976" t="s">
        <v>860</v>
      </c>
      <c r="F137" s="678"/>
      <c r="G137" s="678"/>
      <c r="H137" s="1350"/>
      <c r="I137" s="1103">
        <f>SUM(J137:Q137)</f>
        <v>4654682</v>
      </c>
      <c r="J137" s="1103">
        <f t="shared" ref="J137:R137" si="38">SUM(J133:J133,J129,J60,J41)</f>
        <v>483029</v>
      </c>
      <c r="K137" s="1103">
        <f t="shared" si="38"/>
        <v>332440</v>
      </c>
      <c r="L137" s="1103">
        <f t="shared" si="38"/>
        <v>119962</v>
      </c>
      <c r="M137" s="1103">
        <f t="shared" si="38"/>
        <v>4000</v>
      </c>
      <c r="N137" s="1103">
        <f t="shared" si="38"/>
        <v>4130</v>
      </c>
      <c r="O137" s="1103">
        <f t="shared" si="38"/>
        <v>39847</v>
      </c>
      <c r="P137" s="1103">
        <f t="shared" si="38"/>
        <v>1077957</v>
      </c>
      <c r="Q137" s="1103">
        <f t="shared" si="38"/>
        <v>2593317</v>
      </c>
      <c r="R137" s="1407">
        <f t="shared" si="38"/>
        <v>2478122</v>
      </c>
      <c r="S137" s="711"/>
    </row>
    <row r="138" spans="1:19" ht="30" customHeight="1" x14ac:dyDescent="0.3">
      <c r="A138" s="656">
        <v>131</v>
      </c>
      <c r="B138" s="716">
        <v>17</v>
      </c>
      <c r="C138" s="717"/>
      <c r="D138" s="1599" t="s">
        <v>134</v>
      </c>
      <c r="E138" s="1600"/>
      <c r="F138" s="718">
        <v>1948889</v>
      </c>
      <c r="G138" s="718">
        <v>1889184</v>
      </c>
      <c r="H138" s="1351">
        <v>2344575</v>
      </c>
      <c r="I138" s="719"/>
      <c r="J138" s="719"/>
      <c r="K138" s="720"/>
      <c r="L138" s="715"/>
      <c r="M138" s="715"/>
      <c r="N138" s="715"/>
      <c r="O138" s="715"/>
      <c r="P138" s="715"/>
      <c r="Q138" s="715"/>
      <c r="R138" s="945"/>
      <c r="S138" s="660"/>
    </row>
    <row r="139" spans="1:19" s="712" customFormat="1" ht="18" customHeight="1" x14ac:dyDescent="0.3">
      <c r="A139" s="656">
        <v>132</v>
      </c>
      <c r="B139" s="721"/>
      <c r="C139" s="701"/>
      <c r="D139" s="701"/>
      <c r="E139" s="722" t="s">
        <v>268</v>
      </c>
      <c r="F139" s="703"/>
      <c r="G139" s="703"/>
      <c r="H139" s="1347"/>
      <c r="I139" s="704">
        <f>SUM(J139:Q139)</f>
        <v>2107457</v>
      </c>
      <c r="J139" s="703">
        <f>4445</f>
        <v>4445</v>
      </c>
      <c r="K139" s="703">
        <v>39826</v>
      </c>
      <c r="L139" s="703"/>
      <c r="M139" s="703"/>
      <c r="N139" s="703">
        <v>6840</v>
      </c>
      <c r="O139" s="703"/>
      <c r="P139" s="703">
        <f>165373+83896</f>
        <v>249269</v>
      </c>
      <c r="Q139" s="703">
        <f>1768025+39052</f>
        <v>1807077</v>
      </c>
      <c r="R139" s="943">
        <v>787081</v>
      </c>
      <c r="S139" s="711"/>
    </row>
    <row r="140" spans="1:19" s="712" customFormat="1" ht="18" customHeight="1" x14ac:dyDescent="0.3">
      <c r="A140" s="656">
        <v>133</v>
      </c>
      <c r="B140" s="1109"/>
      <c r="C140" s="676"/>
      <c r="D140" s="677"/>
      <c r="E140" s="225" t="s">
        <v>796</v>
      </c>
      <c r="F140" s="678"/>
      <c r="G140" s="678"/>
      <c r="H140" s="1343"/>
      <c r="I140" s="1100">
        <f t="shared" ref="I140" si="39">SUM(J140:Q140)</f>
        <v>2573923</v>
      </c>
      <c r="J140" s="827">
        <v>4445</v>
      </c>
      <c r="K140" s="827">
        <v>40766</v>
      </c>
      <c r="L140" s="827"/>
      <c r="M140" s="827"/>
      <c r="N140" s="827">
        <v>6723</v>
      </c>
      <c r="O140" s="827"/>
      <c r="P140" s="827">
        <v>732706</v>
      </c>
      <c r="Q140" s="827">
        <v>1789283</v>
      </c>
      <c r="R140" s="1095">
        <v>787081</v>
      </c>
      <c r="S140" s="711"/>
    </row>
    <row r="141" spans="1:19" s="712" customFormat="1" ht="18" customHeight="1" thickBot="1" x14ac:dyDescent="0.35">
      <c r="A141" s="656">
        <v>134</v>
      </c>
      <c r="B141" s="1109"/>
      <c r="C141" s="676"/>
      <c r="D141" s="677"/>
      <c r="E141" s="187" t="s">
        <v>861</v>
      </c>
      <c r="F141" s="678"/>
      <c r="G141" s="678"/>
      <c r="H141" s="1343"/>
      <c r="I141" s="1106">
        <f t="shared" ref="I141" si="40">SUM(J141:Q141)</f>
        <v>1051543</v>
      </c>
      <c r="J141" s="674">
        <v>7046</v>
      </c>
      <c r="K141" s="674">
        <v>25882</v>
      </c>
      <c r="L141" s="674"/>
      <c r="M141" s="674"/>
      <c r="N141" s="674">
        <v>6723</v>
      </c>
      <c r="O141" s="674"/>
      <c r="P141" s="674">
        <v>732706</v>
      </c>
      <c r="Q141" s="674">
        <v>279186</v>
      </c>
      <c r="R141" s="1584">
        <v>403698</v>
      </c>
      <c r="S141" s="711"/>
    </row>
    <row r="142" spans="1:19" s="710" customFormat="1" ht="36" customHeight="1" x14ac:dyDescent="0.3">
      <c r="A142" s="656">
        <v>135</v>
      </c>
      <c r="B142" s="1588" t="s">
        <v>13</v>
      </c>
      <c r="C142" s="1589"/>
      <c r="D142" s="1589"/>
      <c r="E142" s="1590"/>
      <c r="F142" s="713">
        <f>SUM(F134:F139)</f>
        <v>8876145</v>
      </c>
      <c r="G142" s="713">
        <f>SUM(G134:G139)</f>
        <v>8835002</v>
      </c>
      <c r="H142" s="1349">
        <f>SUM(H134:H139)</f>
        <v>10028054</v>
      </c>
      <c r="I142" s="723"/>
      <c r="J142" s="713"/>
      <c r="K142" s="713"/>
      <c r="L142" s="713"/>
      <c r="M142" s="713"/>
      <c r="N142" s="713"/>
      <c r="O142" s="713"/>
      <c r="P142" s="713"/>
      <c r="Q142" s="713"/>
      <c r="R142" s="946"/>
      <c r="S142" s="661"/>
    </row>
    <row r="143" spans="1:19" s="712" customFormat="1" ht="18" customHeight="1" x14ac:dyDescent="0.3">
      <c r="A143" s="656">
        <v>136</v>
      </c>
      <c r="B143" s="721"/>
      <c r="C143" s="701"/>
      <c r="D143" s="701"/>
      <c r="E143" s="722" t="s">
        <v>268</v>
      </c>
      <c r="F143" s="703"/>
      <c r="G143" s="703"/>
      <c r="H143" s="1347"/>
      <c r="I143" s="704">
        <f t="shared" ref="I143:R143" si="41">SUM(I135,I139)</f>
        <v>9930973</v>
      </c>
      <c r="J143" s="703">
        <f t="shared" si="41"/>
        <v>786013</v>
      </c>
      <c r="K143" s="703">
        <f t="shared" si="41"/>
        <v>367474</v>
      </c>
      <c r="L143" s="703">
        <f t="shared" si="41"/>
        <v>19309</v>
      </c>
      <c r="M143" s="703">
        <f t="shared" si="41"/>
        <v>0</v>
      </c>
      <c r="N143" s="703">
        <f t="shared" si="41"/>
        <v>9581</v>
      </c>
      <c r="O143" s="703">
        <f t="shared" si="41"/>
        <v>0</v>
      </c>
      <c r="P143" s="703">
        <f t="shared" si="41"/>
        <v>621827</v>
      </c>
      <c r="Q143" s="703">
        <f t="shared" si="41"/>
        <v>8126769</v>
      </c>
      <c r="R143" s="943">
        <f t="shared" si="41"/>
        <v>4976819</v>
      </c>
      <c r="S143" s="711"/>
    </row>
    <row r="144" spans="1:19" ht="18" customHeight="1" x14ac:dyDescent="0.3">
      <c r="A144" s="656">
        <v>137</v>
      </c>
      <c r="B144" s="1111"/>
      <c r="C144" s="688"/>
      <c r="D144" s="688"/>
      <c r="E144" s="225" t="s">
        <v>796</v>
      </c>
      <c r="F144" s="1110"/>
      <c r="G144" s="1110"/>
      <c r="H144" s="1352"/>
      <c r="I144" s="1100">
        <f t="shared" ref="I144:R144" si="42">SUM(I136,I140)</f>
        <v>11531480</v>
      </c>
      <c r="J144" s="1101">
        <f t="shared" si="42"/>
        <v>845544</v>
      </c>
      <c r="K144" s="1101">
        <f t="shared" si="42"/>
        <v>418880</v>
      </c>
      <c r="L144" s="1101">
        <f t="shared" si="42"/>
        <v>173370</v>
      </c>
      <c r="M144" s="1101">
        <f t="shared" si="42"/>
        <v>4000</v>
      </c>
      <c r="N144" s="1101">
        <f t="shared" si="42"/>
        <v>14265</v>
      </c>
      <c r="O144" s="1101">
        <f t="shared" si="42"/>
        <v>66908</v>
      </c>
      <c r="P144" s="1101">
        <f t="shared" si="42"/>
        <v>1810663</v>
      </c>
      <c r="Q144" s="1101">
        <f t="shared" si="42"/>
        <v>8197850</v>
      </c>
      <c r="R144" s="1104">
        <f t="shared" si="42"/>
        <v>5033695</v>
      </c>
    </row>
    <row r="145" spans="1:18" ht="18" customHeight="1" thickBot="1" x14ac:dyDescent="0.35">
      <c r="A145" s="656">
        <v>138</v>
      </c>
      <c r="B145" s="1519"/>
      <c r="C145" s="1520"/>
      <c r="D145" s="1520"/>
      <c r="E145" s="1521" t="s">
        <v>860</v>
      </c>
      <c r="F145" s="1520"/>
      <c r="G145" s="1520"/>
      <c r="H145" s="1522"/>
      <c r="I145" s="1523">
        <f>SUM(J145:Q145)</f>
        <v>5706225</v>
      </c>
      <c r="J145" s="1524">
        <f t="shared" ref="J145:R145" si="43">SUM(J137,J141:J141)</f>
        <v>490075</v>
      </c>
      <c r="K145" s="1524">
        <f t="shared" si="43"/>
        <v>358322</v>
      </c>
      <c r="L145" s="1524">
        <f t="shared" si="43"/>
        <v>119962</v>
      </c>
      <c r="M145" s="1524">
        <f t="shared" si="43"/>
        <v>4000</v>
      </c>
      <c r="N145" s="1524">
        <f t="shared" si="43"/>
        <v>10853</v>
      </c>
      <c r="O145" s="1524">
        <f t="shared" si="43"/>
        <v>39847</v>
      </c>
      <c r="P145" s="1524">
        <f t="shared" si="43"/>
        <v>1810663</v>
      </c>
      <c r="Q145" s="1524">
        <f t="shared" si="43"/>
        <v>2872503</v>
      </c>
      <c r="R145" s="1525">
        <f t="shared" si="43"/>
        <v>2881820</v>
      </c>
    </row>
    <row r="146" spans="1:18" ht="14.25" x14ac:dyDescent="0.2">
      <c r="A146" s="656"/>
    </row>
  </sheetData>
  <mergeCells count="29">
    <mergeCell ref="Q6:R6"/>
    <mergeCell ref="C38:E38"/>
    <mergeCell ref="B2:R2"/>
    <mergeCell ref="B3:R3"/>
    <mergeCell ref="D5:E5"/>
    <mergeCell ref="B6:B7"/>
    <mergeCell ref="C6:C7"/>
    <mergeCell ref="D6:E7"/>
    <mergeCell ref="F6:F7"/>
    <mergeCell ref="G6:G7"/>
    <mergeCell ref="H6:H7"/>
    <mergeCell ref="P6:P7"/>
    <mergeCell ref="B1:F1"/>
    <mergeCell ref="D89:E89"/>
    <mergeCell ref="I6:I7"/>
    <mergeCell ref="J6:L6"/>
    <mergeCell ref="M6:O6"/>
    <mergeCell ref="D42:E42"/>
    <mergeCell ref="D54:E54"/>
    <mergeCell ref="C57:E57"/>
    <mergeCell ref="D65:E65"/>
    <mergeCell ref="D69:E69"/>
    <mergeCell ref="B142:E142"/>
    <mergeCell ref="D101:E101"/>
    <mergeCell ref="D113:E113"/>
    <mergeCell ref="D118:E118"/>
    <mergeCell ref="C126:E126"/>
    <mergeCell ref="B134:E134"/>
    <mergeCell ref="D138:E138"/>
  </mergeCells>
  <printOptions horizontalCentered="1"/>
  <pageMargins left="0.19685039370078741" right="0.19685039370078741" top="0.59055118110236227" bottom="0.59055118110236227" header="0.51181102362204722" footer="0.31496062992125984"/>
  <pageSetup paperSize="9" scale="64" fitToHeight="0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268"/>
  <sheetViews>
    <sheetView view="pageBreakPreview" topLeftCell="F237" zoomScaleNormal="100" zoomScaleSheetLayoutView="100" workbookViewId="0">
      <selection activeCell="K248" sqref="K248:O248"/>
    </sheetView>
  </sheetViews>
  <sheetFormatPr defaultColWidth="9.140625" defaultRowHeight="15" x14ac:dyDescent="0.3"/>
  <cols>
    <col min="1" max="1" width="3.7109375" style="656" customWidth="1"/>
    <col min="2" max="2" width="5.5703125" style="726" customWidth="1"/>
    <col min="3" max="3" width="5.7109375" style="726" customWidth="1"/>
    <col min="4" max="4" width="4.7109375" style="726" customWidth="1"/>
    <col min="5" max="5" width="60.7109375" style="128" customWidth="1"/>
    <col min="6" max="6" width="6.7109375" style="190" customWidth="1"/>
    <col min="7" max="7" width="10.7109375" style="312" customWidth="1"/>
    <col min="8" max="8" width="12.140625" style="312" customWidth="1"/>
    <col min="9" max="9" width="10.7109375" style="312" customWidth="1"/>
    <col min="10" max="10" width="13.7109375" style="727" customWidth="1"/>
    <col min="11" max="18" width="14.7109375" style="312" customWidth="1"/>
    <col min="19" max="19" width="9.5703125" style="312" bestFit="1" customWidth="1"/>
    <col min="20" max="31" width="9.140625" style="312"/>
    <col min="32" max="16384" width="9.140625" style="128"/>
  </cols>
  <sheetData>
    <row r="1" spans="1:31" s="192" customFormat="1" ht="18" customHeight="1" x14ac:dyDescent="0.3">
      <c r="A1" s="656"/>
      <c r="B1" s="1585" t="s">
        <v>880</v>
      </c>
      <c r="C1" s="1585"/>
      <c r="D1" s="1585"/>
      <c r="E1" s="1585"/>
      <c r="F1" s="1585"/>
      <c r="G1" s="62"/>
      <c r="H1" s="62"/>
      <c r="I1" s="62"/>
      <c r="J1" s="136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  <c r="Y1" s="725"/>
      <c r="Z1" s="725"/>
      <c r="AA1" s="725"/>
      <c r="AB1" s="725"/>
      <c r="AC1" s="725"/>
      <c r="AD1" s="725"/>
      <c r="AE1" s="725"/>
    </row>
    <row r="2" spans="1:31" s="192" customFormat="1" ht="24.75" customHeight="1" x14ac:dyDescent="0.2">
      <c r="A2" s="656"/>
      <c r="B2" s="1610" t="s">
        <v>117</v>
      </c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  <c r="N2" s="1610"/>
      <c r="O2" s="1610"/>
      <c r="P2" s="1610"/>
      <c r="Q2" s="1610"/>
      <c r="R2" s="1610"/>
      <c r="S2" s="725"/>
      <c r="T2" s="725"/>
      <c r="U2" s="725"/>
      <c r="V2" s="725"/>
      <c r="W2" s="725"/>
      <c r="X2" s="725"/>
      <c r="Y2" s="725"/>
      <c r="Z2" s="725"/>
      <c r="AA2" s="725"/>
      <c r="AB2" s="725"/>
      <c r="AC2" s="725"/>
      <c r="AD2" s="725"/>
      <c r="AE2" s="725"/>
    </row>
    <row r="3" spans="1:31" s="192" customFormat="1" ht="24.75" customHeight="1" x14ac:dyDescent="0.2">
      <c r="A3" s="656"/>
      <c r="B3" s="1610" t="s">
        <v>867</v>
      </c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  <c r="N3" s="1610"/>
      <c r="O3" s="1610"/>
      <c r="P3" s="1610"/>
      <c r="Q3" s="1610"/>
      <c r="R3" s="1610"/>
      <c r="S3" s="725"/>
      <c r="T3" s="725"/>
      <c r="U3" s="725"/>
      <c r="V3" s="725"/>
      <c r="W3" s="725"/>
      <c r="X3" s="725"/>
      <c r="Y3" s="725"/>
      <c r="Z3" s="725"/>
      <c r="AA3" s="725"/>
      <c r="AB3" s="725"/>
      <c r="AC3" s="725"/>
      <c r="AD3" s="725"/>
      <c r="AE3" s="725"/>
    </row>
    <row r="4" spans="1:31" ht="18" customHeight="1" x14ac:dyDescent="0.3">
      <c r="Q4" s="1648" t="s">
        <v>0</v>
      </c>
      <c r="R4" s="1648"/>
    </row>
    <row r="5" spans="1:31" s="656" customFormat="1" ht="18" customHeight="1" thickBot="1" x14ac:dyDescent="0.25">
      <c r="B5" s="656" t="s">
        <v>1</v>
      </c>
      <c r="C5" s="656" t="s">
        <v>3</v>
      </c>
      <c r="D5" s="1611" t="s">
        <v>2</v>
      </c>
      <c r="E5" s="1611"/>
      <c r="F5" s="656" t="s">
        <v>4</v>
      </c>
      <c r="G5" s="656" t="s">
        <v>5</v>
      </c>
      <c r="H5" s="656" t="s">
        <v>15</v>
      </c>
      <c r="I5" s="656" t="s">
        <v>16</v>
      </c>
      <c r="J5" s="656" t="s">
        <v>17</v>
      </c>
      <c r="K5" s="656" t="s">
        <v>34</v>
      </c>
      <c r="L5" s="656" t="s">
        <v>30</v>
      </c>
      <c r="M5" s="656" t="s">
        <v>23</v>
      </c>
      <c r="N5" s="656" t="s">
        <v>35</v>
      </c>
      <c r="O5" s="656" t="s">
        <v>36</v>
      </c>
      <c r="P5" s="656" t="s">
        <v>135</v>
      </c>
      <c r="Q5" s="656" t="s">
        <v>136</v>
      </c>
      <c r="R5" s="656" t="s">
        <v>137</v>
      </c>
    </row>
    <row r="6" spans="1:31" s="190" customFormat="1" ht="30" customHeight="1" x14ac:dyDescent="0.3">
      <c r="A6" s="656"/>
      <c r="B6" s="1612" t="s">
        <v>18</v>
      </c>
      <c r="C6" s="1649" t="s">
        <v>19</v>
      </c>
      <c r="D6" s="1616" t="s">
        <v>6</v>
      </c>
      <c r="E6" s="1651"/>
      <c r="F6" s="1653" t="s">
        <v>20</v>
      </c>
      <c r="G6" s="1620" t="s">
        <v>471</v>
      </c>
      <c r="H6" s="1620" t="s">
        <v>504</v>
      </c>
      <c r="I6" s="1622" t="s">
        <v>707</v>
      </c>
      <c r="J6" s="1655" t="s">
        <v>644</v>
      </c>
      <c r="K6" s="1657" t="s">
        <v>37</v>
      </c>
      <c r="L6" s="1658"/>
      <c r="M6" s="1658"/>
      <c r="N6" s="1658"/>
      <c r="O6" s="1659"/>
      <c r="P6" s="1660" t="s">
        <v>138</v>
      </c>
      <c r="Q6" s="1660"/>
      <c r="R6" s="1660"/>
    </row>
    <row r="7" spans="1:31" s="190" customFormat="1" ht="60.75" customHeight="1" thickBot="1" x14ac:dyDescent="0.35">
      <c r="A7" s="656"/>
      <c r="B7" s="1613"/>
      <c r="C7" s="1650"/>
      <c r="D7" s="1618"/>
      <c r="E7" s="1652"/>
      <c r="F7" s="1654"/>
      <c r="G7" s="1621"/>
      <c r="H7" s="1621"/>
      <c r="I7" s="1623"/>
      <c r="J7" s="1656"/>
      <c r="K7" s="1513" t="s">
        <v>38</v>
      </c>
      <c r="L7" s="1513" t="s">
        <v>39</v>
      </c>
      <c r="M7" s="1513" t="s">
        <v>40</v>
      </c>
      <c r="N7" s="1513" t="s">
        <v>195</v>
      </c>
      <c r="O7" s="1513" t="s">
        <v>41</v>
      </c>
      <c r="P7" s="728" t="s">
        <v>202</v>
      </c>
      <c r="Q7" s="1513" t="s">
        <v>203</v>
      </c>
      <c r="R7" s="1513" t="s">
        <v>139</v>
      </c>
    </row>
    <row r="8" spans="1:31" ht="22.5" customHeight="1" x14ac:dyDescent="0.3">
      <c r="A8" s="656">
        <v>1</v>
      </c>
      <c r="B8" s="663">
        <v>1</v>
      </c>
      <c r="C8" s="729"/>
      <c r="D8" s="730" t="s">
        <v>271</v>
      </c>
      <c r="E8" s="730"/>
      <c r="F8" s="731" t="s">
        <v>23</v>
      </c>
      <c r="G8" s="667">
        <v>204045</v>
      </c>
      <c r="H8" s="667">
        <v>228773</v>
      </c>
      <c r="I8" s="1353">
        <v>221942</v>
      </c>
      <c r="J8" s="732"/>
      <c r="K8" s="667"/>
      <c r="L8" s="667"/>
      <c r="M8" s="667"/>
      <c r="N8" s="667"/>
      <c r="O8" s="667"/>
      <c r="P8" s="667"/>
      <c r="Q8" s="667"/>
      <c r="R8" s="733"/>
    </row>
    <row r="9" spans="1:31" ht="18" customHeight="1" x14ac:dyDescent="0.3">
      <c r="A9" s="656">
        <v>2</v>
      </c>
      <c r="B9" s="669"/>
      <c r="C9" s="734"/>
      <c r="D9" s="735" t="s">
        <v>276</v>
      </c>
      <c r="E9" s="735"/>
      <c r="F9" s="672"/>
      <c r="G9" s="672"/>
      <c r="H9" s="672"/>
      <c r="I9" s="1354"/>
      <c r="J9" s="736"/>
      <c r="K9" s="672"/>
      <c r="L9" s="672"/>
      <c r="M9" s="672"/>
      <c r="N9" s="672"/>
      <c r="O9" s="672"/>
      <c r="P9" s="672"/>
      <c r="Q9" s="672"/>
      <c r="R9" s="737"/>
    </row>
    <row r="10" spans="1:31" s="680" customFormat="1" ht="18" customHeight="1" x14ac:dyDescent="0.3">
      <c r="A10" s="656">
        <v>3</v>
      </c>
      <c r="B10" s="675"/>
      <c r="C10" s="738"/>
      <c r="D10" s="738"/>
      <c r="E10" s="739" t="s">
        <v>268</v>
      </c>
      <c r="F10" s="740"/>
      <c r="G10" s="740"/>
      <c r="H10" s="740"/>
      <c r="I10" s="1355"/>
      <c r="J10" s="741">
        <f>SUM(K10:R10)</f>
        <v>242748</v>
      </c>
      <c r="K10" s="742">
        <v>160950</v>
      </c>
      <c r="L10" s="742">
        <v>24726</v>
      </c>
      <c r="M10" s="742">
        <v>55902</v>
      </c>
      <c r="N10" s="742"/>
      <c r="O10" s="742"/>
      <c r="P10" s="742">
        <v>1170</v>
      </c>
      <c r="Q10" s="742"/>
      <c r="R10" s="743"/>
      <c r="S10" s="744"/>
      <c r="T10" s="744"/>
      <c r="U10" s="744"/>
      <c r="V10" s="744"/>
      <c r="W10" s="744"/>
      <c r="X10" s="744"/>
      <c r="Y10" s="744"/>
      <c r="Z10" s="744"/>
      <c r="AA10" s="744"/>
      <c r="AB10" s="744"/>
      <c r="AC10" s="744"/>
      <c r="AD10" s="744"/>
      <c r="AE10" s="744"/>
    </row>
    <row r="11" spans="1:31" s="680" customFormat="1" ht="18" customHeight="1" x14ac:dyDescent="0.3">
      <c r="A11" s="656">
        <v>4</v>
      </c>
      <c r="B11" s="675"/>
      <c r="C11" s="738"/>
      <c r="D11" s="738"/>
      <c r="E11" s="224" t="s">
        <v>796</v>
      </c>
      <c r="F11" s="740"/>
      <c r="G11" s="740"/>
      <c r="H11" s="740"/>
      <c r="I11" s="1355"/>
      <c r="J11" s="736">
        <f t="shared" ref="J11:J12" si="0">SUM(K11:R11)</f>
        <v>256765</v>
      </c>
      <c r="K11" s="1118">
        <v>164211</v>
      </c>
      <c r="L11" s="1118">
        <v>25920</v>
      </c>
      <c r="M11" s="1118">
        <v>58164</v>
      </c>
      <c r="N11" s="1118"/>
      <c r="O11" s="1118"/>
      <c r="P11" s="1118">
        <v>8470</v>
      </c>
      <c r="Q11" s="742"/>
      <c r="R11" s="743"/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</row>
    <row r="12" spans="1:31" s="680" customFormat="1" ht="18" customHeight="1" x14ac:dyDescent="0.3">
      <c r="A12" s="656">
        <v>5</v>
      </c>
      <c r="B12" s="675"/>
      <c r="C12" s="738"/>
      <c r="D12" s="738"/>
      <c r="E12" s="976" t="s">
        <v>868</v>
      </c>
      <c r="F12" s="740"/>
      <c r="G12" s="740"/>
      <c r="H12" s="740"/>
      <c r="I12" s="1355"/>
      <c r="J12" s="1309">
        <f t="shared" si="0"/>
        <v>113629</v>
      </c>
      <c r="K12" s="775">
        <v>73158</v>
      </c>
      <c r="L12" s="775">
        <v>11505</v>
      </c>
      <c r="M12" s="775">
        <v>28966</v>
      </c>
      <c r="N12" s="775"/>
      <c r="O12" s="775"/>
      <c r="P12" s="775"/>
      <c r="Q12" s="802"/>
      <c r="R12" s="803"/>
      <c r="S12" s="744"/>
      <c r="T12" s="744"/>
      <c r="U12" s="744"/>
      <c r="V12" s="744"/>
      <c r="W12" s="744"/>
      <c r="X12" s="744"/>
      <c r="Y12" s="744"/>
      <c r="Z12" s="744"/>
      <c r="AA12" s="744"/>
      <c r="AB12" s="744"/>
      <c r="AC12" s="744"/>
      <c r="AD12" s="744"/>
      <c r="AE12" s="744"/>
    </row>
    <row r="13" spans="1:31" s="706" customFormat="1" ht="22.5" customHeight="1" x14ac:dyDescent="0.3">
      <c r="A13" s="656">
        <v>6</v>
      </c>
      <c r="B13" s="669">
        <v>2</v>
      </c>
      <c r="C13" s="734"/>
      <c r="D13" s="745" t="s">
        <v>270</v>
      </c>
      <c r="E13" s="745"/>
      <c r="F13" s="746" t="s">
        <v>23</v>
      </c>
      <c r="G13" s="672">
        <v>376590</v>
      </c>
      <c r="H13" s="672">
        <v>379260</v>
      </c>
      <c r="I13" s="1354">
        <v>380104</v>
      </c>
      <c r="J13" s="736"/>
      <c r="K13" s="672"/>
      <c r="L13" s="672"/>
      <c r="M13" s="672"/>
      <c r="N13" s="672"/>
      <c r="O13" s="672"/>
      <c r="P13" s="672"/>
      <c r="Q13" s="672"/>
      <c r="R13" s="737"/>
      <c r="S13" s="747"/>
      <c r="T13" s="747"/>
      <c r="U13" s="747"/>
      <c r="V13" s="747"/>
      <c r="W13" s="747"/>
      <c r="X13" s="747"/>
      <c r="Y13" s="747"/>
      <c r="Z13" s="747"/>
      <c r="AA13" s="747"/>
      <c r="AB13" s="747"/>
      <c r="AC13" s="747"/>
      <c r="AD13" s="747"/>
      <c r="AE13" s="747"/>
    </row>
    <row r="14" spans="1:31" ht="18" customHeight="1" x14ac:dyDescent="0.3">
      <c r="A14" s="656">
        <v>7</v>
      </c>
      <c r="B14" s="669"/>
      <c r="C14" s="734"/>
      <c r="D14" s="735" t="s">
        <v>269</v>
      </c>
      <c r="E14" s="735"/>
      <c r="F14" s="672"/>
      <c r="G14" s="672"/>
      <c r="H14" s="672"/>
      <c r="I14" s="1354"/>
      <c r="J14" s="736"/>
      <c r="K14" s="672"/>
      <c r="L14" s="672"/>
      <c r="M14" s="672"/>
      <c r="N14" s="672"/>
      <c r="O14" s="672"/>
      <c r="P14" s="672"/>
      <c r="Q14" s="672"/>
      <c r="R14" s="737"/>
    </row>
    <row r="15" spans="1:31" s="691" customFormat="1" ht="18" customHeight="1" x14ac:dyDescent="0.3">
      <c r="A15" s="656">
        <v>8</v>
      </c>
      <c r="B15" s="675"/>
      <c r="C15" s="738"/>
      <c r="D15" s="738"/>
      <c r="E15" s="739" t="s">
        <v>268</v>
      </c>
      <c r="F15" s="740"/>
      <c r="G15" s="740"/>
      <c r="H15" s="740"/>
      <c r="I15" s="1355"/>
      <c r="J15" s="741">
        <f>SUM(K15:R15)</f>
        <v>406776</v>
      </c>
      <c r="K15" s="742">
        <v>277703</v>
      </c>
      <c r="L15" s="742">
        <v>40125</v>
      </c>
      <c r="M15" s="742">
        <v>88948</v>
      </c>
      <c r="N15" s="742"/>
      <c r="O15" s="742"/>
      <c r="P15" s="742"/>
      <c r="Q15" s="742"/>
      <c r="R15" s="743"/>
      <c r="S15" s="748"/>
      <c r="T15" s="748"/>
      <c r="U15" s="748"/>
      <c r="V15" s="748"/>
      <c r="W15" s="748"/>
      <c r="X15" s="748"/>
      <c r="Y15" s="748"/>
      <c r="Z15" s="748"/>
      <c r="AA15" s="748"/>
      <c r="AB15" s="748"/>
      <c r="AC15" s="748"/>
      <c r="AD15" s="748"/>
      <c r="AE15" s="748"/>
    </row>
    <row r="16" spans="1:31" s="691" customFormat="1" ht="18" customHeight="1" x14ac:dyDescent="0.3">
      <c r="A16" s="656">
        <v>9</v>
      </c>
      <c r="B16" s="675"/>
      <c r="C16" s="738"/>
      <c r="D16" s="738"/>
      <c r="E16" s="224" t="s">
        <v>796</v>
      </c>
      <c r="F16" s="740"/>
      <c r="G16" s="740"/>
      <c r="H16" s="740"/>
      <c r="I16" s="1355"/>
      <c r="J16" s="736">
        <f t="shared" ref="J16:J17" si="1">SUM(K16:R16)</f>
        <v>419166</v>
      </c>
      <c r="K16" s="1118">
        <v>284582</v>
      </c>
      <c r="L16" s="1118">
        <v>41783</v>
      </c>
      <c r="M16" s="1118">
        <v>89801</v>
      </c>
      <c r="N16" s="742"/>
      <c r="O16" s="742"/>
      <c r="P16" s="1118">
        <v>3000</v>
      </c>
      <c r="Q16" s="742"/>
      <c r="R16" s="743"/>
      <c r="S16" s="748"/>
      <c r="T16" s="748"/>
      <c r="U16" s="748"/>
      <c r="V16" s="748"/>
      <c r="W16" s="748"/>
      <c r="X16" s="748"/>
      <c r="Y16" s="748"/>
      <c r="Z16" s="748"/>
      <c r="AA16" s="748"/>
      <c r="AB16" s="748"/>
      <c r="AC16" s="748"/>
      <c r="AD16" s="748"/>
      <c r="AE16" s="748"/>
    </row>
    <row r="17" spans="1:31" s="691" customFormat="1" ht="18" customHeight="1" x14ac:dyDescent="0.3">
      <c r="A17" s="656">
        <v>10</v>
      </c>
      <c r="B17" s="675"/>
      <c r="C17" s="738"/>
      <c r="D17" s="738"/>
      <c r="E17" s="976" t="s">
        <v>868</v>
      </c>
      <c r="F17" s="740"/>
      <c r="G17" s="740"/>
      <c r="H17" s="740"/>
      <c r="I17" s="1355"/>
      <c r="J17" s="1309">
        <f t="shared" si="1"/>
        <v>190031</v>
      </c>
      <c r="K17" s="775">
        <v>133496</v>
      </c>
      <c r="L17" s="775">
        <v>21091</v>
      </c>
      <c r="M17" s="775">
        <v>34359</v>
      </c>
      <c r="N17" s="775"/>
      <c r="O17" s="775"/>
      <c r="P17" s="775">
        <v>1085</v>
      </c>
      <c r="Q17" s="742"/>
      <c r="R17" s="743"/>
      <c r="S17" s="748"/>
      <c r="T17" s="748"/>
      <c r="U17" s="748"/>
      <c r="V17" s="748"/>
      <c r="W17" s="748"/>
      <c r="X17" s="748"/>
      <c r="Y17" s="748"/>
      <c r="Z17" s="748"/>
      <c r="AA17" s="748"/>
      <c r="AB17" s="748"/>
      <c r="AC17" s="748"/>
      <c r="AD17" s="748"/>
      <c r="AE17" s="748"/>
    </row>
    <row r="18" spans="1:31" ht="22.5" customHeight="1" x14ac:dyDescent="0.3">
      <c r="A18" s="656">
        <v>11</v>
      </c>
      <c r="B18" s="669">
        <v>3</v>
      </c>
      <c r="C18" s="734"/>
      <c r="D18" s="745" t="s">
        <v>233</v>
      </c>
      <c r="E18" s="745"/>
      <c r="F18" s="746" t="s">
        <v>23</v>
      </c>
      <c r="G18" s="672">
        <v>410352</v>
      </c>
      <c r="H18" s="672">
        <v>430451</v>
      </c>
      <c r="I18" s="1354">
        <v>391436</v>
      </c>
      <c r="J18" s="736"/>
      <c r="K18" s="672"/>
      <c r="L18" s="672"/>
      <c r="M18" s="672"/>
      <c r="N18" s="672"/>
      <c r="O18" s="672"/>
      <c r="P18" s="672"/>
      <c r="Q18" s="672"/>
      <c r="R18" s="737"/>
    </row>
    <row r="19" spans="1:31" s="660" customFormat="1" ht="18" customHeight="1" x14ac:dyDescent="0.3">
      <c r="A19" s="656">
        <v>12</v>
      </c>
      <c r="B19" s="669"/>
      <c r="C19" s="734"/>
      <c r="D19" s="735" t="s">
        <v>128</v>
      </c>
      <c r="E19" s="735"/>
      <c r="F19" s="672"/>
      <c r="G19" s="672"/>
      <c r="H19" s="672"/>
      <c r="I19" s="1354"/>
      <c r="J19" s="736"/>
      <c r="K19" s="672"/>
      <c r="L19" s="672"/>
      <c r="M19" s="672"/>
      <c r="N19" s="672"/>
      <c r="O19" s="672"/>
      <c r="P19" s="672"/>
      <c r="Q19" s="672"/>
      <c r="R19" s="737"/>
      <c r="S19" s="749"/>
      <c r="T19" s="749"/>
      <c r="U19" s="749"/>
      <c r="V19" s="749"/>
      <c r="W19" s="749"/>
      <c r="X19" s="749"/>
      <c r="Y19" s="749"/>
      <c r="Z19" s="749"/>
      <c r="AA19" s="749"/>
      <c r="AB19" s="749"/>
      <c r="AC19" s="749"/>
      <c r="AD19" s="749"/>
      <c r="AE19" s="749"/>
    </row>
    <row r="20" spans="1:31" s="680" customFormat="1" ht="18" customHeight="1" x14ac:dyDescent="0.3">
      <c r="A20" s="656">
        <v>13</v>
      </c>
      <c r="B20" s="675"/>
      <c r="C20" s="738"/>
      <c r="D20" s="738"/>
      <c r="E20" s="739" t="s">
        <v>268</v>
      </c>
      <c r="F20" s="740"/>
      <c r="G20" s="740"/>
      <c r="H20" s="740"/>
      <c r="I20" s="1355"/>
      <c r="J20" s="741">
        <f>SUM(K20:R20)</f>
        <v>457212</v>
      </c>
      <c r="K20" s="742">
        <v>317750</v>
      </c>
      <c r="L20" s="742">
        <v>49000</v>
      </c>
      <c r="M20" s="742">
        <v>88053</v>
      </c>
      <c r="N20" s="742"/>
      <c r="O20" s="742"/>
      <c r="P20" s="742">
        <v>2409</v>
      </c>
      <c r="Q20" s="742"/>
      <c r="R20" s="743"/>
      <c r="S20" s="744"/>
      <c r="T20" s="744"/>
      <c r="U20" s="744"/>
      <c r="V20" s="744"/>
      <c r="W20" s="744"/>
      <c r="X20" s="744"/>
      <c r="Y20" s="744"/>
      <c r="Z20" s="744"/>
      <c r="AA20" s="744"/>
      <c r="AB20" s="744"/>
      <c r="AC20" s="744"/>
      <c r="AD20" s="744"/>
      <c r="AE20" s="744"/>
    </row>
    <row r="21" spans="1:31" s="680" customFormat="1" ht="18" customHeight="1" x14ac:dyDescent="0.3">
      <c r="A21" s="656">
        <v>14</v>
      </c>
      <c r="B21" s="675"/>
      <c r="C21" s="738"/>
      <c r="D21" s="738"/>
      <c r="E21" s="224" t="s">
        <v>796</v>
      </c>
      <c r="F21" s="740"/>
      <c r="G21" s="740"/>
      <c r="H21" s="740"/>
      <c r="I21" s="1355"/>
      <c r="J21" s="736">
        <f t="shared" ref="J21:J22" si="2">SUM(K21:R21)</f>
        <v>487660</v>
      </c>
      <c r="K21" s="1118">
        <v>332764</v>
      </c>
      <c r="L21" s="1118">
        <v>51132</v>
      </c>
      <c r="M21" s="1118">
        <v>101355</v>
      </c>
      <c r="N21" s="1118"/>
      <c r="O21" s="1118"/>
      <c r="P21" s="1118">
        <v>2409</v>
      </c>
      <c r="Q21" s="742"/>
      <c r="R21" s="743"/>
      <c r="S21" s="744"/>
      <c r="T21" s="744"/>
      <c r="U21" s="744"/>
      <c r="V21" s="744"/>
      <c r="W21" s="744"/>
      <c r="X21" s="744"/>
      <c r="Y21" s="744"/>
      <c r="Z21" s="744"/>
      <c r="AA21" s="744"/>
      <c r="AB21" s="744"/>
      <c r="AC21" s="744"/>
      <c r="AD21" s="744"/>
      <c r="AE21" s="744"/>
    </row>
    <row r="22" spans="1:31" s="680" customFormat="1" ht="18" customHeight="1" x14ac:dyDescent="0.3">
      <c r="A22" s="656">
        <v>15</v>
      </c>
      <c r="B22" s="675"/>
      <c r="C22" s="738"/>
      <c r="D22" s="738"/>
      <c r="E22" s="976" t="s">
        <v>869</v>
      </c>
      <c r="F22" s="740"/>
      <c r="G22" s="740"/>
      <c r="H22" s="740"/>
      <c r="I22" s="1355"/>
      <c r="J22" s="1309">
        <f t="shared" si="2"/>
        <v>203091</v>
      </c>
      <c r="K22" s="775">
        <v>145955</v>
      </c>
      <c r="L22" s="775">
        <v>23265</v>
      </c>
      <c r="M22" s="775">
        <v>33557</v>
      </c>
      <c r="N22" s="1118"/>
      <c r="O22" s="1118"/>
      <c r="P22" s="775">
        <v>314</v>
      </c>
      <c r="Q22" s="742"/>
      <c r="R22" s="743"/>
      <c r="S22" s="744"/>
      <c r="T22" s="744"/>
      <c r="U22" s="744"/>
      <c r="V22" s="744"/>
      <c r="W22" s="744"/>
      <c r="X22" s="744"/>
      <c r="Y22" s="744"/>
      <c r="Z22" s="744"/>
      <c r="AA22" s="744"/>
      <c r="AB22" s="744"/>
      <c r="AC22" s="744"/>
      <c r="AD22" s="744"/>
      <c r="AE22" s="744"/>
    </row>
    <row r="23" spans="1:31" ht="22.5" customHeight="1" x14ac:dyDescent="0.3">
      <c r="A23" s="656">
        <v>16</v>
      </c>
      <c r="B23" s="669">
        <v>4</v>
      </c>
      <c r="C23" s="734"/>
      <c r="D23" s="745" t="s">
        <v>234</v>
      </c>
      <c r="E23" s="745"/>
      <c r="F23" s="746" t="s">
        <v>23</v>
      </c>
      <c r="G23" s="672">
        <v>314958</v>
      </c>
      <c r="H23" s="672">
        <v>340680</v>
      </c>
      <c r="I23" s="1354">
        <v>339369</v>
      </c>
      <c r="J23" s="736"/>
      <c r="K23" s="672"/>
      <c r="L23" s="672"/>
      <c r="M23" s="672"/>
      <c r="N23" s="672"/>
      <c r="O23" s="672"/>
      <c r="P23" s="672"/>
      <c r="Q23" s="672"/>
      <c r="R23" s="737"/>
    </row>
    <row r="24" spans="1:31" ht="18" customHeight="1" x14ac:dyDescent="0.3">
      <c r="A24" s="656">
        <v>17</v>
      </c>
      <c r="B24" s="669"/>
      <c r="C24" s="734"/>
      <c r="D24" s="735" t="s">
        <v>129</v>
      </c>
      <c r="E24" s="735"/>
      <c r="F24" s="672"/>
      <c r="G24" s="672"/>
      <c r="H24" s="672"/>
      <c r="I24" s="1354"/>
      <c r="J24" s="736"/>
      <c r="K24" s="672"/>
      <c r="L24" s="672"/>
      <c r="M24" s="672"/>
      <c r="N24" s="672"/>
      <c r="O24" s="672"/>
      <c r="P24" s="672"/>
      <c r="Q24" s="672"/>
      <c r="R24" s="737"/>
    </row>
    <row r="25" spans="1:31" s="680" customFormat="1" ht="18" customHeight="1" x14ac:dyDescent="0.3">
      <c r="A25" s="656">
        <v>18</v>
      </c>
      <c r="B25" s="675"/>
      <c r="C25" s="738"/>
      <c r="D25" s="738"/>
      <c r="E25" s="739" t="s">
        <v>268</v>
      </c>
      <c r="F25" s="740"/>
      <c r="G25" s="740"/>
      <c r="H25" s="740"/>
      <c r="I25" s="1355"/>
      <c r="J25" s="741">
        <f>SUM(K25:R25)</f>
        <v>388568</v>
      </c>
      <c r="K25" s="742">
        <v>258151</v>
      </c>
      <c r="L25" s="742">
        <v>40373</v>
      </c>
      <c r="M25" s="742">
        <v>89833</v>
      </c>
      <c r="N25" s="742"/>
      <c r="O25" s="742"/>
      <c r="P25" s="742">
        <v>211</v>
      </c>
      <c r="Q25" s="742"/>
      <c r="R25" s="743"/>
      <c r="S25" s="744"/>
      <c r="T25" s="744"/>
      <c r="U25" s="744"/>
      <c r="V25" s="744"/>
      <c r="W25" s="744"/>
      <c r="X25" s="744"/>
      <c r="Y25" s="744"/>
      <c r="Z25" s="744"/>
      <c r="AA25" s="744"/>
      <c r="AB25" s="744"/>
      <c r="AC25" s="744"/>
      <c r="AD25" s="744"/>
      <c r="AE25" s="744"/>
    </row>
    <row r="26" spans="1:31" s="680" customFormat="1" ht="18" customHeight="1" x14ac:dyDescent="0.3">
      <c r="A26" s="656">
        <v>19</v>
      </c>
      <c r="B26" s="675"/>
      <c r="C26" s="738"/>
      <c r="D26" s="738"/>
      <c r="E26" s="224" t="s">
        <v>796</v>
      </c>
      <c r="F26" s="740"/>
      <c r="G26" s="740"/>
      <c r="H26" s="740"/>
      <c r="I26" s="1355"/>
      <c r="J26" s="736">
        <f t="shared" ref="J26:J27" si="3">SUM(K26:R26)</f>
        <v>405661</v>
      </c>
      <c r="K26" s="1118">
        <v>263270</v>
      </c>
      <c r="L26" s="1118">
        <v>41195</v>
      </c>
      <c r="M26" s="1118">
        <v>93985</v>
      </c>
      <c r="N26" s="1118"/>
      <c r="O26" s="1118"/>
      <c r="P26" s="1118">
        <v>7211</v>
      </c>
      <c r="Q26" s="1118"/>
      <c r="R26" s="743"/>
      <c r="S26" s="744"/>
      <c r="T26" s="744"/>
      <c r="U26" s="744"/>
      <c r="V26" s="744"/>
      <c r="W26" s="744"/>
      <c r="X26" s="744"/>
      <c r="Y26" s="744"/>
      <c r="Z26" s="744"/>
      <c r="AA26" s="744"/>
      <c r="AB26" s="744"/>
      <c r="AC26" s="744"/>
      <c r="AD26" s="744"/>
      <c r="AE26" s="744"/>
    </row>
    <row r="27" spans="1:31" s="680" customFormat="1" ht="18" customHeight="1" x14ac:dyDescent="0.3">
      <c r="A27" s="656">
        <v>20</v>
      </c>
      <c r="B27" s="675"/>
      <c r="C27" s="738"/>
      <c r="D27" s="738"/>
      <c r="E27" s="976" t="s">
        <v>868</v>
      </c>
      <c r="F27" s="740"/>
      <c r="G27" s="740"/>
      <c r="H27" s="740"/>
      <c r="I27" s="1355"/>
      <c r="J27" s="1309">
        <f t="shared" si="3"/>
        <v>176631</v>
      </c>
      <c r="K27" s="775">
        <v>117631</v>
      </c>
      <c r="L27" s="775">
        <v>18496</v>
      </c>
      <c r="M27" s="775">
        <v>37234</v>
      </c>
      <c r="N27" s="775"/>
      <c r="O27" s="775"/>
      <c r="P27" s="775">
        <v>3270</v>
      </c>
      <c r="Q27" s="1118"/>
      <c r="R27" s="743"/>
      <c r="S27" s="744"/>
      <c r="T27" s="744"/>
      <c r="U27" s="744"/>
      <c r="V27" s="744"/>
      <c r="W27" s="744"/>
      <c r="X27" s="744"/>
      <c r="Y27" s="744"/>
      <c r="Z27" s="744"/>
      <c r="AA27" s="744"/>
      <c r="AB27" s="744"/>
      <c r="AC27" s="744"/>
      <c r="AD27" s="744"/>
      <c r="AE27" s="744"/>
    </row>
    <row r="28" spans="1:31" s="706" customFormat="1" ht="22.5" customHeight="1" x14ac:dyDescent="0.3">
      <c r="A28" s="656">
        <v>21</v>
      </c>
      <c r="B28" s="669">
        <v>5</v>
      </c>
      <c r="C28" s="734"/>
      <c r="D28" s="745" t="s">
        <v>235</v>
      </c>
      <c r="E28" s="745"/>
      <c r="F28" s="746" t="s">
        <v>23</v>
      </c>
      <c r="G28" s="672">
        <v>343526</v>
      </c>
      <c r="H28" s="672">
        <v>362829</v>
      </c>
      <c r="I28" s="1354">
        <v>348055</v>
      </c>
      <c r="J28" s="736"/>
      <c r="K28" s="672"/>
      <c r="L28" s="672"/>
      <c r="M28" s="672"/>
      <c r="N28" s="750"/>
      <c r="O28" s="750"/>
      <c r="P28" s="750"/>
      <c r="Q28" s="750"/>
      <c r="R28" s="751"/>
      <c r="S28" s="747"/>
      <c r="T28" s="747"/>
      <c r="U28" s="747"/>
      <c r="V28" s="747"/>
      <c r="W28" s="747"/>
      <c r="X28" s="747"/>
      <c r="Y28" s="747"/>
      <c r="Z28" s="747"/>
      <c r="AA28" s="747"/>
      <c r="AB28" s="747"/>
      <c r="AC28" s="747"/>
      <c r="AD28" s="747"/>
      <c r="AE28" s="747"/>
    </row>
    <row r="29" spans="1:31" ht="18" customHeight="1" x14ac:dyDescent="0.3">
      <c r="A29" s="656">
        <v>22</v>
      </c>
      <c r="B29" s="669"/>
      <c r="C29" s="734"/>
      <c r="D29" s="735" t="s">
        <v>130</v>
      </c>
      <c r="E29" s="735"/>
      <c r="F29" s="672"/>
      <c r="G29" s="672"/>
      <c r="H29" s="672"/>
      <c r="I29" s="1354"/>
      <c r="J29" s="736"/>
      <c r="K29" s="672"/>
      <c r="L29" s="672"/>
      <c r="M29" s="672"/>
      <c r="N29" s="750"/>
      <c r="O29" s="750"/>
      <c r="P29" s="750"/>
      <c r="Q29" s="750"/>
      <c r="R29" s="751"/>
    </row>
    <row r="30" spans="1:31" s="691" customFormat="1" ht="18" customHeight="1" x14ac:dyDescent="0.3">
      <c r="A30" s="656">
        <v>23</v>
      </c>
      <c r="B30" s="675"/>
      <c r="C30" s="738"/>
      <c r="D30" s="738"/>
      <c r="E30" s="739" t="s">
        <v>268</v>
      </c>
      <c r="F30" s="740"/>
      <c r="G30" s="740"/>
      <c r="H30" s="740"/>
      <c r="I30" s="1355"/>
      <c r="J30" s="741">
        <f>SUM(K30:R30)</f>
        <v>403969</v>
      </c>
      <c r="K30" s="742">
        <v>257705</v>
      </c>
      <c r="L30" s="742">
        <v>39349</v>
      </c>
      <c r="M30" s="742">
        <v>106866</v>
      </c>
      <c r="N30" s="742"/>
      <c r="O30" s="742"/>
      <c r="P30" s="742">
        <v>49</v>
      </c>
      <c r="Q30" s="742"/>
      <c r="R30" s="743"/>
      <c r="S30" s="748"/>
      <c r="T30" s="748"/>
      <c r="U30" s="748"/>
      <c r="V30" s="748"/>
      <c r="W30" s="748"/>
      <c r="X30" s="748"/>
      <c r="Y30" s="748"/>
      <c r="Z30" s="748"/>
      <c r="AA30" s="748"/>
      <c r="AB30" s="748"/>
      <c r="AC30" s="748"/>
      <c r="AD30" s="748"/>
      <c r="AE30" s="748"/>
    </row>
    <row r="31" spans="1:31" s="691" customFormat="1" ht="18" customHeight="1" x14ac:dyDescent="0.3">
      <c r="A31" s="656">
        <v>24</v>
      </c>
      <c r="B31" s="675"/>
      <c r="C31" s="738"/>
      <c r="D31" s="738"/>
      <c r="E31" s="224" t="s">
        <v>796</v>
      </c>
      <c r="F31" s="740"/>
      <c r="G31" s="740"/>
      <c r="H31" s="740"/>
      <c r="I31" s="1355"/>
      <c r="J31" s="736">
        <f t="shared" ref="J31:J32" si="4">SUM(K31:R31)</f>
        <v>416952</v>
      </c>
      <c r="K31" s="1118">
        <v>260194</v>
      </c>
      <c r="L31" s="1118">
        <v>39995</v>
      </c>
      <c r="M31" s="1118">
        <v>114468</v>
      </c>
      <c r="N31" s="1118"/>
      <c r="O31" s="1118"/>
      <c r="P31" s="1118">
        <v>2295</v>
      </c>
      <c r="Q31" s="742"/>
      <c r="R31" s="743"/>
      <c r="S31" s="748"/>
      <c r="T31" s="748"/>
      <c r="U31" s="748"/>
      <c r="V31" s="748"/>
      <c r="W31" s="748"/>
      <c r="X31" s="748"/>
      <c r="Y31" s="748"/>
      <c r="Z31" s="748"/>
      <c r="AA31" s="748"/>
      <c r="AB31" s="748"/>
      <c r="AC31" s="748"/>
      <c r="AD31" s="748"/>
      <c r="AE31" s="748"/>
    </row>
    <row r="32" spans="1:31" s="691" customFormat="1" ht="18" customHeight="1" x14ac:dyDescent="0.3">
      <c r="A32" s="656">
        <v>25</v>
      </c>
      <c r="B32" s="675"/>
      <c r="C32" s="738"/>
      <c r="D32" s="738"/>
      <c r="E32" s="976" t="s">
        <v>868</v>
      </c>
      <c r="F32" s="740"/>
      <c r="G32" s="740"/>
      <c r="H32" s="740"/>
      <c r="I32" s="1355"/>
      <c r="J32" s="1309">
        <f t="shared" si="4"/>
        <v>183266</v>
      </c>
      <c r="K32" s="775">
        <v>117425</v>
      </c>
      <c r="L32" s="775">
        <v>17322</v>
      </c>
      <c r="M32" s="775">
        <v>48479</v>
      </c>
      <c r="N32" s="775"/>
      <c r="O32" s="775"/>
      <c r="P32" s="775">
        <v>40</v>
      </c>
      <c r="Q32" s="742"/>
      <c r="R32" s="743"/>
      <c r="S32" s="748"/>
      <c r="T32" s="748"/>
      <c r="U32" s="748"/>
      <c r="V32" s="748"/>
      <c r="W32" s="748"/>
      <c r="X32" s="748"/>
      <c r="Y32" s="748"/>
      <c r="Z32" s="748"/>
      <c r="AA32" s="748"/>
      <c r="AB32" s="748"/>
      <c r="AC32" s="748"/>
      <c r="AD32" s="748"/>
      <c r="AE32" s="748"/>
    </row>
    <row r="33" spans="1:31" s="661" customFormat="1" ht="22.5" customHeight="1" x14ac:dyDescent="0.3">
      <c r="A33" s="656">
        <v>26</v>
      </c>
      <c r="B33" s="669">
        <v>6</v>
      </c>
      <c r="C33" s="734"/>
      <c r="D33" s="745" t="s">
        <v>236</v>
      </c>
      <c r="E33" s="745"/>
      <c r="F33" s="746" t="s">
        <v>23</v>
      </c>
      <c r="G33" s="672">
        <v>171451</v>
      </c>
      <c r="H33" s="672">
        <v>206083</v>
      </c>
      <c r="I33" s="1354">
        <v>196309</v>
      </c>
      <c r="J33" s="736"/>
      <c r="K33" s="672"/>
      <c r="L33" s="672"/>
      <c r="M33" s="672"/>
      <c r="N33" s="750"/>
      <c r="O33" s="750"/>
      <c r="P33" s="750"/>
      <c r="Q33" s="750"/>
      <c r="R33" s="751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1:31" s="706" customFormat="1" ht="18" customHeight="1" x14ac:dyDescent="0.3">
      <c r="A34" s="656">
        <v>27</v>
      </c>
      <c r="B34" s="669"/>
      <c r="C34" s="734"/>
      <c r="D34" s="735" t="s">
        <v>131</v>
      </c>
      <c r="E34" s="735"/>
      <c r="F34" s="672"/>
      <c r="G34" s="672"/>
      <c r="H34" s="672"/>
      <c r="I34" s="1354"/>
      <c r="J34" s="736"/>
      <c r="K34" s="672"/>
      <c r="L34" s="672"/>
      <c r="M34" s="672"/>
      <c r="N34" s="750"/>
      <c r="O34" s="750"/>
      <c r="P34" s="750"/>
      <c r="Q34" s="750"/>
      <c r="R34" s="751"/>
      <c r="S34" s="747"/>
      <c r="T34" s="747"/>
      <c r="U34" s="747"/>
      <c r="V34" s="747"/>
      <c r="W34" s="747"/>
      <c r="X34" s="747"/>
      <c r="Y34" s="747"/>
      <c r="Z34" s="747"/>
      <c r="AA34" s="747"/>
      <c r="AB34" s="747"/>
      <c r="AC34" s="747"/>
      <c r="AD34" s="747"/>
      <c r="AE34" s="747"/>
    </row>
    <row r="35" spans="1:31" s="691" customFormat="1" ht="18" customHeight="1" x14ac:dyDescent="0.3">
      <c r="A35" s="656">
        <v>28</v>
      </c>
      <c r="B35" s="675"/>
      <c r="C35" s="738"/>
      <c r="D35" s="738"/>
      <c r="E35" s="739" t="s">
        <v>268</v>
      </c>
      <c r="F35" s="740"/>
      <c r="G35" s="740"/>
      <c r="H35" s="740"/>
      <c r="I35" s="1355"/>
      <c r="J35" s="741">
        <f>SUM(K35:R35)</f>
        <v>235926</v>
      </c>
      <c r="K35" s="742">
        <v>145103</v>
      </c>
      <c r="L35" s="742">
        <v>21990</v>
      </c>
      <c r="M35" s="742">
        <v>63059</v>
      </c>
      <c r="N35" s="742"/>
      <c r="O35" s="742"/>
      <c r="P35" s="742">
        <v>5774</v>
      </c>
      <c r="Q35" s="742"/>
      <c r="R35" s="743"/>
      <c r="S35" s="748"/>
      <c r="T35" s="748"/>
      <c r="U35" s="748"/>
      <c r="V35" s="748"/>
      <c r="W35" s="748"/>
      <c r="X35" s="748"/>
      <c r="Y35" s="748"/>
      <c r="Z35" s="748"/>
      <c r="AA35" s="748"/>
      <c r="AB35" s="748"/>
      <c r="AC35" s="748"/>
      <c r="AD35" s="748"/>
      <c r="AE35" s="748"/>
    </row>
    <row r="36" spans="1:31" s="691" customFormat="1" ht="18" customHeight="1" x14ac:dyDescent="0.3">
      <c r="A36" s="656">
        <v>29</v>
      </c>
      <c r="B36" s="675"/>
      <c r="C36" s="1112"/>
      <c r="D36" s="1116"/>
      <c r="E36" s="224" t="s">
        <v>796</v>
      </c>
      <c r="F36" s="1113"/>
      <c r="G36" s="1113"/>
      <c r="H36" s="1113"/>
      <c r="I36" s="1356"/>
      <c r="J36" s="736">
        <f t="shared" ref="J36:J37" si="5">SUM(K36:R36)</f>
        <v>247329</v>
      </c>
      <c r="K36" s="1120">
        <v>147503</v>
      </c>
      <c r="L36" s="1120">
        <v>22854</v>
      </c>
      <c r="M36" s="1120">
        <v>63549</v>
      </c>
      <c r="N36" s="1120"/>
      <c r="O36" s="1120"/>
      <c r="P36" s="1120">
        <v>13423</v>
      </c>
      <c r="Q36" s="1114"/>
      <c r="R36" s="1115"/>
      <c r="S36" s="748"/>
      <c r="T36" s="748"/>
      <c r="U36" s="748"/>
      <c r="V36" s="748"/>
      <c r="W36" s="748"/>
      <c r="X36" s="748"/>
      <c r="Y36" s="748"/>
      <c r="Z36" s="748"/>
      <c r="AA36" s="748"/>
      <c r="AB36" s="748"/>
      <c r="AC36" s="748"/>
      <c r="AD36" s="748"/>
      <c r="AE36" s="748"/>
    </row>
    <row r="37" spans="1:31" s="691" customFormat="1" ht="18" customHeight="1" thickBot="1" x14ac:dyDescent="0.35">
      <c r="A37" s="656">
        <v>30</v>
      </c>
      <c r="B37" s="675"/>
      <c r="C37" s="1112"/>
      <c r="D37" s="1117"/>
      <c r="E37" s="976" t="s">
        <v>868</v>
      </c>
      <c r="F37" s="1113"/>
      <c r="G37" s="1113"/>
      <c r="H37" s="1113"/>
      <c r="I37" s="1356"/>
      <c r="J37" s="1309">
        <f t="shared" si="5"/>
        <v>114393</v>
      </c>
      <c r="K37" s="778">
        <v>74990</v>
      </c>
      <c r="L37" s="778">
        <v>12793</v>
      </c>
      <c r="M37" s="778">
        <v>24322</v>
      </c>
      <c r="N37" s="778"/>
      <c r="O37" s="778"/>
      <c r="P37" s="778">
        <v>2288</v>
      </c>
      <c r="Q37" s="1114"/>
      <c r="R37" s="1115"/>
      <c r="S37" s="748"/>
      <c r="T37" s="748"/>
      <c r="U37" s="748"/>
      <c r="V37" s="748"/>
      <c r="W37" s="748"/>
      <c r="X37" s="748"/>
      <c r="Y37" s="748"/>
      <c r="Z37" s="748"/>
      <c r="AA37" s="748"/>
      <c r="AB37" s="748"/>
      <c r="AC37" s="748"/>
      <c r="AD37" s="748"/>
      <c r="AE37" s="748"/>
    </row>
    <row r="38" spans="1:31" s="757" customFormat="1" ht="22.5" customHeight="1" thickTop="1" x14ac:dyDescent="0.2">
      <c r="A38" s="656">
        <v>31</v>
      </c>
      <c r="B38" s="752"/>
      <c r="C38" s="1593" t="s">
        <v>384</v>
      </c>
      <c r="D38" s="1594"/>
      <c r="E38" s="1609"/>
      <c r="F38" s="753"/>
      <c r="G38" s="753">
        <f>SUM(G8:G35)</f>
        <v>1820922</v>
      </c>
      <c r="H38" s="753">
        <f>SUM(H8:H35)</f>
        <v>1948076</v>
      </c>
      <c r="I38" s="1357">
        <f>SUM(I8:I35)</f>
        <v>1877215</v>
      </c>
      <c r="J38" s="754"/>
      <c r="K38" s="753"/>
      <c r="L38" s="753"/>
      <c r="M38" s="753"/>
      <c r="N38" s="753"/>
      <c r="O38" s="753"/>
      <c r="P38" s="753"/>
      <c r="Q38" s="753"/>
      <c r="R38" s="755"/>
      <c r="S38" s="756"/>
      <c r="T38" s="756"/>
      <c r="U38" s="756"/>
      <c r="V38" s="756"/>
      <c r="W38" s="756"/>
      <c r="X38" s="756"/>
      <c r="Y38" s="756"/>
      <c r="Z38" s="756"/>
      <c r="AA38" s="756"/>
      <c r="AB38" s="756"/>
      <c r="AC38" s="756"/>
      <c r="AD38" s="756"/>
      <c r="AE38" s="756"/>
    </row>
    <row r="39" spans="1:31" s="680" customFormat="1" ht="18" customHeight="1" x14ac:dyDescent="0.3">
      <c r="A39" s="656">
        <v>32</v>
      </c>
      <c r="B39" s="675"/>
      <c r="C39" s="1116"/>
      <c r="D39" s="738"/>
      <c r="E39" s="787" t="s">
        <v>268</v>
      </c>
      <c r="F39" s="740"/>
      <c r="G39" s="740"/>
      <c r="H39" s="740"/>
      <c r="I39" s="1355"/>
      <c r="J39" s="741">
        <f>SUM(K39:R39)</f>
        <v>2135199</v>
      </c>
      <c r="K39" s="742">
        <f t="shared" ref="K39:R40" si="6">SUM(K10,K15,K20,K25,K30,K35)</f>
        <v>1417362</v>
      </c>
      <c r="L39" s="742">
        <f t="shared" si="6"/>
        <v>215563</v>
      </c>
      <c r="M39" s="742">
        <f t="shared" si="6"/>
        <v>492661</v>
      </c>
      <c r="N39" s="742">
        <f t="shared" si="6"/>
        <v>0</v>
      </c>
      <c r="O39" s="742">
        <f t="shared" si="6"/>
        <v>0</v>
      </c>
      <c r="P39" s="742">
        <f t="shared" si="6"/>
        <v>9613</v>
      </c>
      <c r="Q39" s="742">
        <f t="shared" si="6"/>
        <v>0</v>
      </c>
      <c r="R39" s="743">
        <f t="shared" si="6"/>
        <v>0</v>
      </c>
      <c r="S39" s="744"/>
      <c r="T39" s="744"/>
      <c r="U39" s="744"/>
      <c r="V39" s="744"/>
      <c r="W39" s="744"/>
      <c r="X39" s="744"/>
      <c r="Y39" s="744"/>
      <c r="Z39" s="744"/>
      <c r="AA39" s="744"/>
      <c r="AB39" s="744"/>
      <c r="AC39" s="744"/>
      <c r="AD39" s="744"/>
      <c r="AE39" s="744"/>
    </row>
    <row r="40" spans="1:31" s="680" customFormat="1" ht="18" customHeight="1" x14ac:dyDescent="0.3">
      <c r="A40" s="656">
        <v>33</v>
      </c>
      <c r="B40" s="675"/>
      <c r="C40" s="1116"/>
      <c r="D40" s="738"/>
      <c r="E40" s="224" t="s">
        <v>796</v>
      </c>
      <c r="F40" s="740"/>
      <c r="G40" s="740"/>
      <c r="H40" s="740"/>
      <c r="I40" s="1355"/>
      <c r="J40" s="736">
        <f t="shared" ref="J40" si="7">SUM(K40:R40)</f>
        <v>2233533</v>
      </c>
      <c r="K40" s="1118">
        <f t="shared" si="6"/>
        <v>1452524</v>
      </c>
      <c r="L40" s="1118">
        <f t="shared" si="6"/>
        <v>222879</v>
      </c>
      <c r="M40" s="1118">
        <f t="shared" si="6"/>
        <v>521322</v>
      </c>
      <c r="N40" s="1118">
        <f t="shared" si="6"/>
        <v>0</v>
      </c>
      <c r="O40" s="1118">
        <f t="shared" si="6"/>
        <v>0</v>
      </c>
      <c r="P40" s="1118">
        <f t="shared" si="6"/>
        <v>36808</v>
      </c>
      <c r="Q40" s="1118">
        <f t="shared" si="6"/>
        <v>0</v>
      </c>
      <c r="R40" s="1121">
        <f t="shared" si="6"/>
        <v>0</v>
      </c>
      <c r="S40" s="744"/>
      <c r="T40" s="744"/>
      <c r="U40" s="744"/>
      <c r="V40" s="744"/>
      <c r="W40" s="744"/>
      <c r="X40" s="744"/>
      <c r="Y40" s="744"/>
      <c r="Z40" s="744"/>
      <c r="AA40" s="744"/>
      <c r="AB40" s="744"/>
      <c r="AC40" s="744"/>
      <c r="AD40" s="744"/>
      <c r="AE40" s="744"/>
    </row>
    <row r="41" spans="1:31" s="680" customFormat="1" ht="18" customHeight="1" thickBot="1" x14ac:dyDescent="0.35">
      <c r="A41" s="656">
        <v>34</v>
      </c>
      <c r="B41" s="675"/>
      <c r="C41" s="758"/>
      <c r="D41" s="759"/>
      <c r="E41" s="1446" t="s">
        <v>869</v>
      </c>
      <c r="F41" s="760"/>
      <c r="G41" s="760"/>
      <c r="H41" s="760"/>
      <c r="I41" s="1358"/>
      <c r="J41" s="1458">
        <f>SUM(K41:R41)</f>
        <v>981041</v>
      </c>
      <c r="K41" s="1459">
        <f>SUM(K12,K17,K22,K27,K32,K37,)</f>
        <v>662655</v>
      </c>
      <c r="L41" s="1459">
        <f t="shared" ref="L41:R41" si="8">SUM(L12,L17,L22,L27,L32,L37,)</f>
        <v>104472</v>
      </c>
      <c r="M41" s="1459">
        <f t="shared" si="8"/>
        <v>206917</v>
      </c>
      <c r="N41" s="1459">
        <f t="shared" si="8"/>
        <v>0</v>
      </c>
      <c r="O41" s="1459">
        <f t="shared" si="8"/>
        <v>0</v>
      </c>
      <c r="P41" s="1459">
        <f t="shared" si="8"/>
        <v>6997</v>
      </c>
      <c r="Q41" s="1459">
        <f t="shared" si="8"/>
        <v>0</v>
      </c>
      <c r="R41" s="1526">
        <f t="shared" si="8"/>
        <v>0</v>
      </c>
      <c r="S41" s="744"/>
      <c r="T41" s="744"/>
      <c r="U41" s="744"/>
      <c r="V41" s="744"/>
      <c r="W41" s="744"/>
      <c r="X41" s="744"/>
      <c r="Y41" s="744"/>
      <c r="Z41" s="744"/>
      <c r="AA41" s="744"/>
      <c r="AB41" s="744"/>
      <c r="AC41" s="744"/>
      <c r="AD41" s="744"/>
      <c r="AE41" s="744"/>
    </row>
    <row r="42" spans="1:31" s="661" customFormat="1" ht="22.5" customHeight="1" thickTop="1" x14ac:dyDescent="0.3">
      <c r="A42" s="656">
        <v>35</v>
      </c>
      <c r="B42" s="663">
        <v>7</v>
      </c>
      <c r="C42" s="729"/>
      <c r="D42" s="730" t="s">
        <v>278</v>
      </c>
      <c r="E42" s="761"/>
      <c r="F42" s="731" t="s">
        <v>23</v>
      </c>
      <c r="G42" s="667">
        <v>1026913</v>
      </c>
      <c r="H42" s="667">
        <v>1120897</v>
      </c>
      <c r="I42" s="1353">
        <v>1169944</v>
      </c>
      <c r="J42" s="762"/>
      <c r="K42" s="667"/>
      <c r="L42" s="667"/>
      <c r="M42" s="667"/>
      <c r="N42" s="667"/>
      <c r="O42" s="667"/>
      <c r="P42" s="667"/>
      <c r="Q42" s="667"/>
      <c r="R42" s="733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1:31" s="680" customFormat="1" ht="18" customHeight="1" x14ac:dyDescent="0.3">
      <c r="A43" s="656">
        <v>36</v>
      </c>
      <c r="B43" s="675"/>
      <c r="C43" s="738"/>
      <c r="D43" s="738"/>
      <c r="E43" s="739" t="s">
        <v>268</v>
      </c>
      <c r="F43" s="740"/>
      <c r="G43" s="740"/>
      <c r="H43" s="740"/>
      <c r="I43" s="1355"/>
      <c r="J43" s="741">
        <f>SUM(K43:R43)</f>
        <v>1378413</v>
      </c>
      <c r="K43" s="742">
        <v>1026685</v>
      </c>
      <c r="L43" s="742">
        <v>155777</v>
      </c>
      <c r="M43" s="742">
        <v>193981</v>
      </c>
      <c r="N43" s="742"/>
      <c r="O43" s="742"/>
      <c r="P43" s="742">
        <v>1970</v>
      </c>
      <c r="Q43" s="742"/>
      <c r="R43" s="743"/>
      <c r="S43" s="744"/>
      <c r="T43" s="744"/>
      <c r="U43" s="744"/>
      <c r="V43" s="744"/>
      <c r="W43" s="744"/>
      <c r="X43" s="744"/>
      <c r="Y43" s="744"/>
      <c r="Z43" s="744"/>
      <c r="AA43" s="744"/>
      <c r="AB43" s="744"/>
      <c r="AC43" s="744"/>
      <c r="AD43" s="744"/>
      <c r="AE43" s="744"/>
    </row>
    <row r="44" spans="1:31" s="680" customFormat="1" ht="18" customHeight="1" x14ac:dyDescent="0.3">
      <c r="A44" s="656">
        <v>37</v>
      </c>
      <c r="B44" s="675"/>
      <c r="C44" s="738"/>
      <c r="D44" s="738"/>
      <c r="E44" s="224" t="s">
        <v>796</v>
      </c>
      <c r="F44" s="740"/>
      <c r="G44" s="740"/>
      <c r="H44" s="740"/>
      <c r="I44" s="1355"/>
      <c r="J44" s="736">
        <f t="shared" ref="J44:J45" si="9">SUM(K44:R44)</f>
        <v>1425052</v>
      </c>
      <c r="K44" s="1118">
        <v>1049766</v>
      </c>
      <c r="L44" s="1118">
        <v>159601</v>
      </c>
      <c r="M44" s="1118">
        <v>205715</v>
      </c>
      <c r="N44" s="1118"/>
      <c r="O44" s="1118"/>
      <c r="P44" s="1118">
        <v>9970</v>
      </c>
      <c r="Q44" s="742"/>
      <c r="R44" s="743"/>
      <c r="S44" s="744"/>
      <c r="T44" s="744"/>
      <c r="U44" s="744"/>
      <c r="V44" s="744"/>
      <c r="W44" s="744"/>
      <c r="X44" s="744"/>
      <c r="Y44" s="744"/>
      <c r="Z44" s="744"/>
      <c r="AA44" s="744"/>
      <c r="AB44" s="744"/>
      <c r="AC44" s="744"/>
      <c r="AD44" s="744"/>
      <c r="AE44" s="744"/>
    </row>
    <row r="45" spans="1:31" s="680" customFormat="1" ht="18" customHeight="1" x14ac:dyDescent="0.3">
      <c r="A45" s="656">
        <v>38</v>
      </c>
      <c r="B45" s="675"/>
      <c r="C45" s="738"/>
      <c r="D45" s="738"/>
      <c r="E45" s="976" t="s">
        <v>868</v>
      </c>
      <c r="F45" s="740"/>
      <c r="G45" s="740"/>
      <c r="H45" s="740"/>
      <c r="I45" s="1355"/>
      <c r="J45" s="1309">
        <f t="shared" si="9"/>
        <v>659941</v>
      </c>
      <c r="K45" s="775">
        <v>490947</v>
      </c>
      <c r="L45" s="775">
        <v>77603</v>
      </c>
      <c r="M45" s="775">
        <v>91050</v>
      </c>
      <c r="N45" s="1118"/>
      <c r="O45" s="1118"/>
      <c r="P45" s="775">
        <v>341</v>
      </c>
      <c r="Q45" s="742"/>
      <c r="R45" s="743"/>
      <c r="S45" s="744"/>
      <c r="T45" s="744"/>
      <c r="U45" s="744"/>
      <c r="V45" s="744"/>
      <c r="W45" s="744"/>
      <c r="X45" s="744"/>
      <c r="Y45" s="744"/>
      <c r="Z45" s="744"/>
      <c r="AA45" s="744"/>
      <c r="AB45" s="744"/>
      <c r="AC45" s="744"/>
      <c r="AD45" s="744"/>
      <c r="AE45" s="744"/>
    </row>
    <row r="46" spans="1:31" s="706" customFormat="1" ht="22.5" customHeight="1" x14ac:dyDescent="0.3">
      <c r="A46" s="656">
        <v>39</v>
      </c>
      <c r="B46" s="669">
        <v>8</v>
      </c>
      <c r="C46" s="734"/>
      <c r="D46" s="745" t="s">
        <v>108</v>
      </c>
      <c r="E46" s="745"/>
      <c r="F46" s="746" t="s">
        <v>23</v>
      </c>
      <c r="G46" s="672">
        <v>85741</v>
      </c>
      <c r="H46" s="672">
        <v>73767</v>
      </c>
      <c r="I46" s="1354">
        <v>90132</v>
      </c>
      <c r="J46" s="763"/>
      <c r="K46" s="672"/>
      <c r="L46" s="672"/>
      <c r="M46" s="672"/>
      <c r="N46" s="672"/>
      <c r="O46" s="672"/>
      <c r="P46" s="672"/>
      <c r="Q46" s="672"/>
      <c r="R46" s="737"/>
      <c r="S46" s="747"/>
      <c r="T46" s="747"/>
      <c r="U46" s="747"/>
      <c r="V46" s="747"/>
      <c r="W46" s="747"/>
      <c r="X46" s="747"/>
      <c r="Y46" s="747"/>
      <c r="Z46" s="747"/>
      <c r="AA46" s="747"/>
      <c r="AB46" s="747"/>
      <c r="AC46" s="747"/>
      <c r="AD46" s="747"/>
      <c r="AE46" s="747"/>
    </row>
    <row r="47" spans="1:31" s="691" customFormat="1" ht="18" customHeight="1" x14ac:dyDescent="0.3">
      <c r="A47" s="656">
        <v>40</v>
      </c>
      <c r="B47" s="764"/>
      <c r="C47" s="765"/>
      <c r="D47" s="765"/>
      <c r="E47" s="739" t="s">
        <v>268</v>
      </c>
      <c r="F47" s="766"/>
      <c r="G47" s="766"/>
      <c r="H47" s="766"/>
      <c r="I47" s="1355"/>
      <c r="J47" s="741">
        <f>SUM(K47:R47)</f>
        <v>86372</v>
      </c>
      <c r="K47" s="742">
        <v>49302</v>
      </c>
      <c r="L47" s="742">
        <v>6580</v>
      </c>
      <c r="M47" s="742">
        <v>30183</v>
      </c>
      <c r="N47" s="742"/>
      <c r="O47" s="742"/>
      <c r="P47" s="742">
        <v>307</v>
      </c>
      <c r="Q47" s="742"/>
      <c r="R47" s="743"/>
      <c r="S47" s="748"/>
      <c r="T47" s="748"/>
      <c r="U47" s="748"/>
      <c r="V47" s="748"/>
      <c r="W47" s="748"/>
      <c r="X47" s="748"/>
      <c r="Y47" s="748"/>
      <c r="Z47" s="748"/>
      <c r="AA47" s="748"/>
      <c r="AB47" s="748"/>
      <c r="AC47" s="748"/>
      <c r="AD47" s="748"/>
      <c r="AE47" s="748"/>
    </row>
    <row r="48" spans="1:31" s="691" customFormat="1" ht="18" customHeight="1" x14ac:dyDescent="0.3">
      <c r="A48" s="656">
        <v>41</v>
      </c>
      <c r="B48" s="764"/>
      <c r="C48" s="765"/>
      <c r="D48" s="765"/>
      <c r="E48" s="224" t="s">
        <v>796</v>
      </c>
      <c r="F48" s="766"/>
      <c r="G48" s="766"/>
      <c r="H48" s="766"/>
      <c r="I48" s="1355"/>
      <c r="J48" s="736">
        <f t="shared" ref="J48:J49" si="10">SUM(K48:R48)</f>
        <v>109527</v>
      </c>
      <c r="K48" s="1118">
        <v>66243</v>
      </c>
      <c r="L48" s="1118">
        <v>7996</v>
      </c>
      <c r="M48" s="1118">
        <v>33881</v>
      </c>
      <c r="N48" s="1118"/>
      <c r="O48" s="1118"/>
      <c r="P48" s="1118">
        <v>1407</v>
      </c>
      <c r="Q48" s="742"/>
      <c r="R48" s="743"/>
      <c r="S48" s="748"/>
      <c r="T48" s="748"/>
      <c r="U48" s="748"/>
      <c r="V48" s="748"/>
      <c r="W48" s="748"/>
      <c r="X48" s="748"/>
      <c r="Y48" s="748"/>
      <c r="Z48" s="748"/>
      <c r="AA48" s="748"/>
      <c r="AB48" s="748"/>
      <c r="AC48" s="748"/>
      <c r="AD48" s="748"/>
      <c r="AE48" s="748"/>
    </row>
    <row r="49" spans="1:31" s="691" customFormat="1" ht="18" customHeight="1" x14ac:dyDescent="0.3">
      <c r="A49" s="656">
        <v>42</v>
      </c>
      <c r="B49" s="764"/>
      <c r="C49" s="765"/>
      <c r="D49" s="765"/>
      <c r="E49" s="976" t="s">
        <v>868</v>
      </c>
      <c r="F49" s="766"/>
      <c r="G49" s="766"/>
      <c r="H49" s="766"/>
      <c r="I49" s="1355"/>
      <c r="J49" s="1309">
        <f t="shared" si="10"/>
        <v>48852</v>
      </c>
      <c r="K49" s="775">
        <v>31284</v>
      </c>
      <c r="L49" s="775">
        <v>3537</v>
      </c>
      <c r="M49" s="775">
        <v>13605</v>
      </c>
      <c r="N49" s="1118"/>
      <c r="O49" s="1118"/>
      <c r="P49" s="775">
        <v>426</v>
      </c>
      <c r="Q49" s="742"/>
      <c r="R49" s="743"/>
      <c r="S49" s="748"/>
      <c r="T49" s="748"/>
      <c r="U49" s="748"/>
      <c r="V49" s="748"/>
      <c r="W49" s="748"/>
      <c r="X49" s="748"/>
      <c r="Y49" s="748"/>
      <c r="Z49" s="748"/>
      <c r="AA49" s="748"/>
      <c r="AB49" s="748"/>
      <c r="AC49" s="748"/>
      <c r="AD49" s="748"/>
      <c r="AE49" s="748"/>
    </row>
    <row r="50" spans="1:31" s="706" customFormat="1" ht="22.5" customHeight="1" x14ac:dyDescent="0.3">
      <c r="A50" s="656">
        <v>43</v>
      </c>
      <c r="B50" s="669">
        <v>9</v>
      </c>
      <c r="C50" s="734"/>
      <c r="D50" s="745" t="s">
        <v>343</v>
      </c>
      <c r="E50" s="745"/>
      <c r="F50" s="746" t="s">
        <v>23</v>
      </c>
      <c r="G50" s="672">
        <v>300491</v>
      </c>
      <c r="H50" s="672">
        <v>263190</v>
      </c>
      <c r="I50" s="1354">
        <v>321240</v>
      </c>
      <c r="J50" s="763"/>
      <c r="K50" s="672"/>
      <c r="L50" s="672"/>
      <c r="M50" s="672"/>
      <c r="N50" s="672"/>
      <c r="O50" s="672"/>
      <c r="P50" s="672"/>
      <c r="Q50" s="672"/>
      <c r="R50" s="737"/>
      <c r="S50" s="747"/>
      <c r="T50" s="747"/>
      <c r="U50" s="747"/>
      <c r="V50" s="747"/>
      <c r="W50" s="747"/>
      <c r="X50" s="747"/>
      <c r="Y50" s="747"/>
      <c r="Z50" s="747"/>
      <c r="AA50" s="747"/>
      <c r="AB50" s="747"/>
      <c r="AC50" s="747"/>
      <c r="AD50" s="747"/>
      <c r="AE50" s="747"/>
    </row>
    <row r="51" spans="1:31" s="691" customFormat="1" ht="18" customHeight="1" x14ac:dyDescent="0.3">
      <c r="A51" s="656">
        <v>44</v>
      </c>
      <c r="B51" s="764"/>
      <c r="C51" s="767"/>
      <c r="D51" s="767"/>
      <c r="E51" s="739" t="s">
        <v>268</v>
      </c>
      <c r="F51" s="768"/>
      <c r="G51" s="768"/>
      <c r="H51" s="768"/>
      <c r="I51" s="1359"/>
      <c r="J51" s="769">
        <f>SUM(K51:R51)</f>
        <v>293643</v>
      </c>
      <c r="K51" s="770">
        <v>221040</v>
      </c>
      <c r="L51" s="770">
        <v>36018</v>
      </c>
      <c r="M51" s="770">
        <v>34880</v>
      </c>
      <c r="N51" s="770"/>
      <c r="O51" s="770"/>
      <c r="P51" s="770">
        <v>1705</v>
      </c>
      <c r="Q51" s="770"/>
      <c r="R51" s="771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</row>
    <row r="52" spans="1:31" s="691" customFormat="1" ht="18" customHeight="1" x14ac:dyDescent="0.3">
      <c r="A52" s="656">
        <v>45</v>
      </c>
      <c r="B52" s="764"/>
      <c r="C52" s="767"/>
      <c r="D52" s="767"/>
      <c r="E52" s="224" t="s">
        <v>796</v>
      </c>
      <c r="F52" s="768"/>
      <c r="G52" s="768"/>
      <c r="H52" s="768"/>
      <c r="I52" s="1359"/>
      <c r="J52" s="1127">
        <f t="shared" ref="J52:J58" si="11">SUM(K52:R52)</f>
        <v>350524</v>
      </c>
      <c r="K52" s="1126">
        <v>256274</v>
      </c>
      <c r="L52" s="1126">
        <v>40903</v>
      </c>
      <c r="M52" s="1126">
        <v>49242</v>
      </c>
      <c r="N52" s="1126"/>
      <c r="O52" s="1126"/>
      <c r="P52" s="1126">
        <v>4105</v>
      </c>
      <c r="Q52" s="770"/>
      <c r="R52" s="771"/>
      <c r="S52" s="748"/>
      <c r="T52" s="748"/>
      <c r="U52" s="748"/>
      <c r="V52" s="748"/>
      <c r="W52" s="748"/>
      <c r="X52" s="748"/>
      <c r="Y52" s="748"/>
      <c r="Z52" s="748"/>
      <c r="AA52" s="748"/>
      <c r="AB52" s="748"/>
      <c r="AC52" s="748"/>
      <c r="AD52" s="748"/>
      <c r="AE52" s="748"/>
    </row>
    <row r="53" spans="1:31" s="691" customFormat="1" ht="18" customHeight="1" x14ac:dyDescent="0.3">
      <c r="A53" s="656">
        <v>46</v>
      </c>
      <c r="B53" s="764"/>
      <c r="C53" s="767"/>
      <c r="D53" s="767"/>
      <c r="E53" s="976" t="s">
        <v>868</v>
      </c>
      <c r="F53" s="768"/>
      <c r="G53" s="768"/>
      <c r="H53" s="768"/>
      <c r="I53" s="1359"/>
      <c r="J53" s="1409">
        <f t="shared" si="11"/>
        <v>175060</v>
      </c>
      <c r="K53" s="1308">
        <v>138913</v>
      </c>
      <c r="L53" s="1308">
        <v>19639</v>
      </c>
      <c r="M53" s="1308">
        <f>25837-8491-1891</f>
        <v>15455</v>
      </c>
      <c r="N53" s="1308"/>
      <c r="O53" s="1308"/>
      <c r="P53" s="1308">
        <f>1445-392</f>
        <v>1053</v>
      </c>
      <c r="Q53" s="770"/>
      <c r="R53" s="771"/>
      <c r="S53" s="748"/>
      <c r="T53" s="748"/>
      <c r="U53" s="748"/>
      <c r="V53" s="748"/>
      <c r="W53" s="748"/>
      <c r="X53" s="748"/>
      <c r="Y53" s="748"/>
      <c r="Z53" s="748"/>
      <c r="AA53" s="748"/>
      <c r="AB53" s="748"/>
      <c r="AC53" s="748"/>
      <c r="AD53" s="748"/>
      <c r="AE53" s="748"/>
    </row>
    <row r="54" spans="1:31" s="691" customFormat="1" ht="18" customHeight="1" x14ac:dyDescent="0.3">
      <c r="A54" s="656">
        <v>47</v>
      </c>
      <c r="B54" s="764"/>
      <c r="C54" s="1331">
        <v>2</v>
      </c>
      <c r="D54" s="773" t="s">
        <v>784</v>
      </c>
      <c r="E54" s="773"/>
      <c r="F54" s="768"/>
      <c r="G54" s="768"/>
      <c r="H54" s="768"/>
      <c r="I54" s="1359"/>
      <c r="J54" s="1127"/>
      <c r="K54" s="1126"/>
      <c r="L54" s="1126"/>
      <c r="M54" s="1126"/>
      <c r="N54" s="1126"/>
      <c r="O54" s="1126"/>
      <c r="P54" s="1126"/>
      <c r="Q54" s="770"/>
      <c r="R54" s="771"/>
      <c r="S54" s="748"/>
      <c r="T54" s="748"/>
      <c r="U54" s="748"/>
      <c r="V54" s="748"/>
      <c r="W54" s="748"/>
      <c r="X54" s="748"/>
      <c r="Y54" s="748"/>
      <c r="Z54" s="748"/>
      <c r="AA54" s="748"/>
      <c r="AB54" s="748"/>
      <c r="AC54" s="748"/>
      <c r="AD54" s="748"/>
      <c r="AE54" s="748"/>
    </row>
    <row r="55" spans="1:31" s="691" customFormat="1" ht="18" customHeight="1" x14ac:dyDescent="0.3">
      <c r="A55" s="656">
        <v>48</v>
      </c>
      <c r="B55" s="764"/>
      <c r="C55" s="1331"/>
      <c r="D55" s="1410"/>
      <c r="E55" s="224" t="s">
        <v>796</v>
      </c>
      <c r="F55" s="768"/>
      <c r="G55" s="768"/>
      <c r="H55" s="768"/>
      <c r="I55" s="1359"/>
      <c r="J55" s="1127">
        <f t="shared" si="11"/>
        <v>16800</v>
      </c>
      <c r="K55" s="1126"/>
      <c r="L55" s="1126"/>
      <c r="M55" s="1126">
        <v>16350</v>
      </c>
      <c r="N55" s="1126"/>
      <c r="O55" s="1126"/>
      <c r="P55" s="1126">
        <v>450</v>
      </c>
      <c r="Q55" s="770"/>
      <c r="R55" s="771"/>
      <c r="S55" s="748"/>
      <c r="T55" s="748"/>
      <c r="U55" s="748"/>
      <c r="V55" s="748"/>
      <c r="W55" s="748"/>
      <c r="X55" s="748"/>
      <c r="Y55" s="748"/>
      <c r="Z55" s="748"/>
      <c r="AA55" s="748"/>
      <c r="AB55" s="748"/>
      <c r="AC55" s="748"/>
      <c r="AD55" s="748"/>
      <c r="AE55" s="748"/>
    </row>
    <row r="56" spans="1:31" s="691" customFormat="1" ht="18" customHeight="1" x14ac:dyDescent="0.3">
      <c r="A56" s="656">
        <v>49</v>
      </c>
      <c r="B56" s="764"/>
      <c r="C56" s="767"/>
      <c r="D56" s="767"/>
      <c r="E56" s="976" t="s">
        <v>868</v>
      </c>
      <c r="F56" s="768"/>
      <c r="G56" s="768"/>
      <c r="H56" s="768"/>
      <c r="I56" s="1359"/>
      <c r="J56" s="1409">
        <f t="shared" si="11"/>
        <v>8883</v>
      </c>
      <c r="K56" s="1126"/>
      <c r="L56" s="1126"/>
      <c r="M56" s="1308">
        <v>8491</v>
      </c>
      <c r="N56" s="1126"/>
      <c r="O56" s="1126"/>
      <c r="P56" s="1308">
        <v>392</v>
      </c>
      <c r="Q56" s="770"/>
      <c r="R56" s="771"/>
      <c r="S56" s="748"/>
      <c r="T56" s="748"/>
      <c r="U56" s="748"/>
      <c r="V56" s="748"/>
      <c r="W56" s="748"/>
      <c r="X56" s="748"/>
      <c r="Y56" s="748"/>
      <c r="Z56" s="748"/>
      <c r="AA56" s="748"/>
      <c r="AB56" s="748"/>
      <c r="AC56" s="748"/>
      <c r="AD56" s="748"/>
      <c r="AE56" s="748"/>
    </row>
    <row r="57" spans="1:31" s="706" customFormat="1" ht="18" customHeight="1" x14ac:dyDescent="0.3">
      <c r="A57" s="656">
        <v>50</v>
      </c>
      <c r="B57" s="709"/>
      <c r="C57" s="772">
        <v>1</v>
      </c>
      <c r="D57" s="773" t="s">
        <v>505</v>
      </c>
      <c r="E57" s="773"/>
      <c r="F57" s="774"/>
      <c r="G57" s="672"/>
      <c r="H57" s="672"/>
      <c r="I57" s="1354">
        <v>8971</v>
      </c>
      <c r="J57" s="763"/>
      <c r="K57" s="750"/>
      <c r="L57" s="750"/>
      <c r="M57" s="750"/>
      <c r="N57" s="775"/>
      <c r="O57" s="775"/>
      <c r="P57" s="775"/>
      <c r="Q57" s="775"/>
      <c r="R57" s="776"/>
      <c r="S57" s="747"/>
      <c r="T57" s="747"/>
      <c r="U57" s="747"/>
      <c r="V57" s="747"/>
      <c r="W57" s="747"/>
      <c r="X57" s="747"/>
      <c r="Y57" s="747"/>
      <c r="Z57" s="747"/>
      <c r="AA57" s="747"/>
      <c r="AB57" s="747"/>
      <c r="AC57" s="747"/>
      <c r="AD57" s="747"/>
      <c r="AE57" s="747"/>
    </row>
    <row r="58" spans="1:31" s="706" customFormat="1" ht="18" customHeight="1" x14ac:dyDescent="0.3">
      <c r="A58" s="656">
        <v>51</v>
      </c>
      <c r="B58" s="709"/>
      <c r="C58" s="777"/>
      <c r="D58" s="773"/>
      <c r="E58" s="224" t="s">
        <v>796</v>
      </c>
      <c r="F58" s="774"/>
      <c r="G58" s="672"/>
      <c r="H58" s="672"/>
      <c r="I58" s="1354"/>
      <c r="J58" s="1127">
        <f t="shared" si="11"/>
        <v>6029</v>
      </c>
      <c r="K58" s="750"/>
      <c r="L58" s="750"/>
      <c r="M58" s="1118">
        <v>6019</v>
      </c>
      <c r="N58" s="775"/>
      <c r="O58" s="775"/>
      <c r="P58" s="1118">
        <v>10</v>
      </c>
      <c r="Q58" s="775"/>
      <c r="R58" s="776"/>
      <c r="S58" s="747"/>
      <c r="T58" s="747"/>
      <c r="U58" s="747"/>
      <c r="V58" s="747"/>
      <c r="W58" s="747"/>
      <c r="X58" s="747"/>
      <c r="Y58" s="747"/>
      <c r="Z58" s="747"/>
      <c r="AA58" s="747"/>
      <c r="AB58" s="747"/>
      <c r="AC58" s="747"/>
      <c r="AD58" s="747"/>
      <c r="AE58" s="747"/>
    </row>
    <row r="59" spans="1:31" s="706" customFormat="1" ht="18" customHeight="1" thickBot="1" x14ac:dyDescent="0.35">
      <c r="A59" s="656">
        <v>52</v>
      </c>
      <c r="B59" s="709"/>
      <c r="C59" s="777"/>
      <c r="D59" s="773"/>
      <c r="E59" s="976" t="s">
        <v>868</v>
      </c>
      <c r="F59" s="774"/>
      <c r="G59" s="672"/>
      <c r="H59" s="672"/>
      <c r="I59" s="1342"/>
      <c r="J59" s="1409">
        <f t="shared" ref="J59" si="12">SUM(K59:R59)</f>
        <v>1891</v>
      </c>
      <c r="K59" s="750"/>
      <c r="L59" s="750"/>
      <c r="M59" s="775">
        <v>1891</v>
      </c>
      <c r="N59" s="775"/>
      <c r="O59" s="775"/>
      <c r="P59" s="775"/>
      <c r="Q59" s="775"/>
      <c r="R59" s="776"/>
      <c r="S59" s="747"/>
      <c r="T59" s="747"/>
      <c r="U59" s="747"/>
      <c r="V59" s="747"/>
      <c r="W59" s="747"/>
      <c r="X59" s="747"/>
      <c r="Y59" s="747"/>
      <c r="Z59" s="747"/>
      <c r="AA59" s="747"/>
      <c r="AB59" s="747"/>
      <c r="AC59" s="747"/>
      <c r="AD59" s="747"/>
      <c r="AE59" s="747"/>
    </row>
    <row r="60" spans="1:31" s="783" customFormat="1" ht="22.5" customHeight="1" thickTop="1" x14ac:dyDescent="0.2">
      <c r="A60" s="656">
        <v>53</v>
      </c>
      <c r="B60" s="752"/>
      <c r="C60" s="1593" t="s">
        <v>385</v>
      </c>
      <c r="D60" s="1594"/>
      <c r="E60" s="1609"/>
      <c r="F60" s="779"/>
      <c r="G60" s="753">
        <f>SUM(G42:G57)</f>
        <v>1413145</v>
      </c>
      <c r="H60" s="753">
        <f>SUM(H42:H57)</f>
        <v>1457854</v>
      </c>
      <c r="I60" s="1357">
        <f>SUM(I42:I57)</f>
        <v>1590287</v>
      </c>
      <c r="J60" s="754"/>
      <c r="K60" s="780"/>
      <c r="L60" s="780"/>
      <c r="M60" s="780"/>
      <c r="N60" s="780"/>
      <c r="O60" s="780"/>
      <c r="P60" s="780"/>
      <c r="Q60" s="780"/>
      <c r="R60" s="781"/>
      <c r="S60" s="756"/>
      <c r="T60" s="782"/>
      <c r="U60" s="782"/>
      <c r="V60" s="782"/>
      <c r="W60" s="782"/>
      <c r="X60" s="782"/>
      <c r="Y60" s="782"/>
      <c r="Z60" s="782"/>
      <c r="AA60" s="782"/>
      <c r="AB60" s="782"/>
      <c r="AC60" s="782"/>
      <c r="AD60" s="782"/>
      <c r="AE60" s="782"/>
    </row>
    <row r="61" spans="1:31" s="691" customFormat="1" ht="18" customHeight="1" x14ac:dyDescent="0.3">
      <c r="A61" s="656">
        <v>54</v>
      </c>
      <c r="B61" s="764"/>
      <c r="C61" s="1124"/>
      <c r="D61" s="767"/>
      <c r="E61" s="722" t="s">
        <v>268</v>
      </c>
      <c r="F61" s="768"/>
      <c r="G61" s="768"/>
      <c r="H61" s="768"/>
      <c r="I61" s="1359"/>
      <c r="J61" s="769">
        <f>SUM(K61:R61)</f>
        <v>1758428</v>
      </c>
      <c r="K61" s="770">
        <f t="shared" ref="K61:R61" si="13">SUM(K43,K47,K51,)</f>
        <v>1297027</v>
      </c>
      <c r="L61" s="770">
        <f t="shared" si="13"/>
        <v>198375</v>
      </c>
      <c r="M61" s="770">
        <f t="shared" si="13"/>
        <v>259044</v>
      </c>
      <c r="N61" s="770">
        <f t="shared" si="13"/>
        <v>0</v>
      </c>
      <c r="O61" s="770">
        <f t="shared" si="13"/>
        <v>0</v>
      </c>
      <c r="P61" s="770">
        <f t="shared" si="13"/>
        <v>3982</v>
      </c>
      <c r="Q61" s="770">
        <f t="shared" si="13"/>
        <v>0</v>
      </c>
      <c r="R61" s="771">
        <f t="shared" si="13"/>
        <v>0</v>
      </c>
      <c r="S61" s="748"/>
      <c r="T61" s="748"/>
      <c r="U61" s="748"/>
      <c r="V61" s="748"/>
      <c r="W61" s="748"/>
      <c r="X61" s="748"/>
      <c r="Y61" s="748"/>
      <c r="Z61" s="748"/>
      <c r="AA61" s="748"/>
      <c r="AB61" s="748"/>
      <c r="AC61" s="748"/>
      <c r="AD61" s="748"/>
      <c r="AE61" s="748"/>
    </row>
    <row r="62" spans="1:31" s="691" customFormat="1" ht="18" customHeight="1" x14ac:dyDescent="0.3">
      <c r="A62" s="656">
        <v>55</v>
      </c>
      <c r="B62" s="1123"/>
      <c r="C62" s="1125"/>
      <c r="D62" s="765"/>
      <c r="E62" s="225" t="s">
        <v>796</v>
      </c>
      <c r="F62" s="766"/>
      <c r="G62" s="766"/>
      <c r="H62" s="766"/>
      <c r="I62" s="1355"/>
      <c r="J62" s="1127">
        <f t="shared" ref="J62" si="14">SUM(K62:R62)</f>
        <v>1907932</v>
      </c>
      <c r="K62" s="1126">
        <f t="shared" ref="K62:R62" si="15">SUM(K44,K48,K52,K55,K58)</f>
        <v>1372283</v>
      </c>
      <c r="L62" s="1126">
        <f t="shared" si="15"/>
        <v>208500</v>
      </c>
      <c r="M62" s="1126">
        <f t="shared" si="15"/>
        <v>311207</v>
      </c>
      <c r="N62" s="1126">
        <f t="shared" si="15"/>
        <v>0</v>
      </c>
      <c r="O62" s="1126">
        <f t="shared" si="15"/>
        <v>0</v>
      </c>
      <c r="P62" s="1126">
        <f t="shared" si="15"/>
        <v>15942</v>
      </c>
      <c r="Q62" s="1126">
        <f t="shared" si="15"/>
        <v>0</v>
      </c>
      <c r="R62" s="1128">
        <f t="shared" si="15"/>
        <v>0</v>
      </c>
      <c r="S62" s="748"/>
      <c r="T62" s="748"/>
      <c r="U62" s="748"/>
      <c r="V62" s="748"/>
      <c r="W62" s="748"/>
      <c r="X62" s="748"/>
      <c r="Y62" s="748"/>
      <c r="Z62" s="748"/>
      <c r="AA62" s="748"/>
      <c r="AB62" s="748"/>
      <c r="AC62" s="748"/>
      <c r="AD62" s="748"/>
      <c r="AE62" s="748"/>
    </row>
    <row r="63" spans="1:31" s="691" customFormat="1" ht="18" customHeight="1" thickBot="1" x14ac:dyDescent="0.35">
      <c r="A63" s="656">
        <v>56</v>
      </c>
      <c r="B63" s="1123"/>
      <c r="C63" s="784"/>
      <c r="D63" s="785"/>
      <c r="E63" s="1446" t="s">
        <v>869</v>
      </c>
      <c r="F63" s="786"/>
      <c r="G63" s="786"/>
      <c r="H63" s="786"/>
      <c r="I63" s="1358"/>
      <c r="J63" s="1458">
        <f>SUM(K63:R63)</f>
        <v>894627</v>
      </c>
      <c r="K63" s="1459">
        <f>SUM(K45,K49:K49,K53,K59)+K56</f>
        <v>661144</v>
      </c>
      <c r="L63" s="1459">
        <f t="shared" ref="L63:R63" si="16">SUM(L45,L49:L49,L53,L59)+L56</f>
        <v>100779</v>
      </c>
      <c r="M63" s="1459">
        <f t="shared" si="16"/>
        <v>130492</v>
      </c>
      <c r="N63" s="1459">
        <f t="shared" si="16"/>
        <v>0</v>
      </c>
      <c r="O63" s="1459">
        <f t="shared" si="16"/>
        <v>0</v>
      </c>
      <c r="P63" s="1459">
        <f t="shared" si="16"/>
        <v>2212</v>
      </c>
      <c r="Q63" s="1459">
        <f t="shared" si="16"/>
        <v>0</v>
      </c>
      <c r="R63" s="1526">
        <f t="shared" si="16"/>
        <v>0</v>
      </c>
      <c r="S63" s="748"/>
      <c r="T63" s="748"/>
      <c r="U63" s="748"/>
      <c r="V63" s="748"/>
      <c r="W63" s="748"/>
      <c r="X63" s="748"/>
      <c r="Y63" s="748"/>
      <c r="Z63" s="748"/>
      <c r="AA63" s="748"/>
      <c r="AB63" s="748"/>
      <c r="AC63" s="748"/>
      <c r="AD63" s="748"/>
      <c r="AE63" s="748"/>
    </row>
    <row r="64" spans="1:31" s="660" customFormat="1" ht="22.5" customHeight="1" thickTop="1" x14ac:dyDescent="0.3">
      <c r="A64" s="656">
        <v>57</v>
      </c>
      <c r="B64" s="663">
        <v>10</v>
      </c>
      <c r="C64" s="729"/>
      <c r="D64" s="730" t="s">
        <v>345</v>
      </c>
      <c r="E64" s="761"/>
      <c r="F64" s="731" t="s">
        <v>23</v>
      </c>
      <c r="G64" s="667">
        <v>207853</v>
      </c>
      <c r="H64" s="667">
        <v>239700</v>
      </c>
      <c r="I64" s="1353">
        <v>259301</v>
      </c>
      <c r="J64" s="762"/>
      <c r="K64" s="667"/>
      <c r="L64" s="667"/>
      <c r="M64" s="667"/>
      <c r="N64" s="667"/>
      <c r="O64" s="667"/>
      <c r="P64" s="667"/>
      <c r="Q64" s="667"/>
      <c r="R64" s="733"/>
      <c r="S64" s="749"/>
      <c r="T64" s="749"/>
      <c r="U64" s="749"/>
      <c r="V64" s="749"/>
      <c r="W64" s="749"/>
      <c r="X64" s="749"/>
      <c r="Y64" s="749"/>
      <c r="Z64" s="749"/>
      <c r="AA64" s="749"/>
      <c r="AB64" s="749"/>
      <c r="AC64" s="749"/>
      <c r="AD64" s="749"/>
      <c r="AE64" s="749"/>
    </row>
    <row r="65" spans="1:31" s="691" customFormat="1" ht="18" customHeight="1" x14ac:dyDescent="0.3">
      <c r="A65" s="656">
        <v>58</v>
      </c>
      <c r="B65" s="764"/>
      <c r="C65" s="765"/>
      <c r="D65" s="765"/>
      <c r="E65" s="739" t="s">
        <v>268</v>
      </c>
      <c r="F65" s="766"/>
      <c r="G65" s="766"/>
      <c r="H65" s="766"/>
      <c r="I65" s="1355"/>
      <c r="J65" s="741">
        <f>SUM(K65:R65)</f>
        <v>253600</v>
      </c>
      <c r="K65" s="742">
        <v>112367</v>
      </c>
      <c r="L65" s="742">
        <v>15804</v>
      </c>
      <c r="M65" s="742">
        <v>125118</v>
      </c>
      <c r="N65" s="742"/>
      <c r="O65" s="742"/>
      <c r="P65" s="742">
        <v>311</v>
      </c>
      <c r="Q65" s="742"/>
      <c r="R65" s="743"/>
      <c r="S65" s="748"/>
      <c r="T65" s="748"/>
      <c r="U65" s="748"/>
      <c r="V65" s="748"/>
      <c r="W65" s="748"/>
      <c r="X65" s="748"/>
      <c r="Y65" s="748"/>
      <c r="Z65" s="748"/>
      <c r="AA65" s="748"/>
      <c r="AB65" s="748"/>
      <c r="AC65" s="748"/>
      <c r="AD65" s="748"/>
      <c r="AE65" s="748"/>
    </row>
    <row r="66" spans="1:31" s="691" customFormat="1" ht="18" customHeight="1" x14ac:dyDescent="0.3">
      <c r="A66" s="656">
        <v>59</v>
      </c>
      <c r="B66" s="764"/>
      <c r="C66" s="765"/>
      <c r="D66" s="765"/>
      <c r="E66" s="224" t="s">
        <v>796</v>
      </c>
      <c r="F66" s="766"/>
      <c r="G66" s="766"/>
      <c r="H66" s="766"/>
      <c r="I66" s="1355"/>
      <c r="J66" s="1127">
        <f t="shared" ref="J66:J67" si="17">SUM(K66:R66)</f>
        <v>355493</v>
      </c>
      <c r="K66" s="1118">
        <v>131794</v>
      </c>
      <c r="L66" s="1118">
        <v>18204</v>
      </c>
      <c r="M66" s="1118">
        <v>196552</v>
      </c>
      <c r="N66" s="1118"/>
      <c r="O66" s="1118">
        <v>452</v>
      </c>
      <c r="P66" s="1118">
        <v>8491</v>
      </c>
      <c r="Q66" s="742"/>
      <c r="R66" s="743"/>
      <c r="S66" s="748"/>
      <c r="T66" s="748"/>
      <c r="U66" s="748"/>
      <c r="V66" s="748"/>
      <c r="W66" s="748"/>
      <c r="X66" s="748"/>
      <c r="Y66" s="748"/>
      <c r="Z66" s="748"/>
      <c r="AA66" s="748"/>
      <c r="AB66" s="748"/>
      <c r="AC66" s="748"/>
      <c r="AD66" s="748"/>
      <c r="AE66" s="748"/>
    </row>
    <row r="67" spans="1:31" s="691" customFormat="1" ht="18" customHeight="1" x14ac:dyDescent="0.3">
      <c r="A67" s="656">
        <v>60</v>
      </c>
      <c r="B67" s="764"/>
      <c r="C67" s="765"/>
      <c r="D67" s="765"/>
      <c r="E67" s="976" t="s">
        <v>868</v>
      </c>
      <c r="F67" s="766"/>
      <c r="G67" s="766"/>
      <c r="H67" s="766"/>
      <c r="I67" s="1355"/>
      <c r="J67" s="1409">
        <f t="shared" si="17"/>
        <v>132604</v>
      </c>
      <c r="K67" s="775">
        <f>60904-5574-1025</f>
        <v>54305</v>
      </c>
      <c r="L67" s="775">
        <f>8588-748-145</f>
        <v>7695</v>
      </c>
      <c r="M67" s="775">
        <f>78950-13064-3</f>
        <v>65883</v>
      </c>
      <c r="N67" s="775"/>
      <c r="O67" s="775">
        <v>452</v>
      </c>
      <c r="P67" s="775">
        <v>4269</v>
      </c>
      <c r="Q67" s="742"/>
      <c r="R67" s="743"/>
      <c r="S67" s="748"/>
      <c r="T67" s="748"/>
      <c r="U67" s="748"/>
      <c r="V67" s="748"/>
      <c r="W67" s="748"/>
      <c r="X67" s="748"/>
      <c r="Y67" s="748"/>
      <c r="Z67" s="748"/>
      <c r="AA67" s="748"/>
      <c r="AB67" s="748"/>
      <c r="AC67" s="748"/>
      <c r="AD67" s="748"/>
      <c r="AE67" s="748"/>
    </row>
    <row r="68" spans="1:31" s="660" customFormat="1" ht="18" customHeight="1" x14ac:dyDescent="0.3">
      <c r="A68" s="656">
        <v>61</v>
      </c>
      <c r="B68" s="709"/>
      <c r="C68" s="734">
        <v>1</v>
      </c>
      <c r="D68" s="773" t="s">
        <v>381</v>
      </c>
      <c r="E68" s="773"/>
      <c r="F68" s="774"/>
      <c r="G68" s="672">
        <v>13739</v>
      </c>
      <c r="H68" s="672">
        <v>75640</v>
      </c>
      <c r="I68" s="1354">
        <v>13098</v>
      </c>
      <c r="J68" s="763"/>
      <c r="K68" s="750"/>
      <c r="L68" s="750"/>
      <c r="M68" s="750"/>
      <c r="N68" s="775"/>
      <c r="O68" s="775"/>
      <c r="P68" s="775"/>
      <c r="Q68" s="775"/>
      <c r="R68" s="776"/>
      <c r="S68" s="749"/>
      <c r="T68" s="749"/>
      <c r="U68" s="749"/>
      <c r="V68" s="749"/>
      <c r="W68" s="749"/>
      <c r="X68" s="749"/>
      <c r="Y68" s="749"/>
      <c r="Z68" s="749"/>
      <c r="AA68" s="749"/>
      <c r="AB68" s="749"/>
      <c r="AC68" s="749"/>
      <c r="AD68" s="749"/>
      <c r="AE68" s="749"/>
    </row>
    <row r="69" spans="1:31" s="711" customFormat="1" ht="18" customHeight="1" x14ac:dyDescent="0.3">
      <c r="A69" s="656">
        <v>62</v>
      </c>
      <c r="B69" s="764"/>
      <c r="C69" s="765"/>
      <c r="D69" s="765"/>
      <c r="E69" s="787" t="s">
        <v>268</v>
      </c>
      <c r="F69" s="788"/>
      <c r="G69" s="766"/>
      <c r="H69" s="766"/>
      <c r="I69" s="1355"/>
      <c r="J69" s="741">
        <f>SUM(K69:R69)</f>
        <v>66535</v>
      </c>
      <c r="K69" s="742">
        <v>13377</v>
      </c>
      <c r="L69" s="742">
        <v>1938</v>
      </c>
      <c r="M69" s="742">
        <v>48479</v>
      </c>
      <c r="N69" s="742"/>
      <c r="O69" s="742"/>
      <c r="P69" s="742">
        <v>2741</v>
      </c>
      <c r="Q69" s="742"/>
      <c r="R69" s="743"/>
      <c r="S69" s="789"/>
      <c r="T69" s="789"/>
      <c r="U69" s="789"/>
      <c r="V69" s="789"/>
      <c r="W69" s="789"/>
      <c r="X69" s="789"/>
      <c r="Y69" s="789"/>
      <c r="Z69" s="789"/>
      <c r="AA69" s="789"/>
      <c r="AB69" s="789"/>
      <c r="AC69" s="789"/>
      <c r="AD69" s="789"/>
      <c r="AE69" s="789"/>
    </row>
    <row r="70" spans="1:31" s="711" customFormat="1" ht="18" customHeight="1" x14ac:dyDescent="0.3">
      <c r="A70" s="656">
        <v>63</v>
      </c>
      <c r="B70" s="764"/>
      <c r="C70" s="765"/>
      <c r="D70" s="849"/>
      <c r="E70" s="224" t="s">
        <v>796</v>
      </c>
      <c r="F70" s="788"/>
      <c r="G70" s="792"/>
      <c r="H70" s="766"/>
      <c r="I70" s="1355"/>
      <c r="J70" s="1127">
        <f t="shared" ref="J70:J71" si="18">SUM(K70:R70)</f>
        <v>66535</v>
      </c>
      <c r="K70" s="1118">
        <v>13377</v>
      </c>
      <c r="L70" s="1118">
        <v>1938</v>
      </c>
      <c r="M70" s="1118">
        <v>48479</v>
      </c>
      <c r="N70" s="1118"/>
      <c r="O70" s="1118"/>
      <c r="P70" s="1118">
        <v>2741</v>
      </c>
      <c r="Q70" s="742"/>
      <c r="R70" s="743"/>
      <c r="S70" s="789"/>
      <c r="T70" s="789"/>
      <c r="U70" s="789"/>
      <c r="V70" s="789"/>
      <c r="W70" s="789"/>
      <c r="X70" s="789"/>
      <c r="Y70" s="789"/>
      <c r="Z70" s="789"/>
      <c r="AA70" s="789"/>
      <c r="AB70" s="789"/>
      <c r="AC70" s="789"/>
      <c r="AD70" s="789"/>
      <c r="AE70" s="789"/>
    </row>
    <row r="71" spans="1:31" s="711" customFormat="1" ht="18" customHeight="1" x14ac:dyDescent="0.3">
      <c r="A71" s="656">
        <v>64</v>
      </c>
      <c r="B71" s="764"/>
      <c r="C71" s="765"/>
      <c r="D71" s="849"/>
      <c r="E71" s="976" t="s">
        <v>869</v>
      </c>
      <c r="F71" s="788"/>
      <c r="G71" s="792"/>
      <c r="H71" s="766"/>
      <c r="I71" s="1355"/>
      <c r="J71" s="1409">
        <f t="shared" si="18"/>
        <v>19386</v>
      </c>
      <c r="K71" s="775">
        <v>5574</v>
      </c>
      <c r="L71" s="775">
        <v>748</v>
      </c>
      <c r="M71" s="775">
        <v>13064</v>
      </c>
      <c r="N71" s="1118"/>
      <c r="O71" s="1118"/>
      <c r="P71" s="1118"/>
      <c r="Q71" s="742"/>
      <c r="R71" s="743"/>
      <c r="S71" s="789"/>
      <c r="T71" s="789"/>
      <c r="U71" s="789"/>
      <c r="V71" s="789"/>
      <c r="W71" s="789"/>
      <c r="X71" s="789"/>
      <c r="Y71" s="789"/>
      <c r="Z71" s="789"/>
      <c r="AA71" s="789"/>
      <c r="AB71" s="789"/>
      <c r="AC71" s="789"/>
      <c r="AD71" s="789"/>
      <c r="AE71" s="789"/>
    </row>
    <row r="72" spans="1:31" s="711" customFormat="1" ht="18" customHeight="1" x14ac:dyDescent="0.3">
      <c r="A72" s="656">
        <v>65</v>
      </c>
      <c r="B72" s="764"/>
      <c r="C72" s="790">
        <v>2</v>
      </c>
      <c r="D72" s="791" t="s">
        <v>506</v>
      </c>
      <c r="E72" s="792"/>
      <c r="F72" s="792"/>
      <c r="G72" s="792"/>
      <c r="H72" s="793"/>
      <c r="I72" s="1360">
        <v>15990</v>
      </c>
      <c r="J72" s="741"/>
      <c r="K72" s="742"/>
      <c r="L72" s="742"/>
      <c r="M72" s="742"/>
      <c r="N72" s="742"/>
      <c r="O72" s="742"/>
      <c r="P72" s="742"/>
      <c r="Q72" s="742"/>
      <c r="R72" s="743"/>
      <c r="S72" s="789"/>
      <c r="T72" s="789"/>
      <c r="U72" s="789"/>
      <c r="V72" s="789"/>
      <c r="W72" s="789"/>
      <c r="X72" s="789"/>
      <c r="Y72" s="789"/>
      <c r="Z72" s="789"/>
      <c r="AA72" s="789"/>
      <c r="AB72" s="789"/>
      <c r="AC72" s="789"/>
      <c r="AD72" s="789"/>
      <c r="AE72" s="789"/>
    </row>
    <row r="73" spans="1:31" s="711" customFormat="1" ht="18" customHeight="1" x14ac:dyDescent="0.3">
      <c r="A73" s="656">
        <v>66</v>
      </c>
      <c r="B73" s="764"/>
      <c r="C73" s="790"/>
      <c r="D73" s="765"/>
      <c r="E73" s="787" t="s">
        <v>268</v>
      </c>
      <c r="F73" s="788"/>
      <c r="G73" s="766"/>
      <c r="H73" s="766"/>
      <c r="I73" s="1355"/>
      <c r="J73" s="741">
        <f>SUM(K73:R73)</f>
        <v>1173</v>
      </c>
      <c r="K73" s="742">
        <v>1025</v>
      </c>
      <c r="L73" s="742">
        <v>145</v>
      </c>
      <c r="M73" s="742">
        <v>3</v>
      </c>
      <c r="N73" s="742"/>
      <c r="O73" s="742"/>
      <c r="P73" s="742"/>
      <c r="Q73" s="742"/>
      <c r="R73" s="743"/>
      <c r="S73" s="789"/>
      <c r="T73" s="789"/>
      <c r="U73" s="789"/>
      <c r="V73" s="789"/>
      <c r="W73" s="789"/>
      <c r="X73" s="789"/>
      <c r="Y73" s="789"/>
      <c r="Z73" s="789"/>
      <c r="AA73" s="789"/>
      <c r="AB73" s="789"/>
      <c r="AC73" s="789"/>
      <c r="AD73" s="789"/>
      <c r="AE73" s="789"/>
    </row>
    <row r="74" spans="1:31" s="711" customFormat="1" ht="18" customHeight="1" x14ac:dyDescent="0.3">
      <c r="A74" s="656">
        <v>67</v>
      </c>
      <c r="B74" s="764"/>
      <c r="C74" s="790"/>
      <c r="D74" s="765"/>
      <c r="E74" s="224" t="s">
        <v>796</v>
      </c>
      <c r="F74" s="788"/>
      <c r="G74" s="766"/>
      <c r="H74" s="766"/>
      <c r="I74" s="1355"/>
      <c r="J74" s="1127">
        <f t="shared" ref="J74:J75" si="19">SUM(K74:R74)</f>
        <v>1173</v>
      </c>
      <c r="K74" s="1118">
        <v>1025</v>
      </c>
      <c r="L74" s="1118">
        <v>145</v>
      </c>
      <c r="M74" s="1118">
        <v>3</v>
      </c>
      <c r="N74" s="742"/>
      <c r="O74" s="742"/>
      <c r="P74" s="742"/>
      <c r="Q74" s="742"/>
      <c r="R74" s="743"/>
      <c r="S74" s="789"/>
      <c r="T74" s="789"/>
      <c r="U74" s="789"/>
      <c r="V74" s="789"/>
      <c r="W74" s="789"/>
      <c r="X74" s="789"/>
      <c r="Y74" s="789"/>
      <c r="Z74" s="789"/>
      <c r="AA74" s="789"/>
      <c r="AB74" s="789"/>
      <c r="AC74" s="789"/>
      <c r="AD74" s="789"/>
      <c r="AE74" s="789"/>
    </row>
    <row r="75" spans="1:31" s="711" customFormat="1" ht="18" customHeight="1" x14ac:dyDescent="0.3">
      <c r="A75" s="656">
        <v>68</v>
      </c>
      <c r="B75" s="764"/>
      <c r="C75" s="790"/>
      <c r="D75" s="765"/>
      <c r="E75" s="976" t="s">
        <v>869</v>
      </c>
      <c r="F75" s="788"/>
      <c r="G75" s="766"/>
      <c r="H75" s="766"/>
      <c r="I75" s="1355"/>
      <c r="J75" s="1409">
        <f t="shared" si="19"/>
        <v>1173</v>
      </c>
      <c r="K75" s="775">
        <v>1025</v>
      </c>
      <c r="L75" s="775">
        <v>145</v>
      </c>
      <c r="M75" s="775">
        <v>3</v>
      </c>
      <c r="N75" s="742"/>
      <c r="O75" s="742"/>
      <c r="P75" s="742"/>
      <c r="Q75" s="742"/>
      <c r="R75" s="743"/>
      <c r="S75" s="789"/>
      <c r="T75" s="789"/>
      <c r="U75" s="789"/>
      <c r="V75" s="789"/>
      <c r="W75" s="789"/>
      <c r="X75" s="789"/>
      <c r="Y75" s="789"/>
      <c r="Z75" s="789"/>
      <c r="AA75" s="789"/>
      <c r="AB75" s="789"/>
      <c r="AC75" s="789"/>
      <c r="AD75" s="789"/>
      <c r="AE75" s="789"/>
    </row>
    <row r="76" spans="1:31" s="661" customFormat="1" ht="22.5" customHeight="1" x14ac:dyDescent="0.3">
      <c r="A76" s="656">
        <v>69</v>
      </c>
      <c r="B76" s="669">
        <v>11</v>
      </c>
      <c r="C76" s="734"/>
      <c r="D76" s="745" t="s">
        <v>339</v>
      </c>
      <c r="E76" s="745"/>
      <c r="F76" s="746" t="s">
        <v>23</v>
      </c>
      <c r="G76" s="672">
        <v>136279</v>
      </c>
      <c r="H76" s="672">
        <v>156915</v>
      </c>
      <c r="I76" s="1354">
        <v>171054</v>
      </c>
      <c r="J76" s="763"/>
      <c r="K76" s="672"/>
      <c r="L76" s="672"/>
      <c r="M76" s="672"/>
      <c r="N76" s="672"/>
      <c r="O76" s="672"/>
      <c r="P76" s="672"/>
      <c r="Q76" s="672"/>
      <c r="R76" s="737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1:31" s="711" customFormat="1" ht="18" customHeight="1" x14ac:dyDescent="0.3">
      <c r="A77" s="656">
        <v>70</v>
      </c>
      <c r="B77" s="764"/>
      <c r="C77" s="765"/>
      <c r="D77" s="765"/>
      <c r="E77" s="739" t="s">
        <v>268</v>
      </c>
      <c r="F77" s="766"/>
      <c r="G77" s="766"/>
      <c r="H77" s="766"/>
      <c r="I77" s="1355"/>
      <c r="J77" s="741">
        <f>SUM(K77:R77)</f>
        <v>173307</v>
      </c>
      <c r="K77" s="742">
        <v>100425</v>
      </c>
      <c r="L77" s="742">
        <v>13059</v>
      </c>
      <c r="M77" s="742">
        <v>53473</v>
      </c>
      <c r="N77" s="742"/>
      <c r="O77" s="742"/>
      <c r="P77" s="742">
        <v>6350</v>
      </c>
      <c r="Q77" s="742"/>
      <c r="R77" s="743"/>
      <c r="S77" s="789"/>
      <c r="T77" s="789"/>
      <c r="U77" s="789"/>
      <c r="V77" s="789"/>
      <c r="W77" s="789"/>
      <c r="X77" s="789"/>
      <c r="Y77" s="789"/>
      <c r="Z77" s="789"/>
      <c r="AA77" s="789"/>
      <c r="AB77" s="789"/>
      <c r="AC77" s="789"/>
      <c r="AD77" s="789"/>
      <c r="AE77" s="789"/>
    </row>
    <row r="78" spans="1:31" s="711" customFormat="1" ht="18" customHeight="1" x14ac:dyDescent="0.3">
      <c r="A78" s="656">
        <v>71</v>
      </c>
      <c r="B78" s="764"/>
      <c r="C78" s="765"/>
      <c r="D78" s="765"/>
      <c r="E78" s="224" t="s">
        <v>796</v>
      </c>
      <c r="F78" s="766"/>
      <c r="G78" s="766"/>
      <c r="H78" s="766"/>
      <c r="I78" s="1355"/>
      <c r="J78" s="1127">
        <f t="shared" ref="J78:J79" si="20">SUM(K78:R78)</f>
        <v>379711</v>
      </c>
      <c r="K78" s="1118">
        <v>102719</v>
      </c>
      <c r="L78" s="1118">
        <v>13365</v>
      </c>
      <c r="M78" s="1118">
        <v>197370</v>
      </c>
      <c r="N78" s="1118"/>
      <c r="O78" s="1118"/>
      <c r="P78" s="1118">
        <v>66257</v>
      </c>
      <c r="Q78" s="742"/>
      <c r="R78" s="743"/>
      <c r="S78" s="789"/>
      <c r="T78" s="789"/>
      <c r="U78" s="789"/>
      <c r="V78" s="789"/>
      <c r="W78" s="789"/>
      <c r="X78" s="789"/>
      <c r="Y78" s="789"/>
      <c r="Z78" s="789"/>
      <c r="AA78" s="789"/>
      <c r="AB78" s="789"/>
      <c r="AC78" s="789"/>
      <c r="AD78" s="789"/>
      <c r="AE78" s="789"/>
    </row>
    <row r="79" spans="1:31" s="711" customFormat="1" ht="18" customHeight="1" x14ac:dyDescent="0.3">
      <c r="A79" s="656">
        <v>72</v>
      </c>
      <c r="B79" s="764"/>
      <c r="C79" s="765"/>
      <c r="D79" s="765"/>
      <c r="E79" s="976" t="s">
        <v>868</v>
      </c>
      <c r="F79" s="766"/>
      <c r="G79" s="766"/>
      <c r="H79" s="766"/>
      <c r="I79" s="1355"/>
      <c r="J79" s="1409">
        <f t="shared" si="20"/>
        <v>116500</v>
      </c>
      <c r="K79" s="775">
        <f>52662-1774</f>
        <v>50888</v>
      </c>
      <c r="L79" s="775">
        <f>7680-73</f>
        <v>7607</v>
      </c>
      <c r="M79" s="775">
        <f>58908-6032</f>
        <v>52876</v>
      </c>
      <c r="N79" s="1118"/>
      <c r="O79" s="1118"/>
      <c r="P79" s="775">
        <f>5150-21</f>
        <v>5129</v>
      </c>
      <c r="Q79" s="742"/>
      <c r="R79" s="743"/>
      <c r="S79" s="789"/>
      <c r="T79" s="789"/>
      <c r="U79" s="789"/>
      <c r="V79" s="789"/>
      <c r="W79" s="789"/>
      <c r="X79" s="789"/>
      <c r="Y79" s="789"/>
      <c r="Z79" s="789"/>
      <c r="AA79" s="789"/>
      <c r="AB79" s="789"/>
      <c r="AC79" s="789"/>
      <c r="AD79" s="789"/>
      <c r="AE79" s="789"/>
    </row>
    <row r="80" spans="1:31" s="660" customFormat="1" ht="18" customHeight="1" x14ac:dyDescent="0.3">
      <c r="A80" s="656">
        <v>73</v>
      </c>
      <c r="B80" s="709"/>
      <c r="C80" s="734">
        <v>1</v>
      </c>
      <c r="D80" s="794" t="s">
        <v>461</v>
      </c>
      <c r="E80" s="773"/>
      <c r="F80" s="774"/>
      <c r="G80" s="672"/>
      <c r="H80" s="672">
        <v>2349</v>
      </c>
      <c r="I80" s="1354">
        <v>2345</v>
      </c>
      <c r="J80" s="763"/>
      <c r="K80" s="750"/>
      <c r="L80" s="750"/>
      <c r="M80" s="750"/>
      <c r="N80" s="775"/>
      <c r="O80" s="775"/>
      <c r="P80" s="775"/>
      <c r="Q80" s="775"/>
      <c r="R80" s="776"/>
      <c r="S80" s="749"/>
      <c r="T80" s="749"/>
      <c r="U80" s="749"/>
      <c r="V80" s="749"/>
      <c r="W80" s="749"/>
      <c r="X80" s="749"/>
      <c r="Y80" s="749"/>
      <c r="Z80" s="749"/>
      <c r="AA80" s="749"/>
      <c r="AB80" s="749"/>
      <c r="AC80" s="749"/>
      <c r="AD80" s="749"/>
      <c r="AE80" s="749"/>
    </row>
    <row r="81" spans="1:31" s="711" customFormat="1" ht="18" customHeight="1" x14ac:dyDescent="0.3">
      <c r="A81" s="656">
        <v>74</v>
      </c>
      <c r="B81" s="764"/>
      <c r="C81" s="790">
        <v>2</v>
      </c>
      <c r="D81" s="794" t="s">
        <v>640</v>
      </c>
      <c r="E81" s="787"/>
      <c r="F81" s="788"/>
      <c r="G81" s="766"/>
      <c r="H81" s="793"/>
      <c r="I81" s="1360">
        <v>7719</v>
      </c>
      <c r="J81" s="741"/>
      <c r="K81" s="742"/>
      <c r="L81" s="742"/>
      <c r="M81" s="742"/>
      <c r="N81" s="742"/>
      <c r="O81" s="742"/>
      <c r="P81" s="742"/>
      <c r="Q81" s="742"/>
      <c r="R81" s="743"/>
      <c r="S81" s="789"/>
      <c r="T81" s="789"/>
      <c r="U81" s="789"/>
      <c r="V81" s="789"/>
      <c r="W81" s="789"/>
      <c r="X81" s="789"/>
      <c r="Y81" s="789"/>
      <c r="Z81" s="789"/>
      <c r="AA81" s="789"/>
      <c r="AB81" s="789"/>
      <c r="AC81" s="789"/>
      <c r="AD81" s="789"/>
      <c r="AE81" s="789"/>
    </row>
    <row r="82" spans="1:31" s="711" customFormat="1" ht="18" customHeight="1" x14ac:dyDescent="0.3">
      <c r="A82" s="656">
        <v>75</v>
      </c>
      <c r="B82" s="764"/>
      <c r="C82" s="765"/>
      <c r="D82" s="765"/>
      <c r="E82" s="787" t="s">
        <v>268</v>
      </c>
      <c r="F82" s="788"/>
      <c r="G82" s="766"/>
      <c r="H82" s="766"/>
      <c r="I82" s="1355"/>
      <c r="J82" s="741">
        <f>SUM(K82:R82)</f>
        <v>7512</v>
      </c>
      <c r="K82" s="742">
        <v>697</v>
      </c>
      <c r="L82" s="742">
        <v>141</v>
      </c>
      <c r="M82" s="742">
        <v>5156</v>
      </c>
      <c r="N82" s="742"/>
      <c r="O82" s="742"/>
      <c r="P82" s="742">
        <v>1518</v>
      </c>
      <c r="Q82" s="742"/>
      <c r="R82" s="743"/>
      <c r="S82" s="789"/>
      <c r="T82" s="789"/>
      <c r="U82" s="789"/>
      <c r="V82" s="789"/>
      <c r="W82" s="789"/>
      <c r="X82" s="789"/>
      <c r="Y82" s="789"/>
      <c r="Z82" s="789"/>
      <c r="AA82" s="789"/>
      <c r="AB82" s="789"/>
      <c r="AC82" s="789"/>
      <c r="AD82" s="789"/>
      <c r="AE82" s="789"/>
    </row>
    <row r="83" spans="1:31" s="711" customFormat="1" ht="18" customHeight="1" x14ac:dyDescent="0.3">
      <c r="A83" s="656">
        <v>76</v>
      </c>
      <c r="B83" s="764"/>
      <c r="C83" s="765"/>
      <c r="D83" s="765"/>
      <c r="E83" s="224" t="s">
        <v>796</v>
      </c>
      <c r="F83" s="788"/>
      <c r="G83" s="766"/>
      <c r="H83" s="766"/>
      <c r="I83" s="1355"/>
      <c r="J83" s="1127">
        <f t="shared" ref="J83:J84" si="21">SUM(K83:R83)</f>
        <v>7512</v>
      </c>
      <c r="K83" s="1118">
        <v>697</v>
      </c>
      <c r="L83" s="1118">
        <v>141</v>
      </c>
      <c r="M83" s="1118">
        <v>5156</v>
      </c>
      <c r="N83" s="1118"/>
      <c r="O83" s="1118"/>
      <c r="P83" s="1118">
        <v>1518</v>
      </c>
      <c r="Q83" s="742"/>
      <c r="R83" s="743"/>
      <c r="S83" s="789"/>
      <c r="T83" s="789"/>
      <c r="U83" s="789"/>
      <c r="V83" s="789"/>
      <c r="W83" s="789"/>
      <c r="X83" s="789"/>
      <c r="Y83" s="789"/>
      <c r="Z83" s="789"/>
      <c r="AA83" s="789"/>
      <c r="AB83" s="789"/>
      <c r="AC83" s="789"/>
      <c r="AD83" s="789"/>
      <c r="AE83" s="789"/>
    </row>
    <row r="84" spans="1:31" s="711" customFormat="1" ht="18" customHeight="1" x14ac:dyDescent="0.3">
      <c r="A84" s="656">
        <v>77</v>
      </c>
      <c r="B84" s="764"/>
      <c r="C84" s="765"/>
      <c r="D84" s="765"/>
      <c r="E84" s="976" t="s">
        <v>869</v>
      </c>
      <c r="F84" s="788"/>
      <c r="G84" s="766"/>
      <c r="H84" s="766"/>
      <c r="I84" s="1355"/>
      <c r="J84" s="1409">
        <f t="shared" si="21"/>
        <v>7900</v>
      </c>
      <c r="K84" s="775">
        <v>1774</v>
      </c>
      <c r="L84" s="775">
        <v>73</v>
      </c>
      <c r="M84" s="775">
        <v>6032</v>
      </c>
      <c r="N84" s="775"/>
      <c r="O84" s="775"/>
      <c r="P84" s="775">
        <v>21</v>
      </c>
      <c r="Q84" s="742"/>
      <c r="R84" s="743"/>
      <c r="S84" s="789"/>
      <c r="T84" s="789"/>
      <c r="U84" s="789"/>
      <c r="V84" s="789"/>
      <c r="W84" s="789"/>
      <c r="X84" s="789"/>
      <c r="Y84" s="789"/>
      <c r="Z84" s="789"/>
      <c r="AA84" s="789"/>
      <c r="AB84" s="789"/>
      <c r="AC84" s="789"/>
      <c r="AD84" s="789"/>
      <c r="AE84" s="789"/>
    </row>
    <row r="85" spans="1:31" s="661" customFormat="1" ht="22.5" customHeight="1" x14ac:dyDescent="0.3">
      <c r="A85" s="656">
        <v>78</v>
      </c>
      <c r="B85" s="669">
        <v>12</v>
      </c>
      <c r="C85" s="734"/>
      <c r="D85" s="745" t="s">
        <v>25</v>
      </c>
      <c r="E85" s="745"/>
      <c r="F85" s="746" t="s">
        <v>23</v>
      </c>
      <c r="G85" s="672">
        <v>449529</v>
      </c>
      <c r="H85" s="672">
        <v>458734</v>
      </c>
      <c r="I85" s="1354">
        <v>463869</v>
      </c>
      <c r="J85" s="763"/>
      <c r="K85" s="672"/>
      <c r="L85" s="672"/>
      <c r="M85" s="672"/>
      <c r="N85" s="672"/>
      <c r="O85" s="672"/>
      <c r="P85" s="672"/>
      <c r="Q85" s="672"/>
      <c r="R85" s="737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1:31" s="711" customFormat="1" ht="18" customHeight="1" x14ac:dyDescent="0.3">
      <c r="A86" s="656">
        <v>79</v>
      </c>
      <c r="B86" s="764"/>
      <c r="C86" s="765"/>
      <c r="D86" s="765"/>
      <c r="E86" s="739" t="s">
        <v>268</v>
      </c>
      <c r="F86" s="766"/>
      <c r="G86" s="766"/>
      <c r="H86" s="766"/>
      <c r="I86" s="1355"/>
      <c r="J86" s="741">
        <f>SUM(K86:R86)</f>
        <v>531198</v>
      </c>
      <c r="K86" s="742">
        <v>235004</v>
      </c>
      <c r="L86" s="742">
        <v>34855</v>
      </c>
      <c r="M86" s="742">
        <v>194789</v>
      </c>
      <c r="N86" s="742"/>
      <c r="O86" s="742"/>
      <c r="P86" s="742">
        <v>66550</v>
      </c>
      <c r="Q86" s="742"/>
      <c r="R86" s="743"/>
      <c r="S86" s="789"/>
      <c r="T86" s="789"/>
      <c r="U86" s="789"/>
      <c r="V86" s="789"/>
      <c r="W86" s="789"/>
      <c r="X86" s="789"/>
      <c r="Y86" s="789"/>
      <c r="Z86" s="789"/>
      <c r="AA86" s="789"/>
      <c r="AB86" s="789"/>
      <c r="AC86" s="789"/>
      <c r="AD86" s="789"/>
      <c r="AE86" s="789"/>
    </row>
    <row r="87" spans="1:31" s="711" customFormat="1" ht="18" customHeight="1" x14ac:dyDescent="0.3">
      <c r="A87" s="656">
        <v>80</v>
      </c>
      <c r="B87" s="764"/>
      <c r="C87" s="765"/>
      <c r="D87" s="765"/>
      <c r="E87" s="224" t="s">
        <v>796</v>
      </c>
      <c r="F87" s="766"/>
      <c r="G87" s="766"/>
      <c r="H87" s="766"/>
      <c r="I87" s="1355"/>
      <c r="J87" s="1127">
        <f t="shared" ref="J87:J88" si="22">SUM(K87:R87)</f>
        <v>591126</v>
      </c>
      <c r="K87" s="1118">
        <v>233582</v>
      </c>
      <c r="L87" s="1118">
        <v>34731</v>
      </c>
      <c r="M87" s="1118">
        <v>204819</v>
      </c>
      <c r="N87" s="1118"/>
      <c r="O87" s="1118"/>
      <c r="P87" s="1118">
        <v>117994</v>
      </c>
      <c r="Q87" s="742"/>
      <c r="R87" s="743"/>
      <c r="S87" s="789"/>
      <c r="T87" s="789"/>
      <c r="U87" s="789"/>
      <c r="V87" s="789"/>
      <c r="W87" s="789"/>
      <c r="X87" s="789"/>
      <c r="Y87" s="789"/>
      <c r="Z87" s="789"/>
      <c r="AA87" s="789"/>
      <c r="AB87" s="789"/>
      <c r="AC87" s="789"/>
      <c r="AD87" s="789"/>
      <c r="AE87" s="789"/>
    </row>
    <row r="88" spans="1:31" s="711" customFormat="1" ht="18" customHeight="1" x14ac:dyDescent="0.3">
      <c r="A88" s="656">
        <v>81</v>
      </c>
      <c r="B88" s="764"/>
      <c r="C88" s="765"/>
      <c r="D88" s="765"/>
      <c r="E88" s="976" t="s">
        <v>868</v>
      </c>
      <c r="F88" s="766"/>
      <c r="G88" s="766"/>
      <c r="H88" s="766"/>
      <c r="I88" s="1355"/>
      <c r="J88" s="1409">
        <f t="shared" si="22"/>
        <v>250380</v>
      </c>
      <c r="K88" s="775">
        <f>104127-1116</f>
        <v>103011</v>
      </c>
      <c r="L88" s="775">
        <f>15908-150</f>
        <v>15758</v>
      </c>
      <c r="M88" s="775">
        <f>112038-20478</f>
        <v>91560</v>
      </c>
      <c r="N88" s="775"/>
      <c r="O88" s="775"/>
      <c r="P88" s="775">
        <v>40051</v>
      </c>
      <c r="Q88" s="742"/>
      <c r="R88" s="743"/>
      <c r="S88" s="789"/>
      <c r="T88" s="789"/>
      <c r="U88" s="789"/>
      <c r="V88" s="789"/>
      <c r="W88" s="789"/>
      <c r="X88" s="789"/>
      <c r="Y88" s="789"/>
      <c r="Z88" s="789"/>
      <c r="AA88" s="789"/>
      <c r="AB88" s="789"/>
      <c r="AC88" s="789"/>
      <c r="AD88" s="789"/>
      <c r="AE88" s="789"/>
    </row>
    <row r="89" spans="1:31" s="660" customFormat="1" ht="18" customHeight="1" x14ac:dyDescent="0.3">
      <c r="A89" s="656">
        <v>82</v>
      </c>
      <c r="B89" s="709"/>
      <c r="C89" s="734">
        <v>1</v>
      </c>
      <c r="D89" s="773" t="s">
        <v>381</v>
      </c>
      <c r="E89" s="773"/>
      <c r="F89" s="774"/>
      <c r="G89" s="672">
        <v>5801</v>
      </c>
      <c r="H89" s="672">
        <v>49690</v>
      </c>
      <c r="I89" s="1354">
        <v>5006</v>
      </c>
      <c r="J89" s="763"/>
      <c r="K89" s="750"/>
      <c r="L89" s="750"/>
      <c r="M89" s="750"/>
      <c r="N89" s="775"/>
      <c r="O89" s="775"/>
      <c r="P89" s="775"/>
      <c r="Q89" s="775"/>
      <c r="R89" s="776"/>
      <c r="S89" s="749"/>
      <c r="T89" s="749"/>
      <c r="U89" s="749"/>
      <c r="V89" s="749"/>
      <c r="W89" s="749"/>
      <c r="X89" s="749"/>
      <c r="Y89" s="749"/>
      <c r="Z89" s="749"/>
      <c r="AA89" s="749"/>
      <c r="AB89" s="749"/>
      <c r="AC89" s="749"/>
      <c r="AD89" s="749"/>
      <c r="AE89" s="749"/>
    </row>
    <row r="90" spans="1:31" s="711" customFormat="1" ht="18" customHeight="1" x14ac:dyDescent="0.3">
      <c r="A90" s="656">
        <v>83</v>
      </c>
      <c r="B90" s="764"/>
      <c r="C90" s="765"/>
      <c r="D90" s="765"/>
      <c r="E90" s="787" t="s">
        <v>268</v>
      </c>
      <c r="F90" s="788"/>
      <c r="G90" s="766"/>
      <c r="H90" s="766"/>
      <c r="I90" s="1355"/>
      <c r="J90" s="741">
        <f>SUM(K90:R90)</f>
        <v>38331</v>
      </c>
      <c r="K90" s="742">
        <v>2766</v>
      </c>
      <c r="L90" s="742">
        <v>438</v>
      </c>
      <c r="M90" s="742">
        <v>35014</v>
      </c>
      <c r="N90" s="742"/>
      <c r="O90" s="742"/>
      <c r="P90" s="742">
        <v>113</v>
      </c>
      <c r="Q90" s="742"/>
      <c r="R90" s="743"/>
      <c r="S90" s="789"/>
      <c r="T90" s="789"/>
      <c r="U90" s="789"/>
      <c r="V90" s="789"/>
      <c r="W90" s="789"/>
      <c r="X90" s="789"/>
      <c r="Y90" s="789"/>
      <c r="Z90" s="789"/>
      <c r="AA90" s="789"/>
      <c r="AB90" s="789"/>
      <c r="AC90" s="789"/>
      <c r="AD90" s="789"/>
      <c r="AE90" s="789"/>
    </row>
    <row r="91" spans="1:31" s="711" customFormat="1" ht="18" customHeight="1" x14ac:dyDescent="0.3">
      <c r="A91" s="656">
        <v>84</v>
      </c>
      <c r="B91" s="764"/>
      <c r="C91" s="765"/>
      <c r="D91" s="765"/>
      <c r="E91" s="224" t="s">
        <v>796</v>
      </c>
      <c r="F91" s="788"/>
      <c r="G91" s="766"/>
      <c r="H91" s="766"/>
      <c r="I91" s="1355"/>
      <c r="J91" s="1127">
        <f t="shared" ref="J91:J92" si="23">SUM(K91:R91)</f>
        <v>38331</v>
      </c>
      <c r="K91" s="1118">
        <v>2766</v>
      </c>
      <c r="L91" s="1118">
        <v>438</v>
      </c>
      <c r="M91" s="1118">
        <v>35014</v>
      </c>
      <c r="N91" s="1118"/>
      <c r="O91" s="1118"/>
      <c r="P91" s="1118">
        <v>113</v>
      </c>
      <c r="Q91" s="742"/>
      <c r="R91" s="743"/>
      <c r="S91" s="789"/>
      <c r="T91" s="789"/>
      <c r="U91" s="789"/>
      <c r="V91" s="789"/>
      <c r="W91" s="789"/>
      <c r="X91" s="789"/>
      <c r="Y91" s="789"/>
      <c r="Z91" s="789"/>
      <c r="AA91" s="789"/>
      <c r="AB91" s="789"/>
      <c r="AC91" s="789"/>
      <c r="AD91" s="789"/>
      <c r="AE91" s="789"/>
    </row>
    <row r="92" spans="1:31" s="711" customFormat="1" ht="18" customHeight="1" x14ac:dyDescent="0.3">
      <c r="A92" s="656">
        <v>85</v>
      </c>
      <c r="B92" s="764"/>
      <c r="C92" s="765"/>
      <c r="D92" s="765"/>
      <c r="E92" s="976" t="s">
        <v>869</v>
      </c>
      <c r="F92" s="788"/>
      <c r="G92" s="766"/>
      <c r="H92" s="766"/>
      <c r="I92" s="1355"/>
      <c r="J92" s="1409">
        <f t="shared" si="23"/>
        <v>21744</v>
      </c>
      <c r="K92" s="775">
        <v>1116</v>
      </c>
      <c r="L92" s="775">
        <v>150</v>
      </c>
      <c r="M92" s="775">
        <v>20478</v>
      </c>
      <c r="N92" s="1118"/>
      <c r="O92" s="1118"/>
      <c r="P92" s="1118"/>
      <c r="Q92" s="742"/>
      <c r="R92" s="743"/>
      <c r="S92" s="789"/>
      <c r="T92" s="789"/>
      <c r="U92" s="789"/>
      <c r="V92" s="789"/>
      <c r="W92" s="789"/>
      <c r="X92" s="789"/>
      <c r="Y92" s="789"/>
      <c r="Z92" s="789"/>
      <c r="AA92" s="789"/>
      <c r="AB92" s="789"/>
      <c r="AC92" s="789"/>
      <c r="AD92" s="789"/>
      <c r="AE92" s="789"/>
    </row>
    <row r="93" spans="1:31" s="660" customFormat="1" ht="22.5" customHeight="1" x14ac:dyDescent="0.3">
      <c r="A93" s="656">
        <v>86</v>
      </c>
      <c r="B93" s="669">
        <v>13</v>
      </c>
      <c r="C93" s="734"/>
      <c r="D93" s="745" t="s">
        <v>32</v>
      </c>
      <c r="E93" s="745"/>
      <c r="F93" s="746" t="s">
        <v>23</v>
      </c>
      <c r="G93" s="672">
        <v>399150</v>
      </c>
      <c r="H93" s="672">
        <v>442284</v>
      </c>
      <c r="I93" s="1354">
        <v>409194</v>
      </c>
      <c r="J93" s="763"/>
      <c r="K93" s="672"/>
      <c r="L93" s="672"/>
      <c r="M93" s="672"/>
      <c r="N93" s="672"/>
      <c r="O93" s="672"/>
      <c r="P93" s="672"/>
      <c r="Q93" s="672"/>
      <c r="R93" s="737"/>
      <c r="S93" s="749"/>
      <c r="T93" s="749"/>
      <c r="U93" s="749"/>
      <c r="V93" s="749"/>
      <c r="W93" s="749"/>
      <c r="X93" s="749"/>
      <c r="Y93" s="749"/>
      <c r="Z93" s="749"/>
      <c r="AA93" s="749"/>
      <c r="AB93" s="749"/>
      <c r="AC93" s="749"/>
      <c r="AD93" s="749"/>
      <c r="AE93" s="749"/>
    </row>
    <row r="94" spans="1:31" s="711" customFormat="1" ht="18" customHeight="1" x14ac:dyDescent="0.3">
      <c r="A94" s="656">
        <v>87</v>
      </c>
      <c r="B94" s="764"/>
      <c r="C94" s="765"/>
      <c r="D94" s="765"/>
      <c r="E94" s="739" t="s">
        <v>268</v>
      </c>
      <c r="F94" s="766"/>
      <c r="G94" s="766"/>
      <c r="H94" s="766"/>
      <c r="I94" s="1355"/>
      <c r="J94" s="741">
        <f>SUM(K94:R94)</f>
        <v>410179</v>
      </c>
      <c r="K94" s="742">
        <v>253166</v>
      </c>
      <c r="L94" s="742">
        <v>39840</v>
      </c>
      <c r="M94" s="742">
        <v>106581</v>
      </c>
      <c r="N94" s="742"/>
      <c r="O94" s="742">
        <v>1200</v>
      </c>
      <c r="P94" s="742">
        <v>9392</v>
      </c>
      <c r="Q94" s="742"/>
      <c r="R94" s="743"/>
      <c r="S94" s="789"/>
      <c r="T94" s="789"/>
      <c r="U94" s="789"/>
      <c r="V94" s="789"/>
      <c r="W94" s="789"/>
      <c r="X94" s="789"/>
      <c r="Y94" s="789"/>
      <c r="Z94" s="789"/>
      <c r="AA94" s="789"/>
      <c r="AB94" s="789"/>
      <c r="AC94" s="789"/>
      <c r="AD94" s="789"/>
      <c r="AE94" s="789"/>
    </row>
    <row r="95" spans="1:31" s="711" customFormat="1" ht="18" customHeight="1" x14ac:dyDescent="0.3">
      <c r="A95" s="656">
        <v>88</v>
      </c>
      <c r="B95" s="764"/>
      <c r="C95" s="765"/>
      <c r="D95" s="765"/>
      <c r="E95" s="224" t="s">
        <v>796</v>
      </c>
      <c r="F95" s="766"/>
      <c r="G95" s="766"/>
      <c r="H95" s="766"/>
      <c r="I95" s="1355"/>
      <c r="J95" s="1127">
        <f t="shared" ref="J95:J96" si="24">SUM(K95:R95)</f>
        <v>510443</v>
      </c>
      <c r="K95" s="1118">
        <v>268166</v>
      </c>
      <c r="L95" s="1118">
        <v>41790</v>
      </c>
      <c r="M95" s="1118">
        <v>147093</v>
      </c>
      <c r="N95" s="1118"/>
      <c r="O95" s="1118">
        <v>1200</v>
      </c>
      <c r="P95" s="1118">
        <v>52194</v>
      </c>
      <c r="Q95" s="742"/>
      <c r="R95" s="743"/>
      <c r="S95" s="789"/>
      <c r="T95" s="789"/>
      <c r="U95" s="789"/>
      <c r="V95" s="789"/>
      <c r="W95" s="789"/>
      <c r="X95" s="789"/>
      <c r="Y95" s="789"/>
      <c r="Z95" s="789"/>
      <c r="AA95" s="789"/>
      <c r="AB95" s="789"/>
      <c r="AC95" s="789"/>
      <c r="AD95" s="789"/>
      <c r="AE95" s="789"/>
    </row>
    <row r="96" spans="1:31" s="711" customFormat="1" ht="18" customHeight="1" x14ac:dyDescent="0.3">
      <c r="A96" s="656">
        <v>89</v>
      </c>
      <c r="B96" s="764"/>
      <c r="C96" s="765"/>
      <c r="D96" s="765"/>
      <c r="E96" s="976" t="s">
        <v>869</v>
      </c>
      <c r="F96" s="766"/>
      <c r="G96" s="766"/>
      <c r="H96" s="766"/>
      <c r="I96" s="1355"/>
      <c r="J96" s="1409">
        <f t="shared" si="24"/>
        <v>191926</v>
      </c>
      <c r="K96" s="775">
        <v>113454</v>
      </c>
      <c r="L96" s="775">
        <v>17799</v>
      </c>
      <c r="M96" s="775">
        <v>51019</v>
      </c>
      <c r="N96" s="775"/>
      <c r="O96" s="775"/>
      <c r="P96" s="775">
        <v>9654</v>
      </c>
      <c r="Q96" s="742"/>
      <c r="R96" s="743"/>
      <c r="S96" s="789"/>
      <c r="T96" s="789"/>
      <c r="U96" s="789"/>
      <c r="V96" s="789"/>
      <c r="W96" s="789"/>
      <c r="X96" s="789"/>
      <c r="Y96" s="789"/>
      <c r="Z96" s="789"/>
      <c r="AA96" s="789"/>
      <c r="AB96" s="789"/>
      <c r="AC96" s="789"/>
      <c r="AD96" s="789"/>
      <c r="AE96" s="789"/>
    </row>
    <row r="97" spans="1:31" s="661" customFormat="1" ht="18" customHeight="1" x14ac:dyDescent="0.3">
      <c r="A97" s="656">
        <v>90</v>
      </c>
      <c r="B97" s="795"/>
      <c r="C97" s="734">
        <v>1</v>
      </c>
      <c r="D97" s="745" t="s">
        <v>461</v>
      </c>
      <c r="E97" s="796"/>
      <c r="F97" s="797"/>
      <c r="G97" s="672"/>
      <c r="H97" s="672">
        <v>8944</v>
      </c>
      <c r="I97" s="1361"/>
      <c r="J97" s="763"/>
      <c r="K97" s="775"/>
      <c r="L97" s="775"/>
      <c r="M97" s="775"/>
      <c r="N97" s="775"/>
      <c r="O97" s="775"/>
      <c r="P97" s="775"/>
      <c r="Q97" s="775"/>
      <c r="R97" s="776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1:31" s="711" customFormat="1" ht="18" customHeight="1" x14ac:dyDescent="0.3">
      <c r="A98" s="656">
        <v>91</v>
      </c>
      <c r="B98" s="752"/>
      <c r="C98" s="798"/>
      <c r="D98" s="798"/>
      <c r="E98" s="739" t="s">
        <v>268</v>
      </c>
      <c r="F98" s="799"/>
      <c r="G98" s="800"/>
      <c r="H98" s="800"/>
      <c r="I98" s="1362"/>
      <c r="J98" s="741">
        <f>SUM(K98:R98)</f>
        <v>8944</v>
      </c>
      <c r="K98" s="742">
        <v>4971</v>
      </c>
      <c r="L98" s="742"/>
      <c r="M98" s="742">
        <v>3973</v>
      </c>
      <c r="N98" s="802"/>
      <c r="O98" s="802"/>
      <c r="P98" s="802"/>
      <c r="Q98" s="802"/>
      <c r="R98" s="803"/>
      <c r="S98" s="789"/>
      <c r="T98" s="789"/>
      <c r="U98" s="789"/>
      <c r="V98" s="789"/>
      <c r="W98" s="789"/>
      <c r="X98" s="789"/>
      <c r="Y98" s="789"/>
      <c r="Z98" s="789"/>
      <c r="AA98" s="789"/>
      <c r="AB98" s="789"/>
      <c r="AC98" s="789"/>
      <c r="AD98" s="789"/>
      <c r="AE98" s="789"/>
    </row>
    <row r="99" spans="1:31" s="711" customFormat="1" ht="18" customHeight="1" x14ac:dyDescent="0.3">
      <c r="A99" s="656">
        <v>92</v>
      </c>
      <c r="B99" s="752"/>
      <c r="C99" s="798"/>
      <c r="D99" s="798"/>
      <c r="E99" s="224" t="s">
        <v>796</v>
      </c>
      <c r="F99" s="799"/>
      <c r="G99" s="800"/>
      <c r="H99" s="800"/>
      <c r="I99" s="1362"/>
      <c r="J99" s="1127">
        <f t="shared" ref="J99:J100" si="25">SUM(K99:R99)</f>
        <v>8944</v>
      </c>
      <c r="K99" s="1118">
        <v>4971</v>
      </c>
      <c r="L99" s="1118"/>
      <c r="M99" s="1118">
        <v>3973</v>
      </c>
      <c r="N99" s="802"/>
      <c r="O99" s="802"/>
      <c r="P99" s="802"/>
      <c r="Q99" s="802"/>
      <c r="R99" s="803"/>
      <c r="S99" s="789"/>
      <c r="T99" s="789"/>
      <c r="U99" s="789"/>
      <c r="V99" s="789"/>
      <c r="W99" s="789"/>
      <c r="X99" s="789"/>
      <c r="Y99" s="789"/>
      <c r="Z99" s="789"/>
      <c r="AA99" s="789"/>
      <c r="AB99" s="789"/>
      <c r="AC99" s="789"/>
      <c r="AD99" s="789"/>
      <c r="AE99" s="789"/>
    </row>
    <row r="100" spans="1:31" s="711" customFormat="1" ht="18" customHeight="1" x14ac:dyDescent="0.3">
      <c r="A100" s="656">
        <v>93</v>
      </c>
      <c r="B100" s="752"/>
      <c r="C100" s="798"/>
      <c r="D100" s="798"/>
      <c r="E100" s="976" t="s">
        <v>869</v>
      </c>
      <c r="F100" s="799"/>
      <c r="G100" s="800"/>
      <c r="H100" s="800"/>
      <c r="I100" s="1362"/>
      <c r="J100" s="1409">
        <f t="shared" si="25"/>
        <v>0</v>
      </c>
      <c r="K100" s="802"/>
      <c r="L100" s="802"/>
      <c r="M100" s="802"/>
      <c r="N100" s="802"/>
      <c r="O100" s="802"/>
      <c r="P100" s="802"/>
      <c r="Q100" s="802"/>
      <c r="R100" s="803"/>
      <c r="S100" s="789"/>
      <c r="T100" s="789"/>
      <c r="U100" s="789"/>
      <c r="V100" s="789"/>
      <c r="W100" s="789"/>
      <c r="X100" s="789"/>
      <c r="Y100" s="789"/>
      <c r="Z100" s="789"/>
      <c r="AA100" s="789"/>
      <c r="AB100" s="789"/>
      <c r="AC100" s="789"/>
      <c r="AD100" s="789"/>
      <c r="AE100" s="789"/>
    </row>
    <row r="101" spans="1:31" s="660" customFormat="1" ht="18" customHeight="1" x14ac:dyDescent="0.3">
      <c r="A101" s="656">
        <v>94</v>
      </c>
      <c r="B101" s="709"/>
      <c r="C101" s="734">
        <v>2</v>
      </c>
      <c r="D101" s="794" t="s">
        <v>641</v>
      </c>
      <c r="E101" s="773"/>
      <c r="F101" s="774"/>
      <c r="G101" s="672"/>
      <c r="H101" s="672"/>
      <c r="I101" s="1354"/>
      <c r="J101" s="763"/>
      <c r="K101" s="750"/>
      <c r="L101" s="750"/>
      <c r="M101" s="750"/>
      <c r="N101" s="775"/>
      <c r="O101" s="775"/>
      <c r="P101" s="775"/>
      <c r="Q101" s="775"/>
      <c r="R101" s="776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</row>
    <row r="102" spans="1:31" s="711" customFormat="1" ht="18" customHeight="1" x14ac:dyDescent="0.3">
      <c r="A102" s="656">
        <v>95</v>
      </c>
      <c r="B102" s="764"/>
      <c r="C102" s="765"/>
      <c r="D102" s="765"/>
      <c r="E102" s="787" t="s">
        <v>268</v>
      </c>
      <c r="F102" s="788"/>
      <c r="G102" s="766"/>
      <c r="H102" s="766"/>
      <c r="I102" s="1355"/>
      <c r="J102" s="741">
        <f>SUM(K102:R102)</f>
        <v>30582</v>
      </c>
      <c r="K102" s="742">
        <v>3827</v>
      </c>
      <c r="L102" s="742">
        <v>498</v>
      </c>
      <c r="M102" s="742">
        <v>857</v>
      </c>
      <c r="N102" s="742"/>
      <c r="O102" s="742"/>
      <c r="P102" s="742">
        <v>25400</v>
      </c>
      <c r="Q102" s="742"/>
      <c r="R102" s="743"/>
      <c r="S102" s="789"/>
      <c r="T102" s="789"/>
      <c r="U102" s="789"/>
      <c r="V102" s="789"/>
      <c r="W102" s="789"/>
      <c r="X102" s="789"/>
      <c r="Y102" s="789"/>
      <c r="Z102" s="789"/>
      <c r="AA102" s="789"/>
      <c r="AB102" s="789"/>
      <c r="AC102" s="789"/>
      <c r="AD102" s="789"/>
      <c r="AE102" s="789"/>
    </row>
    <row r="103" spans="1:31" s="711" customFormat="1" ht="18" customHeight="1" x14ac:dyDescent="0.3">
      <c r="A103" s="656">
        <v>96</v>
      </c>
      <c r="B103" s="764"/>
      <c r="C103" s="765"/>
      <c r="D103" s="765"/>
      <c r="E103" s="224" t="s">
        <v>796</v>
      </c>
      <c r="F103" s="788"/>
      <c r="G103" s="766"/>
      <c r="H103" s="766"/>
      <c r="I103" s="1355"/>
      <c r="J103" s="1127">
        <f t="shared" ref="J103:J104" si="26">SUM(K103:R103)</f>
        <v>30582</v>
      </c>
      <c r="K103" s="1118">
        <v>3827</v>
      </c>
      <c r="L103" s="1118">
        <v>498</v>
      </c>
      <c r="M103" s="1118">
        <v>857</v>
      </c>
      <c r="N103" s="742"/>
      <c r="O103" s="742"/>
      <c r="P103" s="1118">
        <v>25400</v>
      </c>
      <c r="Q103" s="742"/>
      <c r="R103" s="743"/>
      <c r="S103" s="789"/>
      <c r="T103" s="789"/>
      <c r="U103" s="789"/>
      <c r="V103" s="789"/>
      <c r="W103" s="789"/>
      <c r="X103" s="789"/>
      <c r="Y103" s="789"/>
      <c r="Z103" s="789"/>
      <c r="AA103" s="789"/>
      <c r="AB103" s="789"/>
      <c r="AC103" s="789"/>
      <c r="AD103" s="789"/>
      <c r="AE103" s="789"/>
    </row>
    <row r="104" spans="1:31" s="711" customFormat="1" ht="18" customHeight="1" x14ac:dyDescent="0.3">
      <c r="A104" s="656">
        <v>97</v>
      </c>
      <c r="B104" s="764"/>
      <c r="C104" s="765"/>
      <c r="D104" s="765"/>
      <c r="E104" s="976" t="s">
        <v>869</v>
      </c>
      <c r="F104" s="788"/>
      <c r="G104" s="766"/>
      <c r="H104" s="766"/>
      <c r="I104" s="1355"/>
      <c r="J104" s="1409">
        <f t="shared" si="26"/>
        <v>0</v>
      </c>
      <c r="K104" s="1118"/>
      <c r="L104" s="1118"/>
      <c r="M104" s="1118"/>
      <c r="N104" s="742"/>
      <c r="O104" s="742"/>
      <c r="P104" s="1118"/>
      <c r="Q104" s="742"/>
      <c r="R104" s="743"/>
      <c r="S104" s="789"/>
      <c r="T104" s="789"/>
      <c r="U104" s="789"/>
      <c r="V104" s="789"/>
      <c r="W104" s="789"/>
      <c r="X104" s="789"/>
      <c r="Y104" s="789"/>
      <c r="Z104" s="789"/>
      <c r="AA104" s="789"/>
      <c r="AB104" s="789"/>
      <c r="AC104" s="789"/>
      <c r="AD104" s="789"/>
      <c r="AE104" s="789"/>
    </row>
    <row r="105" spans="1:31" s="660" customFormat="1" ht="22.5" customHeight="1" x14ac:dyDescent="0.3">
      <c r="A105" s="656">
        <v>98</v>
      </c>
      <c r="B105" s="669">
        <v>14</v>
      </c>
      <c r="C105" s="734"/>
      <c r="D105" s="745" t="s">
        <v>340</v>
      </c>
      <c r="E105" s="745"/>
      <c r="F105" s="746" t="s">
        <v>24</v>
      </c>
      <c r="G105" s="672">
        <v>135056</v>
      </c>
      <c r="H105" s="672">
        <v>150771</v>
      </c>
      <c r="I105" s="1354">
        <v>167421</v>
      </c>
      <c r="J105" s="763"/>
      <c r="K105" s="672"/>
      <c r="L105" s="672"/>
      <c r="M105" s="672"/>
      <c r="N105" s="672"/>
      <c r="O105" s="672"/>
      <c r="P105" s="672"/>
      <c r="Q105" s="672"/>
      <c r="R105" s="737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749"/>
      <c r="AE105" s="749"/>
    </row>
    <row r="106" spans="1:31" s="680" customFormat="1" ht="18" customHeight="1" x14ac:dyDescent="0.3">
      <c r="A106" s="656">
        <v>99</v>
      </c>
      <c r="B106" s="764"/>
      <c r="C106" s="765"/>
      <c r="D106" s="765"/>
      <c r="E106" s="739" t="s">
        <v>268</v>
      </c>
      <c r="F106" s="766"/>
      <c r="G106" s="766"/>
      <c r="H106" s="766"/>
      <c r="I106" s="1355"/>
      <c r="J106" s="741">
        <f>SUM(K106:R106)</f>
        <v>193542</v>
      </c>
      <c r="K106" s="742">
        <v>100356</v>
      </c>
      <c r="L106" s="742">
        <v>13453</v>
      </c>
      <c r="M106" s="742">
        <v>79319</v>
      </c>
      <c r="N106" s="742"/>
      <c r="O106" s="742"/>
      <c r="P106" s="742">
        <v>414</v>
      </c>
      <c r="Q106" s="742"/>
      <c r="R106" s="743"/>
      <c r="S106" s="744"/>
      <c r="T106" s="744"/>
      <c r="U106" s="744"/>
      <c r="V106" s="744"/>
      <c r="W106" s="744"/>
      <c r="X106" s="744"/>
      <c r="Y106" s="744"/>
      <c r="Z106" s="744"/>
      <c r="AA106" s="744"/>
      <c r="AB106" s="744"/>
      <c r="AC106" s="744"/>
      <c r="AD106" s="744"/>
      <c r="AE106" s="744"/>
    </row>
    <row r="107" spans="1:31" s="680" customFormat="1" ht="18" customHeight="1" x14ac:dyDescent="0.3">
      <c r="A107" s="656">
        <v>100</v>
      </c>
      <c r="B107" s="764"/>
      <c r="C107" s="765"/>
      <c r="D107" s="765"/>
      <c r="E107" s="224" t="s">
        <v>796</v>
      </c>
      <c r="F107" s="766"/>
      <c r="G107" s="766"/>
      <c r="H107" s="766"/>
      <c r="I107" s="1355"/>
      <c r="J107" s="1127">
        <f t="shared" ref="J107:J108" si="27">SUM(K107:R107)</f>
        <v>206070</v>
      </c>
      <c r="K107" s="1118">
        <v>101821</v>
      </c>
      <c r="L107" s="1118">
        <v>14304</v>
      </c>
      <c r="M107" s="1118">
        <v>88127</v>
      </c>
      <c r="N107" s="1118"/>
      <c r="O107" s="1118">
        <v>28</v>
      </c>
      <c r="P107" s="1118">
        <v>1790</v>
      </c>
      <c r="Q107" s="742"/>
      <c r="R107" s="743"/>
      <c r="S107" s="744"/>
      <c r="T107" s="744"/>
      <c r="U107" s="744"/>
      <c r="V107" s="744"/>
      <c r="W107" s="744"/>
      <c r="X107" s="744"/>
      <c r="Y107" s="744"/>
      <c r="Z107" s="744"/>
      <c r="AA107" s="744"/>
      <c r="AB107" s="744"/>
      <c r="AC107" s="744"/>
      <c r="AD107" s="744"/>
      <c r="AE107" s="744"/>
    </row>
    <row r="108" spans="1:31" s="680" customFormat="1" ht="18" customHeight="1" x14ac:dyDescent="0.3">
      <c r="A108" s="656">
        <v>101</v>
      </c>
      <c r="B108" s="764"/>
      <c r="C108" s="765"/>
      <c r="D108" s="765"/>
      <c r="E108" s="976" t="s">
        <v>868</v>
      </c>
      <c r="F108" s="766"/>
      <c r="G108" s="766"/>
      <c r="H108" s="766"/>
      <c r="I108" s="1355"/>
      <c r="J108" s="1409">
        <f t="shared" si="27"/>
        <v>99198</v>
      </c>
      <c r="K108" s="775">
        <f>53102-774-1031</f>
        <v>51297</v>
      </c>
      <c r="L108" s="775">
        <f>8147-54-106</f>
        <v>7987</v>
      </c>
      <c r="M108" s="775">
        <f>42694-578-2662</f>
        <v>39454</v>
      </c>
      <c r="N108" s="775"/>
      <c r="O108" s="775">
        <v>28</v>
      </c>
      <c r="P108" s="775">
        <v>432</v>
      </c>
      <c r="Q108" s="742"/>
      <c r="R108" s="743"/>
      <c r="S108" s="744"/>
      <c r="T108" s="744"/>
      <c r="U108" s="744"/>
      <c r="V108" s="744"/>
      <c r="W108" s="744"/>
      <c r="X108" s="744"/>
      <c r="Y108" s="744"/>
      <c r="Z108" s="744"/>
      <c r="AA108" s="744"/>
      <c r="AB108" s="744"/>
      <c r="AC108" s="744"/>
      <c r="AD108" s="744"/>
      <c r="AE108" s="744"/>
    </row>
    <row r="109" spans="1:31" s="692" customFormat="1" ht="18" customHeight="1" x14ac:dyDescent="0.3">
      <c r="A109" s="656">
        <v>102</v>
      </c>
      <c r="B109" s="709"/>
      <c r="C109" s="734">
        <v>1</v>
      </c>
      <c r="D109" s="773" t="s">
        <v>127</v>
      </c>
      <c r="E109" s="773"/>
      <c r="F109" s="774"/>
      <c r="G109" s="804">
        <v>1052</v>
      </c>
      <c r="H109" s="804">
        <v>1054</v>
      </c>
      <c r="I109" s="1363">
        <v>1766</v>
      </c>
      <c r="J109" s="763"/>
      <c r="K109" s="750"/>
      <c r="L109" s="750"/>
      <c r="M109" s="750"/>
      <c r="N109" s="775"/>
      <c r="O109" s="775"/>
      <c r="P109" s="775"/>
      <c r="Q109" s="775"/>
      <c r="R109" s="776"/>
      <c r="S109" s="805"/>
      <c r="T109" s="805"/>
      <c r="U109" s="805"/>
      <c r="V109" s="805"/>
      <c r="W109" s="805"/>
      <c r="X109" s="805"/>
      <c r="Y109" s="805"/>
      <c r="Z109" s="805"/>
      <c r="AA109" s="805"/>
      <c r="AB109" s="805"/>
      <c r="AC109" s="805"/>
      <c r="AD109" s="805"/>
      <c r="AE109" s="805"/>
    </row>
    <row r="110" spans="1:31" s="680" customFormat="1" ht="18" customHeight="1" x14ac:dyDescent="0.3">
      <c r="A110" s="656">
        <v>103</v>
      </c>
      <c r="B110" s="764"/>
      <c r="C110" s="765"/>
      <c r="D110" s="765"/>
      <c r="E110" s="787" t="s">
        <v>268</v>
      </c>
      <c r="F110" s="788"/>
      <c r="G110" s="766"/>
      <c r="H110" s="766"/>
      <c r="I110" s="1355"/>
      <c r="J110" s="741">
        <f>SUM(K110:R110)</f>
        <v>1444</v>
      </c>
      <c r="K110" s="742">
        <v>1330</v>
      </c>
      <c r="L110" s="742">
        <v>114</v>
      </c>
      <c r="M110" s="742"/>
      <c r="N110" s="742"/>
      <c r="O110" s="742"/>
      <c r="P110" s="742"/>
      <c r="Q110" s="742"/>
      <c r="R110" s="743"/>
      <c r="S110" s="744"/>
      <c r="T110" s="744"/>
      <c r="U110" s="744"/>
      <c r="V110" s="744"/>
      <c r="W110" s="744"/>
      <c r="X110" s="744"/>
      <c r="Y110" s="744"/>
      <c r="Z110" s="744"/>
      <c r="AA110" s="744"/>
      <c r="AB110" s="744"/>
      <c r="AC110" s="744"/>
      <c r="AD110" s="744"/>
      <c r="AE110" s="744"/>
    </row>
    <row r="111" spans="1:31" s="680" customFormat="1" ht="18" customHeight="1" x14ac:dyDescent="0.3">
      <c r="A111" s="656">
        <v>104</v>
      </c>
      <c r="B111" s="764"/>
      <c r="C111" s="765"/>
      <c r="D111" s="849"/>
      <c r="E111" s="224" t="s">
        <v>796</v>
      </c>
      <c r="F111" s="788"/>
      <c r="G111" s="766"/>
      <c r="H111" s="766"/>
      <c r="I111" s="1355"/>
      <c r="J111" s="1127">
        <f t="shared" ref="J111:J112" si="28">SUM(K111:R111)</f>
        <v>520</v>
      </c>
      <c r="K111" s="1118">
        <v>488</v>
      </c>
      <c r="L111" s="1118">
        <v>32</v>
      </c>
      <c r="M111" s="742"/>
      <c r="N111" s="742"/>
      <c r="O111" s="742"/>
      <c r="P111" s="742"/>
      <c r="Q111" s="742"/>
      <c r="R111" s="743"/>
      <c r="S111" s="744"/>
      <c r="T111" s="744"/>
      <c r="U111" s="744"/>
      <c r="V111" s="744"/>
      <c r="W111" s="744"/>
      <c r="X111" s="744"/>
      <c r="Y111" s="744"/>
      <c r="Z111" s="744"/>
      <c r="AA111" s="744"/>
      <c r="AB111" s="744"/>
      <c r="AC111" s="744"/>
      <c r="AD111" s="744"/>
      <c r="AE111" s="744"/>
    </row>
    <row r="112" spans="1:31" s="680" customFormat="1" ht="18" customHeight="1" x14ac:dyDescent="0.3">
      <c r="A112" s="656">
        <v>105</v>
      </c>
      <c r="B112" s="764"/>
      <c r="C112" s="765"/>
      <c r="D112" s="849"/>
      <c r="E112" s="976" t="s">
        <v>869</v>
      </c>
      <c r="F112" s="788"/>
      <c r="G112" s="766"/>
      <c r="H112" s="766"/>
      <c r="I112" s="1355"/>
      <c r="J112" s="1409">
        <f t="shared" si="28"/>
        <v>828</v>
      </c>
      <c r="K112" s="775">
        <v>774</v>
      </c>
      <c r="L112" s="775">
        <v>54</v>
      </c>
      <c r="M112" s="742"/>
      <c r="N112" s="742"/>
      <c r="O112" s="742"/>
      <c r="P112" s="742"/>
      <c r="Q112" s="742"/>
      <c r="R112" s="743"/>
      <c r="S112" s="744"/>
      <c r="T112" s="744"/>
      <c r="U112" s="744"/>
      <c r="V112" s="744"/>
      <c r="W112" s="744"/>
      <c r="X112" s="744"/>
      <c r="Y112" s="744"/>
      <c r="Z112" s="744"/>
      <c r="AA112" s="744"/>
      <c r="AB112" s="744"/>
      <c r="AC112" s="744"/>
      <c r="AD112" s="744"/>
      <c r="AE112" s="744"/>
    </row>
    <row r="113" spans="1:31" s="692" customFormat="1" ht="33" customHeight="1" x14ac:dyDescent="0.3">
      <c r="A113" s="656">
        <v>106</v>
      </c>
      <c r="B113" s="709"/>
      <c r="C113" s="772"/>
      <c r="D113" s="1601" t="s">
        <v>501</v>
      </c>
      <c r="E113" s="1640"/>
      <c r="F113" s="806"/>
      <c r="G113" s="672">
        <v>6992</v>
      </c>
      <c r="H113" s="672"/>
      <c r="I113" s="1354"/>
      <c r="J113" s="763"/>
      <c r="K113" s="750"/>
      <c r="L113" s="750"/>
      <c r="M113" s="750"/>
      <c r="N113" s="775"/>
      <c r="O113" s="775"/>
      <c r="P113" s="775"/>
      <c r="Q113" s="775"/>
      <c r="R113" s="776"/>
      <c r="S113" s="805"/>
      <c r="T113" s="805"/>
      <c r="U113" s="805"/>
      <c r="V113" s="805"/>
      <c r="W113" s="805"/>
      <c r="X113" s="805"/>
      <c r="Y113" s="805"/>
      <c r="Z113" s="805"/>
      <c r="AA113" s="805"/>
      <c r="AB113" s="805"/>
      <c r="AC113" s="805"/>
      <c r="AD113" s="805"/>
      <c r="AE113" s="805"/>
    </row>
    <row r="114" spans="1:31" s="660" customFormat="1" ht="18" customHeight="1" x14ac:dyDescent="0.3">
      <c r="A114" s="656">
        <v>107</v>
      </c>
      <c r="B114" s="709"/>
      <c r="C114" s="734">
        <v>2</v>
      </c>
      <c r="D114" s="794" t="s">
        <v>461</v>
      </c>
      <c r="E114" s="773"/>
      <c r="F114" s="774"/>
      <c r="G114" s="672"/>
      <c r="H114" s="672">
        <v>6843</v>
      </c>
      <c r="I114" s="1354">
        <v>3561</v>
      </c>
      <c r="J114" s="763"/>
      <c r="K114" s="750"/>
      <c r="L114" s="750"/>
      <c r="M114" s="750"/>
      <c r="N114" s="775"/>
      <c r="O114" s="775"/>
      <c r="P114" s="775"/>
      <c r="Q114" s="775"/>
      <c r="R114" s="776"/>
      <c r="S114" s="749"/>
      <c r="T114" s="749"/>
      <c r="U114" s="749"/>
      <c r="V114" s="749"/>
      <c r="W114" s="749"/>
      <c r="X114" s="749"/>
      <c r="Y114" s="749"/>
      <c r="Z114" s="749"/>
      <c r="AA114" s="749"/>
      <c r="AB114" s="749"/>
      <c r="AC114" s="749"/>
      <c r="AD114" s="749"/>
      <c r="AE114" s="749"/>
    </row>
    <row r="115" spans="1:31" s="711" customFormat="1" ht="18" customHeight="1" x14ac:dyDescent="0.3">
      <c r="A115" s="656">
        <v>108</v>
      </c>
      <c r="B115" s="764"/>
      <c r="C115" s="765"/>
      <c r="D115" s="765"/>
      <c r="E115" s="787" t="s">
        <v>268</v>
      </c>
      <c r="F115" s="788"/>
      <c r="G115" s="766"/>
      <c r="H115" s="766"/>
      <c r="I115" s="1355"/>
      <c r="J115" s="741">
        <f>SUM(K115:R115)</f>
        <v>3282</v>
      </c>
      <c r="K115" s="742">
        <v>1188</v>
      </c>
      <c r="L115" s="742">
        <v>111</v>
      </c>
      <c r="M115" s="742">
        <v>1983</v>
      </c>
      <c r="N115" s="742"/>
      <c r="O115" s="742"/>
      <c r="P115" s="742"/>
      <c r="Q115" s="742"/>
      <c r="R115" s="743"/>
      <c r="S115" s="789"/>
      <c r="T115" s="789"/>
      <c r="U115" s="789"/>
      <c r="V115" s="789"/>
      <c r="W115" s="789"/>
      <c r="X115" s="789"/>
      <c r="Y115" s="789"/>
      <c r="Z115" s="789"/>
      <c r="AA115" s="789"/>
      <c r="AB115" s="789"/>
      <c r="AC115" s="789"/>
      <c r="AD115" s="789"/>
      <c r="AE115" s="789"/>
    </row>
    <row r="116" spans="1:31" s="711" customFormat="1" ht="18" customHeight="1" x14ac:dyDescent="0.3">
      <c r="A116" s="656">
        <v>109</v>
      </c>
      <c r="B116" s="764"/>
      <c r="C116" s="765"/>
      <c r="D116" s="849"/>
      <c r="E116" s="224" t="s">
        <v>796</v>
      </c>
      <c r="F116" s="788"/>
      <c r="G116" s="766"/>
      <c r="H116" s="766"/>
      <c r="I116" s="1355"/>
      <c r="J116" s="1127">
        <f t="shared" ref="J116:J117" si="29">SUM(K116:R116)</f>
        <v>3282</v>
      </c>
      <c r="K116" s="1118">
        <v>1188</v>
      </c>
      <c r="L116" s="1118">
        <v>111</v>
      </c>
      <c r="M116" s="1118">
        <v>1983</v>
      </c>
      <c r="N116" s="742"/>
      <c r="O116" s="742"/>
      <c r="P116" s="742"/>
      <c r="Q116" s="742"/>
      <c r="R116" s="743"/>
      <c r="S116" s="789"/>
      <c r="T116" s="789"/>
      <c r="U116" s="789"/>
      <c r="V116" s="789"/>
      <c r="W116" s="789"/>
      <c r="X116" s="789"/>
      <c r="Y116" s="789"/>
      <c r="Z116" s="789"/>
      <c r="AA116" s="789"/>
      <c r="AB116" s="789"/>
      <c r="AC116" s="789"/>
      <c r="AD116" s="789"/>
      <c r="AE116" s="789"/>
    </row>
    <row r="117" spans="1:31" s="711" customFormat="1" ht="18" customHeight="1" x14ac:dyDescent="0.3">
      <c r="A117" s="656">
        <v>110</v>
      </c>
      <c r="B117" s="764"/>
      <c r="C117" s="765"/>
      <c r="D117" s="849"/>
      <c r="E117" s="976" t="s">
        <v>869</v>
      </c>
      <c r="F117" s="788"/>
      <c r="G117" s="766"/>
      <c r="H117" s="766"/>
      <c r="I117" s="1355"/>
      <c r="J117" s="1409">
        <f t="shared" si="29"/>
        <v>1715</v>
      </c>
      <c r="K117" s="775">
        <v>1031</v>
      </c>
      <c r="L117" s="775">
        <v>106</v>
      </c>
      <c r="M117" s="775">
        <v>578</v>
      </c>
      <c r="N117" s="742"/>
      <c r="O117" s="742"/>
      <c r="P117" s="742"/>
      <c r="Q117" s="742"/>
      <c r="R117" s="743"/>
      <c r="S117" s="789"/>
      <c r="T117" s="789"/>
      <c r="U117" s="789"/>
      <c r="V117" s="789"/>
      <c r="W117" s="789"/>
      <c r="X117" s="789"/>
      <c r="Y117" s="789"/>
      <c r="Z117" s="789"/>
      <c r="AA117" s="789"/>
      <c r="AB117" s="789"/>
      <c r="AC117" s="789"/>
      <c r="AD117" s="789"/>
      <c r="AE117" s="789"/>
    </row>
    <row r="118" spans="1:31" s="711" customFormat="1" ht="33.75" customHeight="1" x14ac:dyDescent="0.3">
      <c r="A118" s="656">
        <v>111</v>
      </c>
      <c r="B118" s="764"/>
      <c r="C118" s="790">
        <v>3</v>
      </c>
      <c r="D118" s="1591" t="s">
        <v>643</v>
      </c>
      <c r="E118" s="1592"/>
      <c r="F118" s="788"/>
      <c r="G118" s="766"/>
      <c r="H118" s="793"/>
      <c r="I118" s="1360">
        <v>12715</v>
      </c>
      <c r="J118" s="741"/>
      <c r="K118" s="742"/>
      <c r="L118" s="742"/>
      <c r="M118" s="742"/>
      <c r="N118" s="742"/>
      <c r="O118" s="742"/>
      <c r="P118" s="742"/>
      <c r="Q118" s="742"/>
      <c r="R118" s="743"/>
      <c r="S118" s="789"/>
      <c r="T118" s="789"/>
      <c r="U118" s="789"/>
      <c r="V118" s="789"/>
      <c r="W118" s="789"/>
      <c r="X118" s="789"/>
      <c r="Y118" s="789"/>
      <c r="Z118" s="789"/>
      <c r="AA118" s="789"/>
      <c r="AB118" s="789"/>
      <c r="AC118" s="789"/>
      <c r="AD118" s="789"/>
      <c r="AE118" s="789"/>
    </row>
    <row r="119" spans="1:31" s="711" customFormat="1" ht="18" customHeight="1" x14ac:dyDescent="0.3">
      <c r="A119" s="656">
        <v>112</v>
      </c>
      <c r="B119" s="764"/>
      <c r="C119" s="765"/>
      <c r="D119" s="765"/>
      <c r="E119" s="787" t="s">
        <v>268</v>
      </c>
      <c r="F119" s="788"/>
      <c r="G119" s="766"/>
      <c r="H119" s="766"/>
      <c r="I119" s="1355"/>
      <c r="J119" s="741">
        <f>SUM(K119:R119)</f>
        <v>6161</v>
      </c>
      <c r="K119" s="742">
        <v>1101</v>
      </c>
      <c r="L119" s="742">
        <v>704</v>
      </c>
      <c r="M119" s="742">
        <v>4356</v>
      </c>
      <c r="N119" s="742"/>
      <c r="O119" s="742"/>
      <c r="P119" s="742"/>
      <c r="Q119" s="742"/>
      <c r="R119" s="743"/>
      <c r="S119" s="789"/>
      <c r="T119" s="789"/>
      <c r="U119" s="789"/>
      <c r="V119" s="789"/>
      <c r="W119" s="789"/>
      <c r="X119" s="789"/>
      <c r="Y119" s="789"/>
      <c r="Z119" s="789"/>
      <c r="AA119" s="789"/>
      <c r="AB119" s="789"/>
      <c r="AC119" s="789"/>
      <c r="AD119" s="789"/>
      <c r="AE119" s="789"/>
    </row>
    <row r="120" spans="1:31" s="711" customFormat="1" ht="18" customHeight="1" x14ac:dyDescent="0.3">
      <c r="A120" s="656">
        <v>113</v>
      </c>
      <c r="B120" s="764"/>
      <c r="C120" s="765"/>
      <c r="D120" s="765"/>
      <c r="E120" s="224" t="s">
        <v>796</v>
      </c>
      <c r="F120" s="788"/>
      <c r="G120" s="766"/>
      <c r="H120" s="766"/>
      <c r="I120" s="1355"/>
      <c r="J120" s="1127">
        <f t="shared" ref="J120:J121" si="30">SUM(K120:R120)</f>
        <v>6161</v>
      </c>
      <c r="K120" s="1118">
        <v>1101</v>
      </c>
      <c r="L120" s="1118">
        <v>704</v>
      </c>
      <c r="M120" s="1118">
        <v>4356</v>
      </c>
      <c r="N120" s="742"/>
      <c r="O120" s="742"/>
      <c r="P120" s="742"/>
      <c r="Q120" s="742"/>
      <c r="R120" s="743"/>
      <c r="S120" s="789"/>
      <c r="T120" s="789"/>
      <c r="U120" s="789"/>
      <c r="V120" s="789"/>
      <c r="W120" s="789"/>
      <c r="X120" s="789"/>
      <c r="Y120" s="789"/>
      <c r="Z120" s="789"/>
      <c r="AA120" s="789"/>
      <c r="AB120" s="789"/>
      <c r="AC120" s="789"/>
      <c r="AD120" s="789"/>
      <c r="AE120" s="789"/>
    </row>
    <row r="121" spans="1:31" s="711" customFormat="1" ht="18" customHeight="1" x14ac:dyDescent="0.3">
      <c r="A121" s="656">
        <v>114</v>
      </c>
      <c r="B121" s="764"/>
      <c r="C121" s="765"/>
      <c r="D121" s="765"/>
      <c r="E121" s="976" t="s">
        <v>869</v>
      </c>
      <c r="F121" s="788"/>
      <c r="G121" s="766"/>
      <c r="H121" s="766"/>
      <c r="I121" s="1355"/>
      <c r="J121" s="1409">
        <f t="shared" si="30"/>
        <v>2662</v>
      </c>
      <c r="K121" s="1118"/>
      <c r="L121" s="1118"/>
      <c r="M121" s="775">
        <v>2662</v>
      </c>
      <c r="N121" s="742"/>
      <c r="O121" s="742"/>
      <c r="P121" s="742"/>
      <c r="Q121" s="742"/>
      <c r="R121" s="743"/>
      <c r="S121" s="789"/>
      <c r="T121" s="789"/>
      <c r="U121" s="789"/>
      <c r="V121" s="789"/>
      <c r="W121" s="789"/>
      <c r="X121" s="789"/>
      <c r="Y121" s="789"/>
      <c r="Z121" s="789"/>
      <c r="AA121" s="789"/>
      <c r="AB121" s="789"/>
      <c r="AC121" s="789"/>
      <c r="AD121" s="789"/>
      <c r="AE121" s="789"/>
    </row>
    <row r="122" spans="1:31" ht="22.5" customHeight="1" x14ac:dyDescent="0.3">
      <c r="A122" s="656">
        <v>115</v>
      </c>
      <c r="B122" s="669">
        <v>15</v>
      </c>
      <c r="C122" s="734"/>
      <c r="D122" s="745" t="s">
        <v>132</v>
      </c>
      <c r="E122" s="745"/>
      <c r="F122" s="746" t="s">
        <v>24</v>
      </c>
      <c r="G122" s="672">
        <v>836545</v>
      </c>
      <c r="H122" s="672">
        <v>747152</v>
      </c>
      <c r="I122" s="1354">
        <v>768187</v>
      </c>
      <c r="J122" s="763"/>
      <c r="K122" s="672"/>
      <c r="L122" s="672"/>
      <c r="M122" s="672"/>
      <c r="N122" s="672"/>
      <c r="O122" s="672"/>
      <c r="P122" s="672"/>
      <c r="Q122" s="672"/>
      <c r="R122" s="737"/>
    </row>
    <row r="123" spans="1:31" s="680" customFormat="1" ht="18" customHeight="1" x14ac:dyDescent="0.3">
      <c r="A123" s="656">
        <v>116</v>
      </c>
      <c r="B123" s="764"/>
      <c r="C123" s="767"/>
      <c r="D123" s="767"/>
      <c r="E123" s="787" t="s">
        <v>268</v>
      </c>
      <c r="F123" s="768"/>
      <c r="G123" s="768"/>
      <c r="H123" s="768"/>
      <c r="I123" s="1359"/>
      <c r="J123" s="769">
        <f>SUM(K123:R123)</f>
        <v>833114</v>
      </c>
      <c r="K123" s="770">
        <v>541710</v>
      </c>
      <c r="L123" s="770">
        <v>67171</v>
      </c>
      <c r="M123" s="770">
        <v>224233</v>
      </c>
      <c r="N123" s="770"/>
      <c r="O123" s="770"/>
      <c r="P123" s="770"/>
      <c r="Q123" s="770"/>
      <c r="R123" s="771"/>
      <c r="S123" s="744"/>
      <c r="T123" s="744"/>
      <c r="U123" s="744"/>
      <c r="V123" s="744"/>
      <c r="W123" s="744"/>
      <c r="X123" s="744"/>
      <c r="Y123" s="744"/>
      <c r="Z123" s="744"/>
      <c r="AA123" s="744"/>
      <c r="AB123" s="744"/>
      <c r="AC123" s="744"/>
      <c r="AD123" s="744"/>
      <c r="AE123" s="744"/>
    </row>
    <row r="124" spans="1:31" s="680" customFormat="1" ht="18" customHeight="1" x14ac:dyDescent="0.3">
      <c r="A124" s="656">
        <v>117</v>
      </c>
      <c r="B124" s="764"/>
      <c r="C124" s="1131"/>
      <c r="D124" s="1125"/>
      <c r="E124" s="224" t="s">
        <v>796</v>
      </c>
      <c r="F124" s="766"/>
      <c r="G124" s="766"/>
      <c r="H124" s="766"/>
      <c r="I124" s="1364"/>
      <c r="J124" s="1127">
        <f t="shared" ref="J124:J125" si="31">SUM(K124:R124)</f>
        <v>1091912</v>
      </c>
      <c r="K124" s="1118">
        <v>616866</v>
      </c>
      <c r="L124" s="1118">
        <v>69847</v>
      </c>
      <c r="M124" s="1118">
        <v>365626</v>
      </c>
      <c r="N124" s="742"/>
      <c r="O124" s="742"/>
      <c r="P124" s="1118">
        <v>39573</v>
      </c>
      <c r="Q124" s="742"/>
      <c r="R124" s="743"/>
      <c r="S124" s="744"/>
      <c r="T124" s="744"/>
      <c r="U124" s="744"/>
      <c r="V124" s="744"/>
      <c r="W124" s="744"/>
      <c r="X124" s="744"/>
      <c r="Y124" s="744"/>
      <c r="Z124" s="744"/>
      <c r="AA124" s="744"/>
      <c r="AB124" s="744"/>
      <c r="AC124" s="744"/>
      <c r="AD124" s="744"/>
      <c r="AE124" s="744"/>
    </row>
    <row r="125" spans="1:31" s="680" customFormat="1" ht="18" customHeight="1" thickBot="1" x14ac:dyDescent="0.35">
      <c r="A125" s="656">
        <v>118</v>
      </c>
      <c r="B125" s="764"/>
      <c r="C125" s="1131"/>
      <c r="D125" s="1125"/>
      <c r="E125" s="976" t="s">
        <v>868</v>
      </c>
      <c r="F125" s="766"/>
      <c r="G125" s="766"/>
      <c r="H125" s="766"/>
      <c r="I125" s="1364"/>
      <c r="J125" s="1409">
        <f t="shared" si="31"/>
        <v>591072</v>
      </c>
      <c r="K125" s="775">
        <v>269953</v>
      </c>
      <c r="L125" s="775">
        <v>38499</v>
      </c>
      <c r="M125" s="775">
        <v>248423</v>
      </c>
      <c r="N125" s="775"/>
      <c r="O125" s="775"/>
      <c r="P125" s="775">
        <v>34197</v>
      </c>
      <c r="Q125" s="742"/>
      <c r="R125" s="743"/>
      <c r="S125" s="744"/>
      <c r="T125" s="744"/>
      <c r="U125" s="744"/>
      <c r="V125" s="744"/>
      <c r="W125" s="744"/>
      <c r="X125" s="744"/>
      <c r="Y125" s="744"/>
      <c r="Z125" s="744"/>
      <c r="AA125" s="744"/>
      <c r="AB125" s="744"/>
      <c r="AC125" s="744"/>
      <c r="AD125" s="744"/>
      <c r="AE125" s="744"/>
    </row>
    <row r="126" spans="1:31" s="783" customFormat="1" ht="22.5" customHeight="1" thickTop="1" x14ac:dyDescent="0.2">
      <c r="A126" s="656">
        <v>119</v>
      </c>
      <c r="B126" s="752"/>
      <c r="C126" s="1633" t="s">
        <v>386</v>
      </c>
      <c r="D126" s="1634"/>
      <c r="E126" s="1635"/>
      <c r="F126" s="807"/>
      <c r="G126" s="753">
        <f>SUM(G64:G123)</f>
        <v>2191996</v>
      </c>
      <c r="H126" s="753">
        <f>SUM(H64:H123)</f>
        <v>2340076</v>
      </c>
      <c r="I126" s="1365">
        <f>SUM(I64:I123)</f>
        <v>2301226</v>
      </c>
      <c r="J126" s="808"/>
      <c r="K126" s="780"/>
      <c r="L126" s="780"/>
      <c r="M126" s="780"/>
      <c r="N126" s="780"/>
      <c r="O126" s="780"/>
      <c r="P126" s="780"/>
      <c r="Q126" s="780"/>
      <c r="R126" s="781"/>
      <c r="S126" s="782"/>
      <c r="T126" s="782"/>
      <c r="U126" s="782"/>
      <c r="V126" s="782"/>
      <c r="W126" s="782"/>
      <c r="X126" s="782"/>
      <c r="Y126" s="782"/>
      <c r="Z126" s="782"/>
      <c r="AA126" s="782"/>
      <c r="AB126" s="782"/>
      <c r="AC126" s="782"/>
      <c r="AD126" s="782"/>
      <c r="AE126" s="782"/>
    </row>
    <row r="127" spans="1:31" s="680" customFormat="1" ht="18" customHeight="1" x14ac:dyDescent="0.3">
      <c r="A127" s="656">
        <v>120</v>
      </c>
      <c r="B127" s="764"/>
      <c r="C127" s="1124"/>
      <c r="D127" s="767"/>
      <c r="E127" s="722" t="s">
        <v>268</v>
      </c>
      <c r="F127" s="768"/>
      <c r="G127" s="768"/>
      <c r="H127" s="768"/>
      <c r="I127" s="1359"/>
      <c r="J127" s="769">
        <f>SUM(K127:R127)</f>
        <v>2558904</v>
      </c>
      <c r="K127" s="770">
        <f t="shared" ref="K127:R128" si="32">SUM(K65,K69,K77,K86,K90,K94,K106,K110,K123,K102,K115,K73,K82,K98,K119)</f>
        <v>1373310</v>
      </c>
      <c r="L127" s="770">
        <f t="shared" si="32"/>
        <v>188271</v>
      </c>
      <c r="M127" s="770">
        <f t="shared" si="32"/>
        <v>883334</v>
      </c>
      <c r="N127" s="770">
        <f t="shared" si="32"/>
        <v>0</v>
      </c>
      <c r="O127" s="770">
        <f t="shared" si="32"/>
        <v>1200</v>
      </c>
      <c r="P127" s="770">
        <f t="shared" si="32"/>
        <v>112789</v>
      </c>
      <c r="Q127" s="770">
        <f t="shared" si="32"/>
        <v>0</v>
      </c>
      <c r="R127" s="771">
        <f t="shared" si="32"/>
        <v>0</v>
      </c>
      <c r="S127" s="744"/>
      <c r="T127" s="744"/>
      <c r="U127" s="744"/>
      <c r="V127" s="744"/>
      <c r="W127" s="744"/>
      <c r="X127" s="744"/>
      <c r="Y127" s="744"/>
      <c r="Z127" s="744"/>
      <c r="AA127" s="744"/>
      <c r="AB127" s="744"/>
      <c r="AC127" s="744"/>
      <c r="AD127" s="744"/>
      <c r="AE127" s="744"/>
    </row>
    <row r="128" spans="1:31" s="680" customFormat="1" ht="18" customHeight="1" x14ac:dyDescent="0.3">
      <c r="A128" s="656">
        <v>121</v>
      </c>
      <c r="B128" s="1123"/>
      <c r="C128" s="1125"/>
      <c r="D128" s="765"/>
      <c r="E128" s="225" t="s">
        <v>796</v>
      </c>
      <c r="F128" s="766"/>
      <c r="G128" s="766"/>
      <c r="H128" s="766"/>
      <c r="I128" s="1355"/>
      <c r="J128" s="1127">
        <f t="shared" ref="J128" si="33">SUM(K128:R128)</f>
        <v>3297795</v>
      </c>
      <c r="K128" s="1126">
        <f t="shared" si="32"/>
        <v>1484388</v>
      </c>
      <c r="L128" s="1126">
        <f t="shared" si="32"/>
        <v>196248</v>
      </c>
      <c r="M128" s="1126">
        <f t="shared" si="32"/>
        <v>1299408</v>
      </c>
      <c r="N128" s="1126">
        <f t="shared" si="32"/>
        <v>0</v>
      </c>
      <c r="O128" s="1126">
        <f t="shared" si="32"/>
        <v>1680</v>
      </c>
      <c r="P128" s="1126">
        <f t="shared" si="32"/>
        <v>316071</v>
      </c>
      <c r="Q128" s="1126">
        <f t="shared" si="32"/>
        <v>0</v>
      </c>
      <c r="R128" s="1128">
        <f t="shared" si="32"/>
        <v>0</v>
      </c>
      <c r="S128" s="744"/>
      <c r="T128" s="744"/>
      <c r="U128" s="744"/>
      <c r="V128" s="744"/>
      <c r="W128" s="744"/>
      <c r="X128" s="744"/>
      <c r="Y128" s="744"/>
      <c r="Z128" s="744"/>
      <c r="AA128" s="744"/>
      <c r="AB128" s="744"/>
      <c r="AC128" s="744"/>
      <c r="AD128" s="744"/>
      <c r="AE128" s="744"/>
    </row>
    <row r="129" spans="1:31" s="680" customFormat="1" ht="18" customHeight="1" thickBot="1" x14ac:dyDescent="0.35">
      <c r="A129" s="656">
        <v>122</v>
      </c>
      <c r="B129" s="1123"/>
      <c r="C129" s="784"/>
      <c r="D129" s="785"/>
      <c r="E129" s="1446" t="s">
        <v>869</v>
      </c>
      <c r="F129" s="786"/>
      <c r="G129" s="786"/>
      <c r="H129" s="786"/>
      <c r="I129" s="1358"/>
      <c r="J129" s="1458">
        <f>SUM(K129:R129)</f>
        <v>1437088</v>
      </c>
      <c r="K129" s="1459">
        <f>SUM(K67:K67,K71,K79:K79,K88:K88,K92,K96:K96,K108,K112,K125,K104,K117,K75,K84,K100,K121,)</f>
        <v>654202</v>
      </c>
      <c r="L129" s="1459">
        <f t="shared" ref="L129:R129" si="34">SUM(L67:L67,L71,L79:L79,L88:L88,L92,L96:L96,L108,L112,L125,L104,L117,L75,L84,L100,L121,)</f>
        <v>96621</v>
      </c>
      <c r="M129" s="1459">
        <f t="shared" si="34"/>
        <v>592032</v>
      </c>
      <c r="N129" s="1459">
        <f t="shared" si="34"/>
        <v>0</v>
      </c>
      <c r="O129" s="1459">
        <f t="shared" si="34"/>
        <v>480</v>
      </c>
      <c r="P129" s="1459">
        <f t="shared" si="34"/>
        <v>93753</v>
      </c>
      <c r="Q129" s="1459">
        <f t="shared" si="34"/>
        <v>0</v>
      </c>
      <c r="R129" s="1526">
        <f t="shared" si="34"/>
        <v>0</v>
      </c>
      <c r="S129" s="744"/>
      <c r="T129" s="744"/>
      <c r="U129" s="744"/>
      <c r="V129" s="744"/>
      <c r="W129" s="744"/>
      <c r="X129" s="744"/>
      <c r="Y129" s="744"/>
      <c r="Z129" s="744"/>
      <c r="AA129" s="744"/>
      <c r="AB129" s="744"/>
      <c r="AC129" s="744"/>
      <c r="AD129" s="744"/>
      <c r="AE129" s="744"/>
    </row>
    <row r="130" spans="1:31" s="706" customFormat="1" ht="22.5" customHeight="1" thickTop="1" x14ac:dyDescent="0.3">
      <c r="A130" s="656">
        <v>123</v>
      </c>
      <c r="B130" s="663">
        <v>16</v>
      </c>
      <c r="C130" s="729"/>
      <c r="D130" s="809" t="s">
        <v>237</v>
      </c>
      <c r="E130" s="809"/>
      <c r="F130" s="731" t="s">
        <v>23</v>
      </c>
      <c r="G130" s="667">
        <v>743417</v>
      </c>
      <c r="H130" s="667">
        <v>1199812</v>
      </c>
      <c r="I130" s="1353">
        <v>836795</v>
      </c>
      <c r="J130" s="762"/>
      <c r="K130" s="667"/>
      <c r="L130" s="667"/>
      <c r="M130" s="667"/>
      <c r="N130" s="667"/>
      <c r="O130" s="667"/>
      <c r="P130" s="667"/>
      <c r="Q130" s="667"/>
      <c r="R130" s="733"/>
      <c r="S130" s="747"/>
      <c r="T130" s="747"/>
      <c r="U130" s="747"/>
      <c r="V130" s="747"/>
      <c r="W130" s="747"/>
      <c r="X130" s="747"/>
      <c r="Y130" s="747"/>
      <c r="Z130" s="747"/>
      <c r="AA130" s="747"/>
      <c r="AB130" s="747"/>
      <c r="AC130" s="747"/>
      <c r="AD130" s="747"/>
      <c r="AE130" s="747"/>
    </row>
    <row r="131" spans="1:31" s="691" customFormat="1" ht="18" customHeight="1" x14ac:dyDescent="0.3">
      <c r="A131" s="656">
        <v>124</v>
      </c>
      <c r="B131" s="1132"/>
      <c r="C131" s="767"/>
      <c r="D131" s="767"/>
      <c r="E131" s="722" t="s">
        <v>268</v>
      </c>
      <c r="F131" s="768"/>
      <c r="G131" s="768"/>
      <c r="H131" s="768"/>
      <c r="I131" s="1359"/>
      <c r="J131" s="769">
        <f>SUM(K131:R131)</f>
        <v>1370985</v>
      </c>
      <c r="K131" s="770">
        <v>215144</v>
      </c>
      <c r="L131" s="770">
        <v>33952</v>
      </c>
      <c r="M131" s="770">
        <v>1121816</v>
      </c>
      <c r="N131" s="770"/>
      <c r="O131" s="770"/>
      <c r="P131" s="770">
        <v>73</v>
      </c>
      <c r="Q131" s="770"/>
      <c r="R131" s="771"/>
      <c r="S131" s="748"/>
      <c r="T131" s="748"/>
      <c r="U131" s="748"/>
      <c r="V131" s="748"/>
      <c r="W131" s="748"/>
      <c r="X131" s="748"/>
      <c r="Y131" s="748"/>
      <c r="Z131" s="748"/>
      <c r="AA131" s="748"/>
      <c r="AB131" s="748"/>
      <c r="AC131" s="748"/>
      <c r="AD131" s="748"/>
      <c r="AE131" s="748"/>
    </row>
    <row r="132" spans="1:31" s="691" customFormat="1" ht="18" customHeight="1" x14ac:dyDescent="0.3">
      <c r="A132" s="656">
        <v>125</v>
      </c>
      <c r="B132" s="1133"/>
      <c r="C132" s="1125"/>
      <c r="D132" s="849"/>
      <c r="E132" s="225" t="s">
        <v>796</v>
      </c>
      <c r="F132" s="766"/>
      <c r="G132" s="766"/>
      <c r="H132" s="766"/>
      <c r="I132" s="1355"/>
      <c r="J132" s="1127">
        <f t="shared" ref="J132:J133" si="35">SUM(K132:R132)</f>
        <v>1518297</v>
      </c>
      <c r="K132" s="1118">
        <v>270188</v>
      </c>
      <c r="L132" s="1118">
        <v>44908</v>
      </c>
      <c r="M132" s="1118">
        <v>1191128</v>
      </c>
      <c r="N132" s="1118"/>
      <c r="O132" s="1118"/>
      <c r="P132" s="1118">
        <v>12073</v>
      </c>
      <c r="Q132" s="1118"/>
      <c r="R132" s="1121"/>
      <c r="S132" s="748"/>
      <c r="T132" s="748"/>
      <c r="U132" s="748"/>
      <c r="V132" s="748"/>
      <c r="W132" s="748"/>
      <c r="X132" s="748"/>
      <c r="Y132" s="748"/>
      <c r="Z132" s="748"/>
      <c r="AA132" s="748"/>
      <c r="AB132" s="748"/>
      <c r="AC132" s="748"/>
      <c r="AD132" s="748"/>
      <c r="AE132" s="748"/>
    </row>
    <row r="133" spans="1:31" s="691" customFormat="1" ht="18" customHeight="1" thickBot="1" x14ac:dyDescent="0.35">
      <c r="A133" s="656">
        <v>126</v>
      </c>
      <c r="B133" s="1133"/>
      <c r="C133" s="1125"/>
      <c r="D133" s="849"/>
      <c r="E133" s="187" t="s">
        <v>868</v>
      </c>
      <c r="F133" s="766"/>
      <c r="G133" s="766"/>
      <c r="H133" s="766"/>
      <c r="I133" s="1355"/>
      <c r="J133" s="1309">
        <f t="shared" si="35"/>
        <v>605321</v>
      </c>
      <c r="K133" s="775">
        <v>89346</v>
      </c>
      <c r="L133" s="775">
        <v>13794</v>
      </c>
      <c r="M133" s="775">
        <v>494226</v>
      </c>
      <c r="N133" s="775"/>
      <c r="O133" s="775"/>
      <c r="P133" s="775">
        <v>7955</v>
      </c>
      <c r="Q133" s="1119"/>
      <c r="R133" s="1122"/>
      <c r="S133" s="748"/>
      <c r="T133" s="748"/>
      <c r="U133" s="748"/>
      <c r="V133" s="748"/>
      <c r="W133" s="748"/>
      <c r="X133" s="748"/>
      <c r="Y133" s="748"/>
      <c r="Z133" s="748"/>
      <c r="AA133" s="748"/>
      <c r="AB133" s="748"/>
      <c r="AC133" s="748"/>
      <c r="AD133" s="748"/>
      <c r="AE133" s="748"/>
    </row>
    <row r="134" spans="1:31" s="685" customFormat="1" ht="20.100000000000001" customHeight="1" x14ac:dyDescent="0.3">
      <c r="A134" s="656">
        <v>127</v>
      </c>
      <c r="B134" s="1588" t="s">
        <v>133</v>
      </c>
      <c r="C134" s="1589"/>
      <c r="D134" s="1589"/>
      <c r="E134" s="1590"/>
      <c r="F134" s="810"/>
      <c r="G134" s="811">
        <f>SUM(G130,G126,G60,G38)</f>
        <v>6169480</v>
      </c>
      <c r="H134" s="811">
        <f>SUM(H130,H126,H60,H38)</f>
        <v>6945818</v>
      </c>
      <c r="I134" s="1366">
        <f>SUM(I130,I126,I60,I38)</f>
        <v>6605523</v>
      </c>
      <c r="J134" s="812"/>
      <c r="K134" s="813"/>
      <c r="L134" s="813"/>
      <c r="M134" s="813"/>
      <c r="N134" s="813"/>
      <c r="O134" s="813"/>
      <c r="P134" s="813"/>
      <c r="Q134" s="813"/>
      <c r="R134" s="814"/>
      <c r="S134" s="815"/>
      <c r="T134" s="815"/>
      <c r="U134" s="815"/>
      <c r="V134" s="815"/>
      <c r="W134" s="815"/>
      <c r="X134" s="815"/>
      <c r="Y134" s="815"/>
      <c r="Z134" s="815"/>
      <c r="AA134" s="815"/>
      <c r="AB134" s="815"/>
      <c r="AC134" s="815"/>
      <c r="AD134" s="815"/>
      <c r="AE134" s="815"/>
    </row>
    <row r="135" spans="1:31" s="680" customFormat="1" ht="18" customHeight="1" x14ac:dyDescent="0.3">
      <c r="A135" s="656">
        <v>128</v>
      </c>
      <c r="B135" s="1132"/>
      <c r="C135" s="767"/>
      <c r="D135" s="767"/>
      <c r="E135" s="722" t="s">
        <v>268</v>
      </c>
      <c r="F135" s="768"/>
      <c r="G135" s="768"/>
      <c r="H135" s="768"/>
      <c r="I135" s="1359"/>
      <c r="J135" s="769">
        <f>SUM(K135:R135)</f>
        <v>7823516</v>
      </c>
      <c r="K135" s="770">
        <f t="shared" ref="K135:R137" si="36">SUM(K131,K127,K61,K39)</f>
        <v>4302843</v>
      </c>
      <c r="L135" s="770">
        <f t="shared" si="36"/>
        <v>636161</v>
      </c>
      <c r="M135" s="770">
        <f t="shared" si="36"/>
        <v>2756855</v>
      </c>
      <c r="N135" s="770">
        <f t="shared" si="36"/>
        <v>0</v>
      </c>
      <c r="O135" s="770">
        <f t="shared" si="36"/>
        <v>1200</v>
      </c>
      <c r="P135" s="770">
        <f t="shared" si="36"/>
        <v>126457</v>
      </c>
      <c r="Q135" s="770">
        <f t="shared" si="36"/>
        <v>0</v>
      </c>
      <c r="R135" s="771">
        <f t="shared" si="36"/>
        <v>0</v>
      </c>
      <c r="S135" s="744"/>
      <c r="T135" s="744"/>
      <c r="U135" s="744"/>
      <c r="V135" s="744"/>
      <c r="W135" s="744"/>
      <c r="X135" s="744"/>
      <c r="Y135" s="744"/>
      <c r="Z135" s="744"/>
      <c r="AA135" s="744"/>
      <c r="AB135" s="744"/>
      <c r="AC135" s="744"/>
      <c r="AD135" s="744"/>
      <c r="AE135" s="744"/>
    </row>
    <row r="136" spans="1:31" s="680" customFormat="1" ht="18" customHeight="1" x14ac:dyDescent="0.3">
      <c r="A136" s="656">
        <v>129</v>
      </c>
      <c r="B136" s="1133"/>
      <c r="C136" s="1125"/>
      <c r="D136" s="1125"/>
      <c r="E136" s="225" t="s">
        <v>796</v>
      </c>
      <c r="F136" s="766"/>
      <c r="G136" s="766"/>
      <c r="H136" s="766"/>
      <c r="I136" s="1367"/>
      <c r="J136" s="1127">
        <f t="shared" ref="J136:J137" si="37">SUM(K136:R136)</f>
        <v>8957557</v>
      </c>
      <c r="K136" s="1126">
        <f t="shared" si="36"/>
        <v>4579383</v>
      </c>
      <c r="L136" s="1126">
        <f t="shared" si="36"/>
        <v>672535</v>
      </c>
      <c r="M136" s="1126">
        <f t="shared" si="36"/>
        <v>3323065</v>
      </c>
      <c r="N136" s="1126">
        <f t="shared" si="36"/>
        <v>0</v>
      </c>
      <c r="O136" s="1126">
        <f t="shared" si="36"/>
        <v>1680</v>
      </c>
      <c r="P136" s="1126">
        <f t="shared" si="36"/>
        <v>380894</v>
      </c>
      <c r="Q136" s="1126">
        <f t="shared" si="36"/>
        <v>0</v>
      </c>
      <c r="R136" s="1128">
        <f t="shared" si="36"/>
        <v>0</v>
      </c>
      <c r="S136" s="744"/>
      <c r="T136" s="744"/>
      <c r="U136" s="744"/>
      <c r="V136" s="744"/>
      <c r="W136" s="744"/>
      <c r="X136" s="744"/>
      <c r="Y136" s="744"/>
      <c r="Z136" s="744"/>
      <c r="AA136" s="744"/>
      <c r="AB136" s="744"/>
      <c r="AC136" s="744"/>
      <c r="AD136" s="744"/>
      <c r="AE136" s="744"/>
    </row>
    <row r="137" spans="1:31" s="680" customFormat="1" ht="18" customHeight="1" thickBot="1" x14ac:dyDescent="0.35">
      <c r="A137" s="656">
        <v>130</v>
      </c>
      <c r="B137" s="1133"/>
      <c r="C137" s="1125"/>
      <c r="D137" s="1125"/>
      <c r="E137" s="187" t="s">
        <v>869</v>
      </c>
      <c r="F137" s="766"/>
      <c r="G137" s="766"/>
      <c r="H137" s="766"/>
      <c r="I137" s="1367"/>
      <c r="J137" s="1129">
        <f t="shared" si="37"/>
        <v>3918077</v>
      </c>
      <c r="K137" s="1130">
        <f t="shared" si="36"/>
        <v>2067347</v>
      </c>
      <c r="L137" s="1130">
        <f t="shared" si="36"/>
        <v>315666</v>
      </c>
      <c r="M137" s="1130">
        <f t="shared" si="36"/>
        <v>1423667</v>
      </c>
      <c r="N137" s="1130">
        <f t="shared" si="36"/>
        <v>0</v>
      </c>
      <c r="O137" s="1130">
        <f t="shared" si="36"/>
        <v>480</v>
      </c>
      <c r="P137" s="1130">
        <f t="shared" si="36"/>
        <v>110917</v>
      </c>
      <c r="Q137" s="1130">
        <f t="shared" si="36"/>
        <v>0</v>
      </c>
      <c r="R137" s="1329">
        <f t="shared" si="36"/>
        <v>0</v>
      </c>
      <c r="S137" s="744"/>
      <c r="T137" s="744"/>
      <c r="U137" s="744"/>
      <c r="V137" s="744"/>
      <c r="W137" s="744"/>
      <c r="X137" s="744"/>
      <c r="Y137" s="744"/>
      <c r="Z137" s="744"/>
      <c r="AA137" s="744"/>
      <c r="AB137" s="744"/>
      <c r="AC137" s="744"/>
      <c r="AD137" s="744"/>
      <c r="AE137" s="744"/>
    </row>
    <row r="138" spans="1:31" s="706" customFormat="1" ht="22.5" customHeight="1" x14ac:dyDescent="0.3">
      <c r="A138" s="656">
        <v>131</v>
      </c>
      <c r="B138" s="816">
        <v>17</v>
      </c>
      <c r="C138" s="817"/>
      <c r="D138" s="818" t="s">
        <v>26</v>
      </c>
      <c r="E138" s="819"/>
      <c r="F138" s="717" t="s">
        <v>23</v>
      </c>
      <c r="G138" s="820"/>
      <c r="H138" s="820"/>
      <c r="I138" s="1368"/>
      <c r="J138" s="821"/>
      <c r="K138" s="820"/>
      <c r="L138" s="820"/>
      <c r="M138" s="820"/>
      <c r="N138" s="820"/>
      <c r="O138" s="820"/>
      <c r="P138" s="820"/>
      <c r="Q138" s="820"/>
      <c r="R138" s="822"/>
      <c r="S138" s="747"/>
      <c r="T138" s="747"/>
      <c r="U138" s="747"/>
      <c r="V138" s="747"/>
      <c r="W138" s="747"/>
      <c r="X138" s="747"/>
      <c r="Y138" s="747"/>
      <c r="Z138" s="747"/>
      <c r="AA138" s="747"/>
      <c r="AB138" s="747"/>
      <c r="AC138" s="747"/>
      <c r="AD138" s="747"/>
      <c r="AE138" s="747"/>
    </row>
    <row r="139" spans="1:31" s="824" customFormat="1" ht="19.5" customHeight="1" x14ac:dyDescent="0.3">
      <c r="A139" s="656">
        <v>132</v>
      </c>
      <c r="B139" s="669"/>
      <c r="C139" s="670">
        <v>1</v>
      </c>
      <c r="D139" s="823" t="s">
        <v>140</v>
      </c>
      <c r="E139" s="823"/>
      <c r="F139" s="746"/>
      <c r="G139" s="672">
        <v>1222872</v>
      </c>
      <c r="H139" s="672">
        <v>1380645</v>
      </c>
      <c r="I139" s="1354">
        <v>1267931</v>
      </c>
      <c r="J139" s="763"/>
      <c r="K139" s="672"/>
      <c r="L139" s="672"/>
      <c r="M139" s="672"/>
      <c r="N139" s="672"/>
      <c r="O139" s="672"/>
      <c r="P139" s="672"/>
      <c r="Q139" s="672"/>
      <c r="R139" s="737"/>
      <c r="S139" s="312"/>
      <c r="T139" s="727"/>
      <c r="U139" s="727"/>
      <c r="V139" s="727"/>
      <c r="W139" s="727"/>
      <c r="X139" s="727"/>
      <c r="Y139" s="727"/>
      <c r="Z139" s="727"/>
      <c r="AA139" s="727"/>
      <c r="AB139" s="727"/>
      <c r="AC139" s="727"/>
      <c r="AD139" s="727"/>
      <c r="AE139" s="727"/>
    </row>
    <row r="140" spans="1:31" s="691" customFormat="1" ht="18" customHeight="1" x14ac:dyDescent="0.3">
      <c r="A140" s="656">
        <v>133</v>
      </c>
      <c r="B140" s="764"/>
      <c r="C140" s="825"/>
      <c r="D140" s="765"/>
      <c r="E140" s="826" t="s">
        <v>268</v>
      </c>
      <c r="F140" s="827"/>
      <c r="G140" s="766"/>
      <c r="H140" s="766"/>
      <c r="I140" s="1355"/>
      <c r="J140" s="741">
        <f>SUM(K140:R140)</f>
        <v>1510422</v>
      </c>
      <c r="K140" s="742">
        <v>1263305</v>
      </c>
      <c r="L140" s="742">
        <v>193517</v>
      </c>
      <c r="M140" s="742">
        <v>53600</v>
      </c>
      <c r="N140" s="742"/>
      <c r="O140" s="742"/>
      <c r="P140" s="742"/>
      <c r="Q140" s="742"/>
      <c r="R140" s="743"/>
      <c r="S140" s="748"/>
      <c r="T140" s="748"/>
      <c r="U140" s="748"/>
      <c r="V140" s="748"/>
      <c r="W140" s="748"/>
      <c r="X140" s="748"/>
      <c r="Y140" s="748"/>
      <c r="Z140" s="748"/>
      <c r="AA140" s="748"/>
      <c r="AB140" s="748"/>
      <c r="AC140" s="748"/>
      <c r="AD140" s="748"/>
      <c r="AE140" s="748"/>
    </row>
    <row r="141" spans="1:31" s="691" customFormat="1" ht="18" customHeight="1" x14ac:dyDescent="0.3">
      <c r="A141" s="656">
        <v>134</v>
      </c>
      <c r="B141" s="764"/>
      <c r="C141" s="825"/>
      <c r="D141" s="849"/>
      <c r="E141" s="224" t="s">
        <v>796</v>
      </c>
      <c r="F141" s="827"/>
      <c r="G141" s="766"/>
      <c r="H141" s="766"/>
      <c r="I141" s="1355"/>
      <c r="J141" s="736">
        <f t="shared" ref="J141:J142" si="38">SUM(K141:R141)</f>
        <v>1806832</v>
      </c>
      <c r="K141" s="1118">
        <v>1468241</v>
      </c>
      <c r="L141" s="1118">
        <v>244377</v>
      </c>
      <c r="M141" s="1118">
        <v>94214</v>
      </c>
      <c r="N141" s="742"/>
      <c r="O141" s="742"/>
      <c r="P141" s="742"/>
      <c r="Q141" s="742"/>
      <c r="R141" s="743"/>
      <c r="S141" s="748"/>
      <c r="T141" s="748"/>
      <c r="U141" s="748"/>
      <c r="V141" s="748"/>
      <c r="W141" s="748"/>
      <c r="X141" s="748"/>
      <c r="Y141" s="748"/>
      <c r="Z141" s="748"/>
      <c r="AA141" s="748"/>
      <c r="AB141" s="748"/>
      <c r="AC141" s="748"/>
      <c r="AD141" s="748"/>
      <c r="AE141" s="748"/>
    </row>
    <row r="142" spans="1:31" s="691" customFormat="1" ht="18" customHeight="1" x14ac:dyDescent="0.3">
      <c r="A142" s="656">
        <v>135</v>
      </c>
      <c r="B142" s="764"/>
      <c r="C142" s="825"/>
      <c r="D142" s="849"/>
      <c r="E142" s="976" t="s">
        <v>868</v>
      </c>
      <c r="F142" s="827"/>
      <c r="G142" s="766"/>
      <c r="H142" s="766"/>
      <c r="I142" s="1355"/>
      <c r="J142" s="1309">
        <f t="shared" si="38"/>
        <v>705794</v>
      </c>
      <c r="K142" s="775">
        <f>575641+11204-1</f>
        <v>586844</v>
      </c>
      <c r="L142" s="775">
        <f>102003+1456+1</f>
        <v>103460</v>
      </c>
      <c r="M142" s="775">
        <v>15490</v>
      </c>
      <c r="N142" s="742"/>
      <c r="O142" s="742"/>
      <c r="P142" s="742"/>
      <c r="Q142" s="742"/>
      <c r="R142" s="743"/>
      <c r="S142" s="748"/>
      <c r="T142" s="748"/>
      <c r="U142" s="748"/>
      <c r="V142" s="748"/>
      <c r="W142" s="748"/>
      <c r="X142" s="748"/>
      <c r="Y142" s="748"/>
      <c r="Z142" s="748"/>
      <c r="AA142" s="748"/>
      <c r="AB142" s="748"/>
      <c r="AC142" s="748"/>
      <c r="AD142" s="748"/>
      <c r="AE142" s="748"/>
    </row>
    <row r="143" spans="1:31" s="833" customFormat="1" ht="19.5" customHeight="1" x14ac:dyDescent="0.3">
      <c r="A143" s="656">
        <v>136</v>
      </c>
      <c r="B143" s="828"/>
      <c r="C143" s="829"/>
      <c r="D143" s="1641" t="s">
        <v>646</v>
      </c>
      <c r="E143" s="1642"/>
      <c r="F143" s="830"/>
      <c r="G143" s="674"/>
      <c r="H143" s="674"/>
      <c r="I143" s="1361"/>
      <c r="J143" s="763"/>
      <c r="K143" s="674"/>
      <c r="L143" s="674"/>
      <c r="M143" s="674"/>
      <c r="N143" s="674"/>
      <c r="O143" s="674"/>
      <c r="P143" s="674"/>
      <c r="Q143" s="674"/>
      <c r="R143" s="831"/>
      <c r="S143" s="129"/>
      <c r="T143" s="832"/>
      <c r="U143" s="832"/>
      <c r="V143" s="832"/>
      <c r="W143" s="832"/>
      <c r="X143" s="832"/>
      <c r="Y143" s="832"/>
      <c r="Z143" s="832"/>
      <c r="AA143" s="832"/>
      <c r="AB143" s="832"/>
      <c r="AC143" s="832"/>
      <c r="AD143" s="832"/>
      <c r="AE143" s="832"/>
    </row>
    <row r="144" spans="1:31" s="838" customFormat="1" ht="18" customHeight="1" x14ac:dyDescent="0.3">
      <c r="A144" s="656">
        <v>137</v>
      </c>
      <c r="B144" s="752"/>
      <c r="C144" s="834"/>
      <c r="D144" s="798"/>
      <c r="E144" s="835" t="s">
        <v>268</v>
      </c>
      <c r="F144" s="836"/>
      <c r="G144" s="800"/>
      <c r="H144" s="800"/>
      <c r="I144" s="1362"/>
      <c r="J144" s="801">
        <f>SUM(K144:R144)</f>
        <v>38693</v>
      </c>
      <c r="K144" s="802">
        <v>33500</v>
      </c>
      <c r="L144" s="802">
        <v>5193</v>
      </c>
      <c r="M144" s="802"/>
      <c r="N144" s="802"/>
      <c r="O144" s="802"/>
      <c r="P144" s="802"/>
      <c r="Q144" s="802"/>
      <c r="R144" s="803"/>
      <c r="S144" s="837"/>
      <c r="T144" s="837"/>
      <c r="U144" s="837"/>
      <c r="V144" s="837"/>
      <c r="W144" s="837"/>
      <c r="X144" s="837"/>
      <c r="Y144" s="837"/>
      <c r="Z144" s="837"/>
      <c r="AA144" s="837"/>
      <c r="AB144" s="837"/>
      <c r="AC144" s="837"/>
      <c r="AD144" s="837"/>
      <c r="AE144" s="837"/>
    </row>
    <row r="145" spans="1:31" s="838" customFormat="1" ht="18" customHeight="1" x14ac:dyDescent="0.3">
      <c r="A145" s="656">
        <v>138</v>
      </c>
      <c r="B145" s="752"/>
      <c r="C145" s="834"/>
      <c r="D145" s="1134"/>
      <c r="E145" s="224" t="s">
        <v>796</v>
      </c>
      <c r="F145" s="836"/>
      <c r="G145" s="800"/>
      <c r="H145" s="800"/>
      <c r="I145" s="1362"/>
      <c r="J145" s="763">
        <f t="shared" ref="J145:J146" si="39">SUM(K145:R145)</f>
        <v>38146</v>
      </c>
      <c r="K145" s="1119">
        <v>33734</v>
      </c>
      <c r="L145" s="1119">
        <v>4412</v>
      </c>
      <c r="M145" s="802"/>
      <c r="N145" s="802"/>
      <c r="O145" s="802"/>
      <c r="P145" s="802"/>
      <c r="Q145" s="802"/>
      <c r="R145" s="803"/>
      <c r="S145" s="837"/>
      <c r="T145" s="837"/>
      <c r="U145" s="837"/>
      <c r="V145" s="837"/>
      <c r="W145" s="837"/>
      <c r="X145" s="837"/>
      <c r="Y145" s="837"/>
      <c r="Z145" s="837"/>
      <c r="AA145" s="837"/>
      <c r="AB145" s="837"/>
      <c r="AC145" s="837"/>
      <c r="AD145" s="837"/>
      <c r="AE145" s="837"/>
    </row>
    <row r="146" spans="1:31" s="838" customFormat="1" ht="18" customHeight="1" x14ac:dyDescent="0.3">
      <c r="A146" s="656">
        <v>139</v>
      </c>
      <c r="B146" s="752"/>
      <c r="C146" s="834"/>
      <c r="D146" s="1134"/>
      <c r="E146" s="976" t="s">
        <v>868</v>
      </c>
      <c r="F146" s="836"/>
      <c r="G146" s="800"/>
      <c r="H146" s="800"/>
      <c r="I146" s="1362"/>
      <c r="J146" s="1309">
        <f t="shared" si="39"/>
        <v>12660</v>
      </c>
      <c r="K146" s="775">
        <v>11204</v>
      </c>
      <c r="L146" s="775">
        <v>1456</v>
      </c>
      <c r="M146" s="802"/>
      <c r="N146" s="802"/>
      <c r="O146" s="802"/>
      <c r="P146" s="802"/>
      <c r="Q146" s="802"/>
      <c r="R146" s="803"/>
      <c r="S146" s="837"/>
      <c r="T146" s="837"/>
      <c r="U146" s="837"/>
      <c r="V146" s="837"/>
      <c r="W146" s="837"/>
      <c r="X146" s="837"/>
      <c r="Y146" s="837"/>
      <c r="Z146" s="837"/>
      <c r="AA146" s="837"/>
      <c r="AB146" s="837"/>
      <c r="AC146" s="837"/>
      <c r="AD146" s="837"/>
      <c r="AE146" s="837"/>
    </row>
    <row r="147" spans="1:31" s="706" customFormat="1" ht="20.100000000000001" customHeight="1" x14ac:dyDescent="0.3">
      <c r="A147" s="656">
        <v>140</v>
      </c>
      <c r="B147" s="669"/>
      <c r="C147" s="670">
        <v>2</v>
      </c>
      <c r="D147" s="823" t="s">
        <v>141</v>
      </c>
      <c r="E147" s="823"/>
      <c r="F147" s="746"/>
      <c r="G147" s="672">
        <v>135967</v>
      </c>
      <c r="H147" s="672">
        <v>204402</v>
      </c>
      <c r="I147" s="1354">
        <v>130048</v>
      </c>
      <c r="J147" s="763"/>
      <c r="K147" s="672"/>
      <c r="L147" s="672"/>
      <c r="M147" s="672"/>
      <c r="N147" s="672"/>
      <c r="O147" s="672"/>
      <c r="P147" s="672"/>
      <c r="Q147" s="672"/>
      <c r="R147" s="737"/>
      <c r="S147" s="747"/>
      <c r="T147" s="747"/>
      <c r="U147" s="747"/>
      <c r="V147" s="747"/>
      <c r="W147" s="747"/>
      <c r="X147" s="747"/>
      <c r="Y147" s="747"/>
      <c r="Z147" s="747"/>
      <c r="AA147" s="747"/>
      <c r="AB147" s="747"/>
      <c r="AC147" s="747"/>
      <c r="AD147" s="747"/>
      <c r="AE147" s="747"/>
    </row>
    <row r="148" spans="1:31" s="691" customFormat="1" ht="18" customHeight="1" x14ac:dyDescent="0.3">
      <c r="A148" s="656">
        <v>141</v>
      </c>
      <c r="B148" s="764"/>
      <c r="C148" s="825"/>
      <c r="D148" s="765"/>
      <c r="E148" s="826" t="s">
        <v>268</v>
      </c>
      <c r="F148" s="827"/>
      <c r="G148" s="766"/>
      <c r="H148" s="766"/>
      <c r="I148" s="1355"/>
      <c r="J148" s="741">
        <f>SUM(K148:R148)</f>
        <v>273349</v>
      </c>
      <c r="K148" s="742">
        <v>3200</v>
      </c>
      <c r="L148" s="742">
        <v>1471</v>
      </c>
      <c r="M148" s="742">
        <v>217478</v>
      </c>
      <c r="N148" s="742"/>
      <c r="O148" s="742"/>
      <c r="P148" s="742">
        <v>51200</v>
      </c>
      <c r="Q148" s="742"/>
      <c r="R148" s="743"/>
      <c r="S148" s="748"/>
      <c r="T148" s="748"/>
      <c r="U148" s="748"/>
      <c r="V148" s="748"/>
      <c r="W148" s="748"/>
      <c r="X148" s="748"/>
      <c r="Y148" s="748"/>
      <c r="Z148" s="748"/>
      <c r="AA148" s="748"/>
      <c r="AB148" s="748"/>
      <c r="AC148" s="748"/>
      <c r="AD148" s="748"/>
      <c r="AE148" s="748"/>
    </row>
    <row r="149" spans="1:31" s="691" customFormat="1" ht="18" customHeight="1" x14ac:dyDescent="0.3">
      <c r="A149" s="656">
        <v>142</v>
      </c>
      <c r="B149" s="764"/>
      <c r="C149" s="825"/>
      <c r="D149" s="849"/>
      <c r="E149" s="224" t="s">
        <v>796</v>
      </c>
      <c r="F149" s="827"/>
      <c r="G149" s="766"/>
      <c r="H149" s="766"/>
      <c r="I149" s="1355"/>
      <c r="J149" s="736">
        <f t="shared" ref="J149:J150" si="40">SUM(K149:R149)</f>
        <v>409878</v>
      </c>
      <c r="K149" s="1118">
        <v>3200</v>
      </c>
      <c r="L149" s="1118">
        <v>1962</v>
      </c>
      <c r="M149" s="1118">
        <v>328486</v>
      </c>
      <c r="N149" s="1118"/>
      <c r="O149" s="1118"/>
      <c r="P149" s="1118">
        <v>76230</v>
      </c>
      <c r="Q149" s="742"/>
      <c r="R149" s="743"/>
      <c r="S149" s="748"/>
      <c r="T149" s="748"/>
      <c r="U149" s="748"/>
      <c r="V149" s="748"/>
      <c r="W149" s="748"/>
      <c r="X149" s="748"/>
      <c r="Y149" s="748"/>
      <c r="Z149" s="748"/>
      <c r="AA149" s="748"/>
      <c r="AB149" s="748"/>
      <c r="AC149" s="748"/>
      <c r="AD149" s="748"/>
      <c r="AE149" s="748"/>
    </row>
    <row r="150" spans="1:31" s="691" customFormat="1" ht="18" customHeight="1" x14ac:dyDescent="0.3">
      <c r="A150" s="656">
        <v>143</v>
      </c>
      <c r="B150" s="764"/>
      <c r="C150" s="825"/>
      <c r="D150" s="849"/>
      <c r="E150" s="976" t="s">
        <v>868</v>
      </c>
      <c r="F150" s="827"/>
      <c r="G150" s="766"/>
      <c r="H150" s="766"/>
      <c r="I150" s="1355"/>
      <c r="J150" s="1309">
        <f t="shared" si="40"/>
        <v>93850</v>
      </c>
      <c r="K150" s="1119">
        <v>779</v>
      </c>
      <c r="L150" s="775">
        <v>732</v>
      </c>
      <c r="M150" s="775">
        <f>89449+49</f>
        <v>89498</v>
      </c>
      <c r="N150" s="775"/>
      <c r="O150" s="775"/>
      <c r="P150" s="775">
        <v>2841</v>
      </c>
      <c r="Q150" s="742"/>
      <c r="R150" s="743"/>
      <c r="S150" s="748"/>
      <c r="T150" s="748"/>
      <c r="U150" s="748"/>
      <c r="V150" s="748"/>
      <c r="W150" s="748"/>
      <c r="X150" s="748"/>
      <c r="Y150" s="748"/>
      <c r="Z150" s="748"/>
      <c r="AA150" s="748"/>
      <c r="AB150" s="748"/>
      <c r="AC150" s="748"/>
      <c r="AD150" s="748"/>
      <c r="AE150" s="748"/>
    </row>
    <row r="151" spans="1:31" s="706" customFormat="1" ht="20.100000000000001" customHeight="1" x14ac:dyDescent="0.3">
      <c r="A151" s="656">
        <v>144</v>
      </c>
      <c r="B151" s="669"/>
      <c r="C151" s="670">
        <v>3</v>
      </c>
      <c r="D151" s="823" t="s">
        <v>33</v>
      </c>
      <c r="E151" s="823"/>
      <c r="F151" s="746"/>
      <c r="G151" s="672">
        <v>85976</v>
      </c>
      <c r="H151" s="672">
        <v>101862</v>
      </c>
      <c r="I151" s="1354">
        <v>75732</v>
      </c>
      <c r="J151" s="763"/>
      <c r="K151" s="672"/>
      <c r="L151" s="672"/>
      <c r="M151" s="672"/>
      <c r="N151" s="672"/>
      <c r="O151" s="672"/>
      <c r="P151" s="672"/>
      <c r="Q151" s="672"/>
      <c r="R151" s="737"/>
      <c r="S151" s="747"/>
      <c r="T151" s="747"/>
      <c r="U151" s="747"/>
      <c r="V151" s="747"/>
      <c r="W151" s="747"/>
      <c r="X151" s="747"/>
      <c r="Y151" s="747"/>
      <c r="Z151" s="747"/>
      <c r="AA151" s="747"/>
      <c r="AB151" s="747"/>
      <c r="AC151" s="747"/>
      <c r="AD151" s="747"/>
      <c r="AE151" s="747"/>
    </row>
    <row r="152" spans="1:31" s="691" customFormat="1" ht="18" customHeight="1" x14ac:dyDescent="0.3">
      <c r="A152" s="656">
        <v>145</v>
      </c>
      <c r="B152" s="764"/>
      <c r="C152" s="825"/>
      <c r="D152" s="765"/>
      <c r="E152" s="826" t="s">
        <v>268</v>
      </c>
      <c r="F152" s="827"/>
      <c r="G152" s="766"/>
      <c r="H152" s="766"/>
      <c r="I152" s="1355"/>
      <c r="J152" s="741">
        <f>SUM(K152:R152)</f>
        <v>108699</v>
      </c>
      <c r="K152" s="742"/>
      <c r="L152" s="742"/>
      <c r="M152" s="742">
        <f>108699-16900</f>
        <v>91799</v>
      </c>
      <c r="N152" s="742"/>
      <c r="O152" s="742"/>
      <c r="P152" s="742">
        <v>16900</v>
      </c>
      <c r="Q152" s="742"/>
      <c r="R152" s="743"/>
      <c r="S152" s="748"/>
      <c r="T152" s="748"/>
      <c r="U152" s="748"/>
      <c r="V152" s="748"/>
      <c r="W152" s="748"/>
      <c r="X152" s="748"/>
      <c r="Y152" s="748"/>
      <c r="Z152" s="748"/>
      <c r="AA152" s="748"/>
      <c r="AB152" s="748"/>
      <c r="AC152" s="748"/>
      <c r="AD152" s="748"/>
      <c r="AE152" s="748"/>
    </row>
    <row r="153" spans="1:31" s="691" customFormat="1" ht="18" customHeight="1" x14ac:dyDescent="0.3">
      <c r="A153" s="656">
        <v>146</v>
      </c>
      <c r="B153" s="764"/>
      <c r="C153" s="825"/>
      <c r="D153" s="849"/>
      <c r="E153" s="224" t="s">
        <v>796</v>
      </c>
      <c r="F153" s="827"/>
      <c r="G153" s="766"/>
      <c r="H153" s="766"/>
      <c r="I153" s="1355"/>
      <c r="J153" s="736">
        <f t="shared" ref="J153:J154" si="41">SUM(K153:R153)</f>
        <v>166650</v>
      </c>
      <c r="K153" s="1118"/>
      <c r="L153" s="1118"/>
      <c r="M153" s="1118">
        <v>131069</v>
      </c>
      <c r="N153" s="1118"/>
      <c r="O153" s="1118"/>
      <c r="P153" s="1118">
        <v>35581</v>
      </c>
      <c r="Q153" s="742"/>
      <c r="R153" s="743"/>
      <c r="S153" s="748"/>
      <c r="T153" s="748"/>
      <c r="U153" s="748"/>
      <c r="V153" s="748"/>
      <c r="W153" s="748"/>
      <c r="X153" s="748"/>
      <c r="Y153" s="748"/>
      <c r="Z153" s="748"/>
      <c r="AA153" s="748"/>
      <c r="AB153" s="748"/>
      <c r="AC153" s="748"/>
      <c r="AD153" s="748"/>
      <c r="AE153" s="748"/>
    </row>
    <row r="154" spans="1:31" s="691" customFormat="1" ht="18" customHeight="1" x14ac:dyDescent="0.3">
      <c r="A154" s="656">
        <v>147</v>
      </c>
      <c r="B154" s="764"/>
      <c r="C154" s="825"/>
      <c r="D154" s="849"/>
      <c r="E154" s="976" t="s">
        <v>869</v>
      </c>
      <c r="F154" s="827"/>
      <c r="G154" s="766"/>
      <c r="H154" s="766"/>
      <c r="I154" s="1355"/>
      <c r="J154" s="1309">
        <f t="shared" si="41"/>
        <v>39154</v>
      </c>
      <c r="K154" s="1119"/>
      <c r="L154" s="1119"/>
      <c r="M154" s="775">
        <v>31698</v>
      </c>
      <c r="N154" s="775"/>
      <c r="O154" s="775"/>
      <c r="P154" s="775">
        <v>7456</v>
      </c>
      <c r="Q154" s="742"/>
      <c r="R154" s="743"/>
      <c r="S154" s="748"/>
      <c r="T154" s="748"/>
      <c r="U154" s="748"/>
      <c r="V154" s="748"/>
      <c r="W154" s="748"/>
      <c r="X154" s="748"/>
      <c r="Y154" s="748"/>
      <c r="Z154" s="748"/>
      <c r="AA154" s="748"/>
      <c r="AB154" s="748"/>
      <c r="AC154" s="748"/>
      <c r="AD154" s="748"/>
      <c r="AE154" s="748"/>
    </row>
    <row r="155" spans="1:31" s="706" customFormat="1" ht="20.100000000000001" customHeight="1" x14ac:dyDescent="0.3">
      <c r="A155" s="656">
        <v>148</v>
      </c>
      <c r="B155" s="669"/>
      <c r="C155" s="670">
        <v>4</v>
      </c>
      <c r="D155" s="823" t="s">
        <v>497</v>
      </c>
      <c r="E155" s="823"/>
      <c r="F155" s="746"/>
      <c r="G155" s="672">
        <v>71</v>
      </c>
      <c r="H155" s="672">
        <v>7631</v>
      </c>
      <c r="I155" s="1354">
        <v>3556</v>
      </c>
      <c r="J155" s="763"/>
      <c r="K155" s="672"/>
      <c r="L155" s="672"/>
      <c r="M155" s="672"/>
      <c r="N155" s="672"/>
      <c r="O155" s="672"/>
      <c r="P155" s="672"/>
      <c r="Q155" s="672"/>
      <c r="R155" s="737"/>
      <c r="S155" s="747"/>
      <c r="T155" s="747"/>
      <c r="U155" s="747"/>
      <c r="V155" s="747"/>
      <c r="W155" s="747"/>
      <c r="X155" s="747"/>
      <c r="Y155" s="747"/>
      <c r="Z155" s="747"/>
      <c r="AA155" s="747"/>
      <c r="AB155" s="747"/>
      <c r="AC155" s="747"/>
      <c r="AD155" s="747"/>
      <c r="AE155" s="747"/>
    </row>
    <row r="156" spans="1:31" s="706" customFormat="1" ht="30" customHeight="1" x14ac:dyDescent="0.3">
      <c r="A156" s="656">
        <v>149</v>
      </c>
      <c r="B156" s="764"/>
      <c r="C156" s="705">
        <v>5</v>
      </c>
      <c r="D156" s="1601" t="s">
        <v>367</v>
      </c>
      <c r="E156" s="1602"/>
      <c r="F156" s="746"/>
      <c r="G156" s="793"/>
      <c r="H156" s="793">
        <v>3250</v>
      </c>
      <c r="I156" s="1360"/>
      <c r="J156" s="736"/>
      <c r="K156" s="750"/>
      <c r="L156" s="750"/>
      <c r="M156" s="1118"/>
      <c r="N156" s="1118"/>
      <c r="O156" s="840"/>
      <c r="P156" s="840"/>
      <c r="Q156" s="840"/>
      <c r="R156" s="841"/>
      <c r="S156" s="747"/>
      <c r="T156" s="747"/>
      <c r="U156" s="747"/>
      <c r="V156" s="747"/>
      <c r="W156" s="747"/>
      <c r="X156" s="747"/>
      <c r="Y156" s="747"/>
      <c r="Z156" s="747"/>
      <c r="AA156" s="747"/>
      <c r="AB156" s="747"/>
      <c r="AC156" s="747"/>
      <c r="AD156" s="747"/>
      <c r="AE156" s="747"/>
    </row>
    <row r="157" spans="1:31" s="706" customFormat="1" ht="35.25" customHeight="1" x14ac:dyDescent="0.3">
      <c r="A157" s="656">
        <v>150</v>
      </c>
      <c r="B157" s="764"/>
      <c r="C157" s="705">
        <v>6</v>
      </c>
      <c r="D157" s="1643" t="s">
        <v>464</v>
      </c>
      <c r="E157" s="1644"/>
      <c r="F157" s="1645"/>
      <c r="G157" s="793"/>
      <c r="H157" s="793">
        <v>6000</v>
      </c>
      <c r="I157" s="1360"/>
      <c r="J157" s="736"/>
      <c r="K157" s="1118"/>
      <c r="L157" s="1118"/>
      <c r="M157" s="1118"/>
      <c r="N157" s="1118"/>
      <c r="O157" s="840"/>
      <c r="P157" s="840"/>
      <c r="Q157" s="840"/>
      <c r="R157" s="841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  <c r="AC157" s="747"/>
      <c r="AD157" s="747"/>
      <c r="AE157" s="747"/>
    </row>
    <row r="158" spans="1:31" s="660" customFormat="1" ht="30" customHeight="1" x14ac:dyDescent="0.3">
      <c r="A158" s="656">
        <v>151</v>
      </c>
      <c r="B158" s="764"/>
      <c r="C158" s="705">
        <v>7</v>
      </c>
      <c r="D158" s="1646" t="s">
        <v>334</v>
      </c>
      <c r="E158" s="1647"/>
      <c r="F158" s="845"/>
      <c r="G158" s="793"/>
      <c r="H158" s="793">
        <v>5962</v>
      </c>
      <c r="I158" s="1360"/>
      <c r="J158" s="736"/>
      <c r="K158" s="1118"/>
      <c r="L158" s="1118"/>
      <c r="M158" s="1118"/>
      <c r="N158" s="1118"/>
      <c r="O158" s="840"/>
      <c r="P158" s="840"/>
      <c r="Q158" s="840"/>
      <c r="R158" s="841"/>
      <c r="S158" s="749"/>
      <c r="T158" s="749"/>
      <c r="U158" s="749"/>
      <c r="V158" s="749"/>
      <c r="W158" s="749"/>
      <c r="X158" s="749"/>
      <c r="Y158" s="749"/>
      <c r="Z158" s="749"/>
      <c r="AA158" s="749"/>
      <c r="AB158" s="749"/>
      <c r="AC158" s="749"/>
      <c r="AD158" s="749"/>
      <c r="AE158" s="749"/>
    </row>
    <row r="159" spans="1:31" s="660" customFormat="1" ht="19.5" customHeight="1" x14ac:dyDescent="0.3">
      <c r="A159" s="656">
        <v>152</v>
      </c>
      <c r="B159" s="764"/>
      <c r="C159" s="670">
        <v>8</v>
      </c>
      <c r="D159" s="823" t="s">
        <v>349</v>
      </c>
      <c r="E159" s="846"/>
      <c r="F159" s="806"/>
      <c r="G159" s="793"/>
      <c r="H159" s="793">
        <v>12000</v>
      </c>
      <c r="I159" s="1360"/>
      <c r="J159" s="736"/>
      <c r="K159" s="1118"/>
      <c r="L159" s="1118"/>
      <c r="M159" s="1118"/>
      <c r="N159" s="1118"/>
      <c r="O159" s="840"/>
      <c r="P159" s="840"/>
      <c r="Q159" s="840"/>
      <c r="R159" s="841"/>
      <c r="S159" s="749"/>
      <c r="T159" s="749"/>
      <c r="U159" s="749"/>
      <c r="V159" s="749"/>
      <c r="W159" s="749"/>
      <c r="X159" s="749"/>
      <c r="Y159" s="749"/>
      <c r="Z159" s="749"/>
      <c r="AA159" s="749"/>
      <c r="AB159" s="749"/>
      <c r="AC159" s="749"/>
      <c r="AD159" s="749"/>
      <c r="AE159" s="749"/>
    </row>
    <row r="160" spans="1:31" s="680" customFormat="1" ht="18" customHeight="1" x14ac:dyDescent="0.3">
      <c r="A160" s="656">
        <v>153</v>
      </c>
      <c r="B160" s="764"/>
      <c r="C160" s="825"/>
      <c r="D160" s="765"/>
      <c r="E160" s="826" t="s">
        <v>268</v>
      </c>
      <c r="F160" s="842"/>
      <c r="G160" s="766"/>
      <c r="H160" s="766"/>
      <c r="I160" s="1355"/>
      <c r="J160" s="741">
        <f>SUM(K160:R160)</f>
        <v>12000</v>
      </c>
      <c r="K160" s="742">
        <v>10042</v>
      </c>
      <c r="L160" s="742">
        <v>1958</v>
      </c>
      <c r="M160" s="742"/>
      <c r="N160" s="742"/>
      <c r="O160" s="843"/>
      <c r="P160" s="843"/>
      <c r="Q160" s="843"/>
      <c r="R160" s="844"/>
      <c r="S160" s="744"/>
      <c r="T160" s="744"/>
      <c r="U160" s="744"/>
      <c r="V160" s="744"/>
      <c r="W160" s="744"/>
      <c r="X160" s="744"/>
      <c r="Y160" s="744"/>
      <c r="Z160" s="744"/>
      <c r="AA160" s="744"/>
      <c r="AB160" s="744"/>
      <c r="AC160" s="744"/>
      <c r="AD160" s="744"/>
      <c r="AE160" s="744"/>
    </row>
    <row r="161" spans="1:31" s="680" customFormat="1" ht="18" customHeight="1" x14ac:dyDescent="0.3">
      <c r="A161" s="656">
        <v>154</v>
      </c>
      <c r="B161" s="764"/>
      <c r="C161" s="825"/>
      <c r="D161" s="849"/>
      <c r="E161" s="224" t="s">
        <v>796</v>
      </c>
      <c r="F161" s="842"/>
      <c r="G161" s="766"/>
      <c r="H161" s="766"/>
      <c r="I161" s="1355"/>
      <c r="J161" s="736">
        <f t="shared" ref="J161:J162" si="42">SUM(K161:R161)</f>
        <v>0</v>
      </c>
      <c r="K161" s="1118">
        <v>0</v>
      </c>
      <c r="L161" s="1118">
        <v>0</v>
      </c>
      <c r="M161" s="742"/>
      <c r="N161" s="742"/>
      <c r="O161" s="843"/>
      <c r="P161" s="843"/>
      <c r="Q161" s="843"/>
      <c r="R161" s="844"/>
      <c r="S161" s="744"/>
      <c r="T161" s="744"/>
      <c r="U161" s="744"/>
      <c r="V161" s="744"/>
      <c r="W161" s="744"/>
      <c r="X161" s="744"/>
      <c r="Y161" s="744"/>
      <c r="Z161" s="744"/>
      <c r="AA161" s="744"/>
      <c r="AB161" s="744"/>
      <c r="AC161" s="744"/>
      <c r="AD161" s="744"/>
      <c r="AE161" s="744"/>
    </row>
    <row r="162" spans="1:31" s="680" customFormat="1" ht="18" customHeight="1" x14ac:dyDescent="0.3">
      <c r="A162" s="656">
        <v>155</v>
      </c>
      <c r="B162" s="764"/>
      <c r="C162" s="825"/>
      <c r="D162" s="849"/>
      <c r="E162" s="976" t="s">
        <v>868</v>
      </c>
      <c r="F162" s="842"/>
      <c r="G162" s="766"/>
      <c r="H162" s="766"/>
      <c r="I162" s="1355"/>
      <c r="J162" s="1309">
        <f t="shared" si="42"/>
        <v>0</v>
      </c>
      <c r="K162" s="775"/>
      <c r="L162" s="775"/>
      <c r="M162" s="742"/>
      <c r="N162" s="742"/>
      <c r="O162" s="843"/>
      <c r="P162" s="843"/>
      <c r="Q162" s="843"/>
      <c r="R162" s="844"/>
      <c r="S162" s="744"/>
      <c r="T162" s="744"/>
      <c r="U162" s="744"/>
      <c r="V162" s="744"/>
      <c r="W162" s="744"/>
      <c r="X162" s="744"/>
      <c r="Y162" s="744"/>
      <c r="Z162" s="744"/>
      <c r="AA162" s="744"/>
      <c r="AB162" s="744"/>
      <c r="AC162" s="744"/>
      <c r="AD162" s="744"/>
      <c r="AE162" s="744"/>
    </row>
    <row r="163" spans="1:31" s="660" customFormat="1" ht="19.5" customHeight="1" x14ac:dyDescent="0.3">
      <c r="A163" s="656">
        <v>156</v>
      </c>
      <c r="B163" s="764"/>
      <c r="C163" s="670">
        <v>9</v>
      </c>
      <c r="D163" s="823" t="s">
        <v>365</v>
      </c>
      <c r="E163" s="847"/>
      <c r="F163" s="845"/>
      <c r="G163" s="793">
        <v>2237</v>
      </c>
      <c r="H163" s="793">
        <v>76</v>
      </c>
      <c r="I163" s="1360"/>
      <c r="J163" s="736"/>
      <c r="K163" s="1118"/>
      <c r="L163" s="1118"/>
      <c r="M163" s="1118"/>
      <c r="N163" s="1118"/>
      <c r="O163" s="840"/>
      <c r="P163" s="840"/>
      <c r="Q163" s="840"/>
      <c r="R163" s="841"/>
      <c r="S163" s="749"/>
      <c r="T163" s="749"/>
      <c r="U163" s="749"/>
      <c r="V163" s="749"/>
      <c r="W163" s="749"/>
      <c r="X163" s="749"/>
      <c r="Y163" s="749"/>
      <c r="Z163" s="749"/>
      <c r="AA163" s="749"/>
      <c r="AB163" s="749"/>
      <c r="AC163" s="749"/>
      <c r="AD163" s="749"/>
      <c r="AE163" s="749"/>
    </row>
    <row r="164" spans="1:31" s="833" customFormat="1" ht="19.5" customHeight="1" x14ac:dyDescent="0.3">
      <c r="A164" s="656">
        <v>157</v>
      </c>
      <c r="B164" s="828"/>
      <c r="C164" s="670">
        <v>10</v>
      </c>
      <c r="D164" s="823" t="s">
        <v>500</v>
      </c>
      <c r="E164" s="848"/>
      <c r="F164" s="830"/>
      <c r="G164" s="674">
        <v>2181</v>
      </c>
      <c r="H164" s="674"/>
      <c r="I164" s="1361"/>
      <c r="J164" s="763"/>
      <c r="K164" s="674"/>
      <c r="L164" s="674"/>
      <c r="M164" s="674"/>
      <c r="N164" s="674"/>
      <c r="O164" s="674"/>
      <c r="P164" s="674"/>
      <c r="Q164" s="674"/>
      <c r="R164" s="831"/>
      <c r="S164" s="129"/>
      <c r="T164" s="832"/>
      <c r="U164" s="832"/>
      <c r="V164" s="832"/>
      <c r="W164" s="832"/>
      <c r="X164" s="832"/>
      <c r="Y164" s="832"/>
      <c r="Z164" s="832"/>
      <c r="AA164" s="832"/>
      <c r="AB164" s="832"/>
      <c r="AC164" s="832"/>
      <c r="AD164" s="832"/>
      <c r="AE164" s="832"/>
    </row>
    <row r="165" spans="1:31" s="660" customFormat="1" ht="18" customHeight="1" x14ac:dyDescent="0.3">
      <c r="A165" s="656">
        <v>158</v>
      </c>
      <c r="B165" s="764"/>
      <c r="C165" s="670">
        <v>11</v>
      </c>
      <c r="D165" s="823" t="s">
        <v>413</v>
      </c>
      <c r="E165" s="847"/>
      <c r="F165" s="746"/>
      <c r="G165" s="793">
        <v>9817</v>
      </c>
      <c r="H165" s="793">
        <v>3524</v>
      </c>
      <c r="I165" s="1360">
        <v>6075</v>
      </c>
      <c r="J165" s="736"/>
      <c r="K165" s="1118"/>
      <c r="L165" s="1118"/>
      <c r="M165" s="1118"/>
      <c r="N165" s="1118"/>
      <c r="O165" s="840"/>
      <c r="P165" s="840"/>
      <c r="Q165" s="840"/>
      <c r="R165" s="841"/>
      <c r="S165" s="749"/>
      <c r="T165" s="749"/>
      <c r="U165" s="749"/>
      <c r="V165" s="749"/>
      <c r="W165" s="749"/>
      <c r="X165" s="749"/>
      <c r="Y165" s="749"/>
      <c r="Z165" s="749"/>
      <c r="AA165" s="749"/>
      <c r="AB165" s="749"/>
      <c r="AC165" s="749"/>
      <c r="AD165" s="749"/>
      <c r="AE165" s="749"/>
    </row>
    <row r="166" spans="1:31" s="660" customFormat="1" ht="18" customHeight="1" x14ac:dyDescent="0.3">
      <c r="A166" s="656">
        <v>159</v>
      </c>
      <c r="B166" s="764"/>
      <c r="C166" s="670">
        <v>12</v>
      </c>
      <c r="D166" s="823" t="s">
        <v>499</v>
      </c>
      <c r="E166" s="847"/>
      <c r="F166" s="746"/>
      <c r="G166" s="793">
        <v>26713</v>
      </c>
      <c r="H166" s="793">
        <v>2271</v>
      </c>
      <c r="I166" s="1360">
        <v>4262</v>
      </c>
      <c r="J166" s="736"/>
      <c r="K166" s="742"/>
      <c r="L166" s="742"/>
      <c r="M166" s="1118"/>
      <c r="N166" s="1118"/>
      <c r="O166" s="840"/>
      <c r="P166" s="840"/>
      <c r="Q166" s="840"/>
      <c r="R166" s="841"/>
      <c r="S166" s="749"/>
      <c r="T166" s="749"/>
      <c r="U166" s="749"/>
      <c r="V166" s="749"/>
      <c r="W166" s="749"/>
      <c r="X166" s="749"/>
      <c r="Y166" s="749"/>
      <c r="Z166" s="749"/>
      <c r="AA166" s="749"/>
      <c r="AB166" s="749"/>
      <c r="AC166" s="749"/>
      <c r="AD166" s="749"/>
      <c r="AE166" s="749"/>
    </row>
    <row r="167" spans="1:31" s="660" customFormat="1" ht="18" customHeight="1" x14ac:dyDescent="0.3">
      <c r="A167" s="656">
        <v>160</v>
      </c>
      <c r="B167" s="764"/>
      <c r="C167" s="670">
        <v>13</v>
      </c>
      <c r="D167" s="823" t="s">
        <v>856</v>
      </c>
      <c r="E167" s="847"/>
      <c r="F167" s="746"/>
      <c r="G167" s="793"/>
      <c r="H167" s="793">
        <v>35000</v>
      </c>
      <c r="I167" s="1360">
        <v>35483</v>
      </c>
      <c r="J167" s="736"/>
      <c r="K167" s="742"/>
      <c r="L167" s="742"/>
      <c r="M167" s="1118"/>
      <c r="N167" s="1118"/>
      <c r="O167" s="840"/>
      <c r="P167" s="840"/>
      <c r="Q167" s="840"/>
      <c r="R167" s="841"/>
      <c r="S167" s="749"/>
      <c r="T167" s="749"/>
      <c r="U167" s="749"/>
      <c r="V167" s="749"/>
      <c r="W167" s="749"/>
      <c r="X167" s="749"/>
      <c r="Y167" s="749"/>
      <c r="Z167" s="749"/>
      <c r="AA167" s="749"/>
      <c r="AB167" s="749"/>
      <c r="AC167" s="749"/>
      <c r="AD167" s="749"/>
      <c r="AE167" s="749"/>
    </row>
    <row r="168" spans="1:31" s="660" customFormat="1" ht="18" customHeight="1" x14ac:dyDescent="0.3">
      <c r="A168" s="656">
        <v>161</v>
      </c>
      <c r="B168" s="764"/>
      <c r="C168" s="670"/>
      <c r="D168" s="765"/>
      <c r="E168" s="826" t="s">
        <v>268</v>
      </c>
      <c r="F168" s="746"/>
      <c r="G168" s="793"/>
      <c r="H168" s="793"/>
      <c r="I168" s="1360"/>
      <c r="J168" s="741">
        <f>SUM(K168:R168)</f>
        <v>64</v>
      </c>
      <c r="K168" s="742">
        <v>55</v>
      </c>
      <c r="L168" s="742">
        <v>9</v>
      </c>
      <c r="M168" s="1118"/>
      <c r="N168" s="1118"/>
      <c r="O168" s="840"/>
      <c r="P168" s="840"/>
      <c r="Q168" s="840"/>
      <c r="R168" s="841"/>
      <c r="S168" s="749"/>
      <c r="T168" s="749"/>
      <c r="U168" s="749"/>
      <c r="V168" s="749"/>
      <c r="W168" s="749"/>
      <c r="X168" s="749"/>
      <c r="Y168" s="749"/>
      <c r="Z168" s="749"/>
      <c r="AA168" s="749"/>
      <c r="AB168" s="749"/>
      <c r="AC168" s="749"/>
      <c r="AD168" s="749"/>
      <c r="AE168" s="749"/>
    </row>
    <row r="169" spans="1:31" s="660" customFormat="1" ht="18" customHeight="1" x14ac:dyDescent="0.3">
      <c r="A169" s="656">
        <v>162</v>
      </c>
      <c r="B169" s="764"/>
      <c r="C169" s="670"/>
      <c r="D169" s="849"/>
      <c r="E169" s="224" t="s">
        <v>796</v>
      </c>
      <c r="F169" s="746"/>
      <c r="G169" s="793"/>
      <c r="H169" s="793"/>
      <c r="I169" s="1360"/>
      <c r="J169" s="736">
        <f t="shared" ref="J169:J170" si="43">SUM(K169:R169)</f>
        <v>2802</v>
      </c>
      <c r="K169" s="1118">
        <v>2480</v>
      </c>
      <c r="L169" s="1118">
        <v>322</v>
      </c>
      <c r="M169" s="1118"/>
      <c r="N169" s="1118"/>
      <c r="O169" s="840"/>
      <c r="P169" s="840"/>
      <c r="Q169" s="840"/>
      <c r="R169" s="841"/>
      <c r="S169" s="749"/>
      <c r="T169" s="749"/>
      <c r="U169" s="749"/>
      <c r="V169" s="749"/>
      <c r="W169" s="749"/>
      <c r="X169" s="749"/>
      <c r="Y169" s="749"/>
      <c r="Z169" s="749"/>
      <c r="AA169" s="749"/>
      <c r="AB169" s="749"/>
      <c r="AC169" s="749"/>
      <c r="AD169" s="749"/>
      <c r="AE169" s="749"/>
    </row>
    <row r="170" spans="1:31" s="660" customFormat="1" ht="18" customHeight="1" x14ac:dyDescent="0.3">
      <c r="A170" s="656">
        <v>163</v>
      </c>
      <c r="B170" s="764"/>
      <c r="C170" s="670"/>
      <c r="D170" s="849"/>
      <c r="E170" s="976" t="s">
        <v>869</v>
      </c>
      <c r="F170" s="746"/>
      <c r="G170" s="793"/>
      <c r="H170" s="793"/>
      <c r="I170" s="1360"/>
      <c r="J170" s="1309">
        <f t="shared" si="43"/>
        <v>2802</v>
      </c>
      <c r="K170" s="775">
        <v>2480</v>
      </c>
      <c r="L170" s="775">
        <v>322</v>
      </c>
      <c r="M170" s="1118"/>
      <c r="N170" s="1118"/>
      <c r="O170" s="840"/>
      <c r="P170" s="840"/>
      <c r="Q170" s="840"/>
      <c r="R170" s="841"/>
      <c r="S170" s="749"/>
      <c r="T170" s="749"/>
      <c r="U170" s="749"/>
      <c r="V170" s="749"/>
      <c r="W170" s="749"/>
      <c r="X170" s="749"/>
      <c r="Y170" s="749"/>
      <c r="Z170" s="749"/>
      <c r="AA170" s="749"/>
      <c r="AB170" s="749"/>
      <c r="AC170" s="749"/>
      <c r="AD170" s="749"/>
      <c r="AE170" s="749"/>
    </row>
    <row r="171" spans="1:31" s="660" customFormat="1" ht="18" customHeight="1" x14ac:dyDescent="0.3">
      <c r="A171" s="656">
        <v>164</v>
      </c>
      <c r="B171" s="764"/>
      <c r="C171" s="670">
        <v>14</v>
      </c>
      <c r="D171" s="823" t="s">
        <v>507</v>
      </c>
      <c r="E171" s="826"/>
      <c r="F171" s="746"/>
      <c r="G171" s="793"/>
      <c r="H171" s="793"/>
      <c r="I171" s="1360">
        <v>10046</v>
      </c>
      <c r="J171" s="741"/>
      <c r="K171" s="742"/>
      <c r="L171" s="742"/>
      <c r="M171" s="1118"/>
      <c r="N171" s="1118"/>
      <c r="O171" s="840"/>
      <c r="P171" s="840"/>
      <c r="Q171" s="840"/>
      <c r="R171" s="841"/>
      <c r="S171" s="749"/>
      <c r="T171" s="749"/>
      <c r="U171" s="749"/>
      <c r="V171" s="749"/>
      <c r="W171" s="749"/>
      <c r="X171" s="749"/>
      <c r="Y171" s="749"/>
      <c r="Z171" s="749"/>
      <c r="AA171" s="749"/>
      <c r="AB171" s="749"/>
      <c r="AC171" s="749"/>
      <c r="AD171" s="749"/>
      <c r="AE171" s="749"/>
    </row>
    <row r="172" spans="1:31" s="660" customFormat="1" ht="30.75" customHeight="1" x14ac:dyDescent="0.3">
      <c r="A172" s="656">
        <v>165</v>
      </c>
      <c r="B172" s="764"/>
      <c r="C172" s="705">
        <v>15</v>
      </c>
      <c r="D172" s="1601" t="s">
        <v>473</v>
      </c>
      <c r="E172" s="1640"/>
      <c r="F172" s="1640"/>
      <c r="G172" s="1602"/>
      <c r="H172" s="793">
        <v>22650</v>
      </c>
      <c r="I172" s="1360"/>
      <c r="J172" s="736"/>
      <c r="K172" s="1118"/>
      <c r="L172" s="1118"/>
      <c r="M172" s="1118"/>
      <c r="N172" s="1118"/>
      <c r="O172" s="840"/>
      <c r="P172" s="840"/>
      <c r="Q172" s="840"/>
      <c r="R172" s="841"/>
      <c r="S172" s="749"/>
      <c r="T172" s="749"/>
      <c r="U172" s="749"/>
      <c r="V172" s="749"/>
      <c r="W172" s="749"/>
      <c r="X172" s="749"/>
      <c r="Y172" s="749"/>
      <c r="Z172" s="749"/>
      <c r="AA172" s="749"/>
      <c r="AB172" s="749"/>
      <c r="AC172" s="749"/>
      <c r="AD172" s="749"/>
      <c r="AE172" s="749"/>
    </row>
    <row r="173" spans="1:31" s="660" customFormat="1" ht="18" customHeight="1" x14ac:dyDescent="0.3">
      <c r="A173" s="656">
        <v>166</v>
      </c>
      <c r="B173" s="764"/>
      <c r="C173" s="670"/>
      <c r="D173" s="823"/>
      <c r="E173" s="826" t="s">
        <v>268</v>
      </c>
      <c r="F173" s="746"/>
      <c r="G173" s="793"/>
      <c r="H173" s="793"/>
      <c r="I173" s="1360"/>
      <c r="J173" s="741">
        <f>SUM(K173:R173)</f>
        <v>22650</v>
      </c>
      <c r="K173" s="742">
        <v>19277</v>
      </c>
      <c r="L173" s="742">
        <v>3373</v>
      </c>
      <c r="M173" s="1118"/>
      <c r="N173" s="1118"/>
      <c r="O173" s="840"/>
      <c r="P173" s="840"/>
      <c r="Q173" s="840"/>
      <c r="R173" s="841"/>
      <c r="S173" s="749"/>
      <c r="T173" s="749"/>
      <c r="U173" s="749"/>
      <c r="V173" s="749"/>
      <c r="W173" s="749"/>
      <c r="X173" s="749"/>
      <c r="Y173" s="749"/>
      <c r="Z173" s="749"/>
      <c r="AA173" s="749"/>
      <c r="AB173" s="749"/>
      <c r="AC173" s="749"/>
      <c r="AD173" s="749"/>
      <c r="AE173" s="749"/>
    </row>
    <row r="174" spans="1:31" s="660" customFormat="1" ht="18" customHeight="1" x14ac:dyDescent="0.3">
      <c r="A174" s="656">
        <v>167</v>
      </c>
      <c r="B174" s="764"/>
      <c r="C174" s="670"/>
      <c r="D174" s="823"/>
      <c r="E174" s="224" t="s">
        <v>796</v>
      </c>
      <c r="F174" s="746"/>
      <c r="G174" s="793"/>
      <c r="H174" s="793"/>
      <c r="I174" s="1360"/>
      <c r="J174" s="736">
        <f t="shared" ref="J174:J175" si="44">SUM(K174:R174)</f>
        <v>0</v>
      </c>
      <c r="K174" s="1118">
        <v>0</v>
      </c>
      <c r="L174" s="1118">
        <v>0</v>
      </c>
      <c r="M174" s="1118"/>
      <c r="N174" s="1118"/>
      <c r="O174" s="840"/>
      <c r="P174" s="840"/>
      <c r="Q174" s="840"/>
      <c r="R174" s="841"/>
      <c r="S174" s="749"/>
      <c r="T174" s="749"/>
      <c r="U174" s="749"/>
      <c r="V174" s="749"/>
      <c r="W174" s="749"/>
      <c r="X174" s="749"/>
      <c r="Y174" s="749"/>
      <c r="Z174" s="749"/>
      <c r="AA174" s="749"/>
      <c r="AB174" s="749"/>
      <c r="AC174" s="749"/>
      <c r="AD174" s="749"/>
      <c r="AE174" s="749"/>
    </row>
    <row r="175" spans="1:31" s="660" customFormat="1" ht="18" customHeight="1" x14ac:dyDescent="0.3">
      <c r="A175" s="656">
        <v>168</v>
      </c>
      <c r="B175" s="764"/>
      <c r="C175" s="670"/>
      <c r="D175" s="823"/>
      <c r="E175" s="976" t="s">
        <v>868</v>
      </c>
      <c r="F175" s="746"/>
      <c r="G175" s="793"/>
      <c r="H175" s="793"/>
      <c r="I175" s="1360"/>
      <c r="J175" s="763">
        <f t="shared" si="44"/>
        <v>0</v>
      </c>
      <c r="K175" s="775"/>
      <c r="L175" s="775"/>
      <c r="M175" s="1118"/>
      <c r="N175" s="1118"/>
      <c r="O175" s="840"/>
      <c r="P175" s="840"/>
      <c r="Q175" s="840"/>
      <c r="R175" s="841"/>
      <c r="S175" s="749"/>
      <c r="T175" s="749"/>
      <c r="U175" s="749"/>
      <c r="V175" s="749"/>
      <c r="W175" s="749"/>
      <c r="X175" s="749"/>
      <c r="Y175" s="749"/>
      <c r="Z175" s="749"/>
      <c r="AA175" s="749"/>
      <c r="AB175" s="749"/>
      <c r="AC175" s="749"/>
      <c r="AD175" s="749"/>
      <c r="AE175" s="749"/>
    </row>
    <row r="176" spans="1:31" s="660" customFormat="1" ht="18" customHeight="1" x14ac:dyDescent="0.3">
      <c r="A176" s="656">
        <v>169</v>
      </c>
      <c r="B176" s="764"/>
      <c r="C176" s="670">
        <v>16</v>
      </c>
      <c r="D176" s="1631" t="s">
        <v>376</v>
      </c>
      <c r="E176" s="1632"/>
      <c r="F176" s="746"/>
      <c r="G176" s="793"/>
      <c r="H176" s="793">
        <v>39749</v>
      </c>
      <c r="I176" s="1360">
        <v>1728</v>
      </c>
      <c r="J176" s="736"/>
      <c r="K176" s="1118"/>
      <c r="L176" s="1118"/>
      <c r="M176" s="1118"/>
      <c r="N176" s="1118"/>
      <c r="O176" s="840"/>
      <c r="P176" s="840"/>
      <c r="Q176" s="840"/>
      <c r="R176" s="841"/>
      <c r="S176" s="749"/>
      <c r="T176" s="749"/>
      <c r="U176" s="749"/>
      <c r="V176" s="749"/>
      <c r="W176" s="749"/>
      <c r="X176" s="749"/>
      <c r="Y176" s="749"/>
      <c r="Z176" s="749"/>
      <c r="AA176" s="749"/>
      <c r="AB176" s="749"/>
      <c r="AC176" s="749"/>
      <c r="AD176" s="749"/>
      <c r="AE176" s="749"/>
    </row>
    <row r="177" spans="1:31" s="660" customFormat="1" ht="19.5" customHeight="1" x14ac:dyDescent="0.3">
      <c r="A177" s="656">
        <v>170</v>
      </c>
      <c r="B177" s="764"/>
      <c r="C177" s="670">
        <v>17</v>
      </c>
      <c r="D177" s="823" t="s">
        <v>462</v>
      </c>
      <c r="E177" s="847"/>
      <c r="F177" s="845"/>
      <c r="G177" s="793">
        <v>2297</v>
      </c>
      <c r="H177" s="793">
        <v>282</v>
      </c>
      <c r="I177" s="1360">
        <v>560</v>
      </c>
      <c r="J177" s="736"/>
      <c r="K177" s="1118"/>
      <c r="L177" s="1118"/>
      <c r="M177" s="1118"/>
      <c r="N177" s="1118"/>
      <c r="O177" s="840"/>
      <c r="P177" s="840"/>
      <c r="Q177" s="840"/>
      <c r="R177" s="841"/>
      <c r="S177" s="749"/>
      <c r="T177" s="749"/>
      <c r="U177" s="749"/>
      <c r="V177" s="749"/>
      <c r="W177" s="749"/>
      <c r="X177" s="749"/>
      <c r="Y177" s="749"/>
      <c r="Z177" s="749"/>
      <c r="AA177" s="749"/>
      <c r="AB177" s="749"/>
      <c r="AC177" s="749"/>
      <c r="AD177" s="749"/>
      <c r="AE177" s="749"/>
    </row>
    <row r="178" spans="1:31" s="660" customFormat="1" ht="19.5" customHeight="1" x14ac:dyDescent="0.3">
      <c r="A178" s="656">
        <v>171</v>
      </c>
      <c r="B178" s="764"/>
      <c r="C178" s="670">
        <v>18</v>
      </c>
      <c r="D178" s="823" t="s">
        <v>43</v>
      </c>
      <c r="E178" s="847"/>
      <c r="F178" s="845"/>
      <c r="G178" s="793">
        <v>36</v>
      </c>
      <c r="H178" s="793"/>
      <c r="I178" s="1360"/>
      <c r="J178" s="736"/>
      <c r="K178" s="1118"/>
      <c r="L178" s="1118"/>
      <c r="M178" s="1118"/>
      <c r="N178" s="1118"/>
      <c r="O178" s="840"/>
      <c r="P178" s="840"/>
      <c r="Q178" s="840"/>
      <c r="R178" s="841"/>
      <c r="S178" s="749"/>
      <c r="T178" s="749"/>
      <c r="U178" s="749"/>
      <c r="V178" s="749"/>
      <c r="W178" s="749"/>
      <c r="X178" s="749"/>
      <c r="Y178" s="749"/>
      <c r="Z178" s="749"/>
      <c r="AA178" s="749"/>
      <c r="AB178" s="749"/>
      <c r="AC178" s="749"/>
      <c r="AD178" s="749"/>
      <c r="AE178" s="749"/>
    </row>
    <row r="179" spans="1:31" s="660" customFormat="1" ht="19.5" customHeight="1" x14ac:dyDescent="0.3">
      <c r="A179" s="656">
        <v>172</v>
      </c>
      <c r="B179" s="764"/>
      <c r="C179" s="670">
        <v>19</v>
      </c>
      <c r="D179" s="823" t="s">
        <v>401</v>
      </c>
      <c r="E179" s="847"/>
      <c r="F179" s="845"/>
      <c r="G179" s="793">
        <v>2474</v>
      </c>
      <c r="H179" s="793">
        <v>625</v>
      </c>
      <c r="I179" s="1360">
        <v>5939</v>
      </c>
      <c r="J179" s="736"/>
      <c r="K179" s="1118"/>
      <c r="L179" s="1118"/>
      <c r="M179" s="1118"/>
      <c r="N179" s="1118"/>
      <c r="O179" s="840"/>
      <c r="P179" s="840"/>
      <c r="Q179" s="840"/>
      <c r="R179" s="841"/>
      <c r="S179" s="749"/>
      <c r="T179" s="749"/>
      <c r="U179" s="749"/>
      <c r="V179" s="749"/>
      <c r="W179" s="749"/>
      <c r="X179" s="749"/>
      <c r="Y179" s="749"/>
      <c r="Z179" s="749"/>
      <c r="AA179" s="749"/>
      <c r="AB179" s="749"/>
      <c r="AC179" s="749"/>
      <c r="AD179" s="749"/>
      <c r="AE179" s="749"/>
    </row>
    <row r="180" spans="1:31" s="680" customFormat="1" ht="18" customHeight="1" x14ac:dyDescent="0.3">
      <c r="A180" s="656">
        <v>173</v>
      </c>
      <c r="B180" s="764"/>
      <c r="C180" s="825"/>
      <c r="D180" s="765"/>
      <c r="E180" s="826" t="s">
        <v>268</v>
      </c>
      <c r="F180" s="842"/>
      <c r="G180" s="766"/>
      <c r="H180" s="766"/>
      <c r="I180" s="1355"/>
      <c r="J180" s="741">
        <f>SUM(K180:R180)</f>
        <v>4850</v>
      </c>
      <c r="K180" s="742">
        <f>311+3896</f>
        <v>4207</v>
      </c>
      <c r="L180" s="742">
        <f>39+604</f>
        <v>643</v>
      </c>
      <c r="M180" s="742"/>
      <c r="N180" s="742"/>
      <c r="O180" s="843"/>
      <c r="P180" s="843"/>
      <c r="Q180" s="843"/>
      <c r="R180" s="844"/>
      <c r="S180" s="744"/>
      <c r="T180" s="744"/>
      <c r="U180" s="744"/>
      <c r="V180" s="744"/>
      <c r="W180" s="744"/>
      <c r="X180" s="744"/>
      <c r="Y180" s="744"/>
      <c r="Z180" s="744"/>
      <c r="AA180" s="744"/>
      <c r="AB180" s="744"/>
      <c r="AC180" s="744"/>
      <c r="AD180" s="744"/>
      <c r="AE180" s="744"/>
    </row>
    <row r="181" spans="1:31" s="680" customFormat="1" ht="18" customHeight="1" x14ac:dyDescent="0.3">
      <c r="A181" s="656">
        <v>174</v>
      </c>
      <c r="B181" s="764"/>
      <c r="C181" s="825"/>
      <c r="D181" s="849"/>
      <c r="E181" s="224" t="s">
        <v>796</v>
      </c>
      <c r="F181" s="842"/>
      <c r="G181" s="766"/>
      <c r="H181" s="766"/>
      <c r="I181" s="1355"/>
      <c r="J181" s="736">
        <f t="shared" ref="J181:J182" si="45">SUM(K181:R181)</f>
        <v>4850</v>
      </c>
      <c r="K181" s="1118">
        <v>4207</v>
      </c>
      <c r="L181" s="1118">
        <v>643</v>
      </c>
      <c r="M181" s="742"/>
      <c r="N181" s="742"/>
      <c r="O181" s="843"/>
      <c r="P181" s="843"/>
      <c r="Q181" s="843"/>
      <c r="R181" s="844"/>
      <c r="S181" s="744"/>
      <c r="T181" s="744"/>
      <c r="U181" s="744"/>
      <c r="V181" s="744"/>
      <c r="W181" s="744"/>
      <c r="X181" s="744"/>
      <c r="Y181" s="744"/>
      <c r="Z181" s="744"/>
      <c r="AA181" s="744"/>
      <c r="AB181" s="744"/>
      <c r="AC181" s="744"/>
      <c r="AD181" s="744"/>
      <c r="AE181" s="744"/>
    </row>
    <row r="182" spans="1:31" s="680" customFormat="1" ht="18" customHeight="1" x14ac:dyDescent="0.3">
      <c r="A182" s="656">
        <v>175</v>
      </c>
      <c r="B182" s="764"/>
      <c r="C182" s="825"/>
      <c r="D182" s="849"/>
      <c r="E182" s="976" t="s">
        <v>869</v>
      </c>
      <c r="F182" s="842"/>
      <c r="G182" s="766"/>
      <c r="H182" s="766"/>
      <c r="I182" s="1355"/>
      <c r="J182" s="1309">
        <f t="shared" si="45"/>
        <v>3092</v>
      </c>
      <c r="K182" s="775">
        <v>2727</v>
      </c>
      <c r="L182" s="775">
        <v>365</v>
      </c>
      <c r="M182" s="742"/>
      <c r="N182" s="742"/>
      <c r="O182" s="843"/>
      <c r="P182" s="843"/>
      <c r="Q182" s="843"/>
      <c r="R182" s="844"/>
      <c r="S182" s="744"/>
      <c r="T182" s="744"/>
      <c r="U182" s="744"/>
      <c r="V182" s="744"/>
      <c r="W182" s="744"/>
      <c r="X182" s="744"/>
      <c r="Y182" s="744"/>
      <c r="Z182" s="744"/>
      <c r="AA182" s="744"/>
      <c r="AB182" s="744"/>
      <c r="AC182" s="744"/>
      <c r="AD182" s="744"/>
      <c r="AE182" s="744"/>
    </row>
    <row r="183" spans="1:31" s="660" customFormat="1" ht="19.5" customHeight="1" x14ac:dyDescent="0.3">
      <c r="A183" s="656">
        <v>176</v>
      </c>
      <c r="B183" s="764"/>
      <c r="C183" s="670">
        <v>20</v>
      </c>
      <c r="D183" s="823" t="s">
        <v>508</v>
      </c>
      <c r="E183" s="847"/>
      <c r="F183" s="845"/>
      <c r="G183" s="793"/>
      <c r="H183" s="793">
        <v>63255</v>
      </c>
      <c r="I183" s="1360">
        <v>47060</v>
      </c>
      <c r="J183" s="736"/>
      <c r="K183" s="1118"/>
      <c r="L183" s="1118"/>
      <c r="M183" s="1118"/>
      <c r="N183" s="1118"/>
      <c r="O183" s="840"/>
      <c r="P183" s="840"/>
      <c r="Q183" s="840"/>
      <c r="R183" s="841"/>
      <c r="S183" s="749"/>
      <c r="T183" s="749"/>
      <c r="U183" s="749"/>
      <c r="V183" s="749"/>
      <c r="W183" s="749"/>
      <c r="X183" s="749"/>
      <c r="Y183" s="749"/>
      <c r="Z183" s="749"/>
      <c r="AA183" s="749"/>
      <c r="AB183" s="749"/>
      <c r="AC183" s="749"/>
      <c r="AD183" s="749"/>
      <c r="AE183" s="749"/>
    </row>
    <row r="184" spans="1:31" s="680" customFormat="1" ht="18" customHeight="1" x14ac:dyDescent="0.3">
      <c r="A184" s="656">
        <v>177</v>
      </c>
      <c r="B184" s="764"/>
      <c r="C184" s="825"/>
      <c r="D184" s="765"/>
      <c r="E184" s="826" t="s">
        <v>268</v>
      </c>
      <c r="F184" s="842"/>
      <c r="G184" s="766"/>
      <c r="H184" s="766"/>
      <c r="I184" s="1355"/>
      <c r="J184" s="741">
        <f>SUM(K184:R184)</f>
        <v>60256</v>
      </c>
      <c r="K184" s="742">
        <v>51001</v>
      </c>
      <c r="L184" s="742">
        <v>7905</v>
      </c>
      <c r="M184" s="742">
        <v>1350</v>
      </c>
      <c r="N184" s="742"/>
      <c r="O184" s="843"/>
      <c r="P184" s="843"/>
      <c r="Q184" s="843"/>
      <c r="R184" s="844"/>
      <c r="S184" s="744"/>
      <c r="T184" s="744"/>
      <c r="U184" s="744"/>
      <c r="V184" s="744"/>
      <c r="W184" s="744"/>
      <c r="X184" s="744"/>
      <c r="Y184" s="744"/>
      <c r="Z184" s="744"/>
      <c r="AA184" s="744"/>
      <c r="AB184" s="744"/>
      <c r="AC184" s="744"/>
      <c r="AD184" s="744"/>
      <c r="AE184" s="744"/>
    </row>
    <row r="185" spans="1:31" s="680" customFormat="1" ht="18" customHeight="1" x14ac:dyDescent="0.3">
      <c r="A185" s="656">
        <v>178</v>
      </c>
      <c r="B185" s="764"/>
      <c r="C185" s="825"/>
      <c r="D185" s="849"/>
      <c r="E185" s="224" t="s">
        <v>796</v>
      </c>
      <c r="F185" s="842"/>
      <c r="G185" s="766"/>
      <c r="H185" s="766"/>
      <c r="I185" s="1355"/>
      <c r="J185" s="736">
        <f t="shared" ref="J185:J186" si="46">SUM(K185:R185)</f>
        <v>60256</v>
      </c>
      <c r="K185" s="1118">
        <v>51001</v>
      </c>
      <c r="L185" s="1118">
        <v>7905</v>
      </c>
      <c r="M185" s="1118">
        <v>1350</v>
      </c>
      <c r="N185" s="742"/>
      <c r="O185" s="843"/>
      <c r="P185" s="843"/>
      <c r="Q185" s="843"/>
      <c r="R185" s="844"/>
      <c r="S185" s="744"/>
      <c r="T185" s="744"/>
      <c r="U185" s="744"/>
      <c r="V185" s="744"/>
      <c r="W185" s="744"/>
      <c r="X185" s="744"/>
      <c r="Y185" s="744"/>
      <c r="Z185" s="744"/>
      <c r="AA185" s="744"/>
      <c r="AB185" s="744"/>
      <c r="AC185" s="744"/>
      <c r="AD185" s="744"/>
      <c r="AE185" s="744"/>
    </row>
    <row r="186" spans="1:31" s="680" customFormat="1" ht="18" customHeight="1" x14ac:dyDescent="0.3">
      <c r="A186" s="656">
        <v>179</v>
      </c>
      <c r="B186" s="764"/>
      <c r="C186" s="825"/>
      <c r="D186" s="849"/>
      <c r="E186" s="976" t="s">
        <v>869</v>
      </c>
      <c r="F186" s="842"/>
      <c r="G186" s="766"/>
      <c r="H186" s="766"/>
      <c r="I186" s="1355"/>
      <c r="J186" s="1309">
        <f t="shared" si="46"/>
        <v>0</v>
      </c>
      <c r="K186" s="1119"/>
      <c r="L186" s="1119"/>
      <c r="M186" s="1119"/>
      <c r="N186" s="742"/>
      <c r="O186" s="843"/>
      <c r="P186" s="843"/>
      <c r="Q186" s="843"/>
      <c r="R186" s="844"/>
      <c r="S186" s="744"/>
      <c r="T186" s="744"/>
      <c r="U186" s="744"/>
      <c r="V186" s="744"/>
      <c r="W186" s="744"/>
      <c r="X186" s="744"/>
      <c r="Y186" s="744"/>
      <c r="Z186" s="744"/>
      <c r="AA186" s="744"/>
      <c r="AB186" s="744"/>
      <c r="AC186" s="744"/>
      <c r="AD186" s="744"/>
      <c r="AE186" s="744"/>
    </row>
    <row r="187" spans="1:31" s="706" customFormat="1" ht="30" customHeight="1" x14ac:dyDescent="0.3">
      <c r="A187" s="656">
        <v>180</v>
      </c>
      <c r="B187" s="764"/>
      <c r="C187" s="705">
        <v>21</v>
      </c>
      <c r="D187" s="1601" t="s">
        <v>509</v>
      </c>
      <c r="E187" s="1602"/>
      <c r="F187" s="746"/>
      <c r="G187" s="793"/>
      <c r="H187" s="793"/>
      <c r="I187" s="1360">
        <v>3794</v>
      </c>
      <c r="J187" s="736"/>
      <c r="K187" s="750"/>
      <c r="L187" s="750"/>
      <c r="M187" s="1118"/>
      <c r="N187" s="1118"/>
      <c r="O187" s="840"/>
      <c r="P187" s="840"/>
      <c r="Q187" s="840"/>
      <c r="R187" s="841"/>
      <c r="S187" s="747"/>
      <c r="T187" s="747"/>
      <c r="U187" s="747"/>
      <c r="V187" s="747"/>
      <c r="W187" s="747"/>
      <c r="X187" s="747"/>
      <c r="Y187" s="747"/>
      <c r="Z187" s="747"/>
      <c r="AA187" s="747"/>
      <c r="AB187" s="747"/>
      <c r="AC187" s="747"/>
      <c r="AD187" s="747"/>
      <c r="AE187" s="747"/>
    </row>
    <row r="188" spans="1:31" s="660" customFormat="1" ht="19.5" customHeight="1" x14ac:dyDescent="0.3">
      <c r="A188" s="656">
        <v>181</v>
      </c>
      <c r="B188" s="764"/>
      <c r="C188" s="670"/>
      <c r="D188" s="823"/>
      <c r="E188" s="826" t="s">
        <v>268</v>
      </c>
      <c r="F188" s="746"/>
      <c r="G188" s="793"/>
      <c r="H188" s="793"/>
      <c r="I188" s="1360"/>
      <c r="J188" s="741">
        <f>SUM(K188:R188)</f>
        <v>6651</v>
      </c>
      <c r="K188" s="742">
        <f>555+5318</f>
        <v>5873</v>
      </c>
      <c r="L188" s="742">
        <f>87+691</f>
        <v>778</v>
      </c>
      <c r="M188" s="1118"/>
      <c r="N188" s="1118"/>
      <c r="O188" s="840"/>
      <c r="P188" s="840"/>
      <c r="Q188" s="840"/>
      <c r="R188" s="841"/>
      <c r="S188" s="749"/>
      <c r="T188" s="749"/>
      <c r="U188" s="749"/>
      <c r="V188" s="749"/>
      <c r="W188" s="749"/>
      <c r="X188" s="749"/>
      <c r="Y188" s="749"/>
      <c r="Z188" s="749"/>
      <c r="AA188" s="749"/>
      <c r="AB188" s="749"/>
      <c r="AC188" s="749"/>
      <c r="AD188" s="749"/>
      <c r="AE188" s="749"/>
    </row>
    <row r="189" spans="1:31" s="660" customFormat="1" ht="19.5" customHeight="1" x14ac:dyDescent="0.3">
      <c r="A189" s="656">
        <v>182</v>
      </c>
      <c r="B189" s="764"/>
      <c r="C189" s="670"/>
      <c r="D189" s="823"/>
      <c r="E189" s="224" t="s">
        <v>796</v>
      </c>
      <c r="F189" s="746"/>
      <c r="G189" s="793"/>
      <c r="H189" s="793"/>
      <c r="I189" s="1360"/>
      <c r="J189" s="736">
        <f t="shared" ref="J189:J190" si="47">SUM(K189:R189)</f>
        <v>6651</v>
      </c>
      <c r="K189" s="1118">
        <v>5873</v>
      </c>
      <c r="L189" s="1118">
        <v>778</v>
      </c>
      <c r="M189" s="1118"/>
      <c r="N189" s="1118"/>
      <c r="O189" s="840"/>
      <c r="P189" s="840"/>
      <c r="Q189" s="840"/>
      <c r="R189" s="841"/>
      <c r="S189" s="749"/>
      <c r="T189" s="749"/>
      <c r="U189" s="749"/>
      <c r="V189" s="749"/>
      <c r="W189" s="749"/>
      <c r="X189" s="749"/>
      <c r="Y189" s="749"/>
      <c r="Z189" s="749"/>
      <c r="AA189" s="749"/>
      <c r="AB189" s="749"/>
      <c r="AC189" s="749"/>
      <c r="AD189" s="749"/>
      <c r="AE189" s="749"/>
    </row>
    <row r="190" spans="1:31" s="660" customFormat="1" ht="19.5" customHeight="1" x14ac:dyDescent="0.3">
      <c r="A190" s="656">
        <v>183</v>
      </c>
      <c r="B190" s="764"/>
      <c r="C190" s="670"/>
      <c r="D190" s="823"/>
      <c r="E190" s="976" t="s">
        <v>869</v>
      </c>
      <c r="F190" s="746"/>
      <c r="G190" s="793"/>
      <c r="H190" s="793"/>
      <c r="I190" s="1360"/>
      <c r="J190" s="1309">
        <f t="shared" si="47"/>
        <v>2831</v>
      </c>
      <c r="K190" s="775">
        <v>2496</v>
      </c>
      <c r="L190" s="775">
        <v>335</v>
      </c>
      <c r="M190" s="1118"/>
      <c r="N190" s="1118"/>
      <c r="O190" s="840"/>
      <c r="P190" s="840"/>
      <c r="Q190" s="840"/>
      <c r="R190" s="841"/>
      <c r="S190" s="749"/>
      <c r="T190" s="749"/>
      <c r="U190" s="749"/>
      <c r="V190" s="749"/>
      <c r="W190" s="749"/>
      <c r="X190" s="749"/>
      <c r="Y190" s="749"/>
      <c r="Z190" s="749"/>
      <c r="AA190" s="749"/>
      <c r="AB190" s="749"/>
      <c r="AC190" s="749"/>
      <c r="AD190" s="749"/>
      <c r="AE190" s="749"/>
    </row>
    <row r="191" spans="1:31" s="660" customFormat="1" ht="19.5" customHeight="1" x14ac:dyDescent="0.3">
      <c r="A191" s="656">
        <v>184</v>
      </c>
      <c r="B191" s="764"/>
      <c r="C191" s="670">
        <v>22</v>
      </c>
      <c r="D191" s="1601" t="s">
        <v>510</v>
      </c>
      <c r="E191" s="1602"/>
      <c r="F191" s="845"/>
      <c r="G191" s="793"/>
      <c r="H191" s="793"/>
      <c r="I191" s="1360">
        <v>12278</v>
      </c>
      <c r="J191" s="736"/>
      <c r="K191" s="742"/>
      <c r="L191" s="742"/>
      <c r="M191" s="1118"/>
      <c r="N191" s="1118"/>
      <c r="O191" s="840"/>
      <c r="P191" s="840"/>
      <c r="Q191" s="840"/>
      <c r="R191" s="841"/>
      <c r="S191" s="749"/>
      <c r="T191" s="749"/>
      <c r="U191" s="749"/>
      <c r="V191" s="749"/>
      <c r="W191" s="749"/>
      <c r="X191" s="749"/>
      <c r="Y191" s="749"/>
      <c r="Z191" s="749"/>
      <c r="AA191" s="749"/>
      <c r="AB191" s="749"/>
      <c r="AC191" s="749"/>
      <c r="AD191" s="749"/>
      <c r="AE191" s="749"/>
    </row>
    <row r="192" spans="1:31" s="660" customFormat="1" ht="19.5" customHeight="1" x14ac:dyDescent="0.3">
      <c r="A192" s="656">
        <v>185</v>
      </c>
      <c r="B192" s="764"/>
      <c r="C192" s="705"/>
      <c r="D192" s="823"/>
      <c r="E192" s="826" t="s">
        <v>268</v>
      </c>
      <c r="F192" s="806"/>
      <c r="G192" s="793"/>
      <c r="H192" s="793"/>
      <c r="I192" s="1360"/>
      <c r="J192" s="741">
        <f>SUM(K192:R192)</f>
        <v>7325</v>
      </c>
      <c r="K192" s="742">
        <v>6342</v>
      </c>
      <c r="L192" s="742">
        <v>983</v>
      </c>
      <c r="M192" s="1118"/>
      <c r="N192" s="1118"/>
      <c r="O192" s="840"/>
      <c r="P192" s="840"/>
      <c r="Q192" s="840"/>
      <c r="R192" s="841"/>
      <c r="S192" s="749"/>
      <c r="T192" s="749"/>
      <c r="U192" s="749"/>
      <c r="V192" s="749"/>
      <c r="W192" s="749"/>
      <c r="X192" s="749"/>
      <c r="Y192" s="749"/>
      <c r="Z192" s="749"/>
      <c r="AA192" s="749"/>
      <c r="AB192" s="749"/>
      <c r="AC192" s="749"/>
      <c r="AD192" s="749"/>
      <c r="AE192" s="749"/>
    </row>
    <row r="193" spans="1:31" s="660" customFormat="1" ht="19.5" customHeight="1" x14ac:dyDescent="0.3">
      <c r="A193" s="656">
        <v>186</v>
      </c>
      <c r="B193" s="764"/>
      <c r="C193" s="705"/>
      <c r="D193" s="823"/>
      <c r="E193" s="224" t="s">
        <v>796</v>
      </c>
      <c r="F193" s="806"/>
      <c r="G193" s="793"/>
      <c r="H193" s="793"/>
      <c r="I193" s="1360"/>
      <c r="J193" s="736">
        <f t="shared" ref="J193:J194" si="48">SUM(K193:R193)</f>
        <v>7325</v>
      </c>
      <c r="K193" s="1118">
        <v>6342</v>
      </c>
      <c r="L193" s="1118">
        <v>983</v>
      </c>
      <c r="M193" s="1118"/>
      <c r="N193" s="1118"/>
      <c r="O193" s="840"/>
      <c r="P193" s="840"/>
      <c r="Q193" s="840"/>
      <c r="R193" s="841"/>
      <c r="S193" s="749"/>
      <c r="T193" s="749"/>
      <c r="U193" s="749"/>
      <c r="V193" s="749"/>
      <c r="W193" s="749"/>
      <c r="X193" s="749"/>
      <c r="Y193" s="749"/>
      <c r="Z193" s="749"/>
      <c r="AA193" s="749"/>
      <c r="AB193" s="749"/>
      <c r="AC193" s="749"/>
      <c r="AD193" s="749"/>
      <c r="AE193" s="749"/>
    </row>
    <row r="194" spans="1:31" s="660" customFormat="1" ht="19.5" customHeight="1" x14ac:dyDescent="0.3">
      <c r="A194" s="656">
        <v>187</v>
      </c>
      <c r="B194" s="764"/>
      <c r="C194" s="705"/>
      <c r="D194" s="823"/>
      <c r="E194" s="976" t="s">
        <v>869</v>
      </c>
      <c r="F194" s="806"/>
      <c r="G194" s="793"/>
      <c r="H194" s="793"/>
      <c r="I194" s="1360"/>
      <c r="J194" s="1309">
        <f t="shared" si="48"/>
        <v>7197</v>
      </c>
      <c r="K194" s="775">
        <v>6342</v>
      </c>
      <c r="L194" s="775">
        <v>855</v>
      </c>
      <c r="M194" s="1118"/>
      <c r="N194" s="1118"/>
      <c r="O194" s="840"/>
      <c r="P194" s="840"/>
      <c r="Q194" s="840"/>
      <c r="R194" s="841"/>
      <c r="S194" s="749"/>
      <c r="T194" s="749"/>
      <c r="U194" s="749"/>
      <c r="V194" s="749"/>
      <c r="W194" s="749"/>
      <c r="X194" s="749"/>
      <c r="Y194" s="749"/>
      <c r="Z194" s="749"/>
      <c r="AA194" s="749"/>
      <c r="AB194" s="749"/>
      <c r="AC194" s="749"/>
      <c r="AD194" s="749"/>
      <c r="AE194" s="749"/>
    </row>
    <row r="195" spans="1:31" s="660" customFormat="1" ht="30" customHeight="1" x14ac:dyDescent="0.3">
      <c r="A195" s="656">
        <v>188</v>
      </c>
      <c r="B195" s="764"/>
      <c r="C195" s="705">
        <v>23</v>
      </c>
      <c r="D195" s="1601" t="s">
        <v>403</v>
      </c>
      <c r="E195" s="1602"/>
      <c r="F195" s="806"/>
      <c r="G195" s="793"/>
      <c r="H195" s="793"/>
      <c r="I195" s="1360">
        <v>2034</v>
      </c>
      <c r="J195" s="736"/>
      <c r="K195" s="1118"/>
      <c r="L195" s="1118"/>
      <c r="M195" s="1118"/>
      <c r="N195" s="1118"/>
      <c r="O195" s="840"/>
      <c r="P195" s="840"/>
      <c r="Q195" s="840"/>
      <c r="R195" s="841"/>
      <c r="S195" s="749"/>
      <c r="T195" s="749"/>
      <c r="U195" s="749"/>
      <c r="V195" s="749"/>
      <c r="W195" s="749"/>
      <c r="X195" s="749"/>
      <c r="Y195" s="749"/>
      <c r="Z195" s="749"/>
      <c r="AA195" s="749"/>
      <c r="AB195" s="749"/>
      <c r="AC195" s="749"/>
      <c r="AD195" s="749"/>
      <c r="AE195" s="749"/>
    </row>
    <row r="196" spans="1:31" s="660" customFormat="1" ht="19.5" customHeight="1" x14ac:dyDescent="0.3">
      <c r="A196" s="656">
        <v>189</v>
      </c>
      <c r="B196" s="764"/>
      <c r="C196" s="670">
        <v>24</v>
      </c>
      <c r="D196" s="1631" t="s">
        <v>511</v>
      </c>
      <c r="E196" s="1632"/>
      <c r="F196" s="746"/>
      <c r="G196" s="793"/>
      <c r="H196" s="793"/>
      <c r="I196" s="1360">
        <v>3000</v>
      </c>
      <c r="J196" s="736"/>
      <c r="K196" s="1118"/>
      <c r="L196" s="1118"/>
      <c r="M196" s="1118"/>
      <c r="N196" s="1118"/>
      <c r="O196" s="840"/>
      <c r="P196" s="840"/>
      <c r="Q196" s="840"/>
      <c r="R196" s="841"/>
      <c r="S196" s="749"/>
      <c r="T196" s="749"/>
      <c r="U196" s="749"/>
      <c r="V196" s="749"/>
      <c r="W196" s="749"/>
      <c r="X196" s="749"/>
      <c r="Y196" s="749"/>
      <c r="Z196" s="749"/>
      <c r="AA196" s="749"/>
      <c r="AB196" s="749"/>
      <c r="AC196" s="749"/>
      <c r="AD196" s="749"/>
      <c r="AE196" s="749"/>
    </row>
    <row r="197" spans="1:31" s="660" customFormat="1" ht="19.5" customHeight="1" x14ac:dyDescent="0.3">
      <c r="A197" s="656">
        <v>190</v>
      </c>
      <c r="B197" s="764"/>
      <c r="C197" s="670">
        <v>25</v>
      </c>
      <c r="D197" s="1631" t="s">
        <v>512</v>
      </c>
      <c r="E197" s="1632"/>
      <c r="F197" s="746"/>
      <c r="G197" s="793"/>
      <c r="H197" s="793"/>
      <c r="I197" s="1360">
        <v>1372</v>
      </c>
      <c r="J197" s="736"/>
      <c r="K197" s="1118"/>
      <c r="L197" s="1118"/>
      <c r="M197" s="1118"/>
      <c r="N197" s="1118"/>
      <c r="O197" s="840"/>
      <c r="P197" s="840"/>
      <c r="Q197" s="840"/>
      <c r="R197" s="841"/>
      <c r="S197" s="749"/>
      <c r="T197" s="749"/>
      <c r="U197" s="749"/>
      <c r="V197" s="749"/>
      <c r="W197" s="749"/>
      <c r="X197" s="749"/>
      <c r="Y197" s="749"/>
      <c r="Z197" s="749"/>
      <c r="AA197" s="749"/>
      <c r="AB197" s="749"/>
      <c r="AC197" s="749"/>
      <c r="AD197" s="749"/>
      <c r="AE197" s="749"/>
    </row>
    <row r="198" spans="1:31" s="660" customFormat="1" ht="19.5" customHeight="1" x14ac:dyDescent="0.3">
      <c r="A198" s="656">
        <v>191</v>
      </c>
      <c r="B198" s="764"/>
      <c r="C198" s="670"/>
      <c r="D198" s="1514"/>
      <c r="E198" s="826" t="s">
        <v>268</v>
      </c>
      <c r="F198" s="746"/>
      <c r="G198" s="793"/>
      <c r="H198" s="793"/>
      <c r="I198" s="1360"/>
      <c r="J198" s="741">
        <f>SUM(K198:R198)</f>
        <v>5132</v>
      </c>
      <c r="K198" s="742">
        <v>4371</v>
      </c>
      <c r="L198" s="742">
        <v>761</v>
      </c>
      <c r="M198" s="1118"/>
      <c r="N198" s="1118"/>
      <c r="O198" s="840"/>
      <c r="P198" s="840"/>
      <c r="Q198" s="840"/>
      <c r="R198" s="841"/>
      <c r="S198" s="749"/>
      <c r="T198" s="749"/>
      <c r="U198" s="749"/>
      <c r="V198" s="749"/>
      <c r="W198" s="749"/>
      <c r="X198" s="749"/>
      <c r="Y198" s="749"/>
      <c r="Z198" s="749"/>
      <c r="AA198" s="749"/>
      <c r="AB198" s="749"/>
      <c r="AC198" s="749"/>
      <c r="AD198" s="749"/>
      <c r="AE198" s="749"/>
    </row>
    <row r="199" spans="1:31" s="660" customFormat="1" ht="19.5" customHeight="1" x14ac:dyDescent="0.3">
      <c r="A199" s="656">
        <v>192</v>
      </c>
      <c r="B199" s="764"/>
      <c r="C199" s="670"/>
      <c r="D199" s="1514"/>
      <c r="E199" s="224" t="s">
        <v>796</v>
      </c>
      <c r="F199" s="746"/>
      <c r="G199" s="793"/>
      <c r="H199" s="793"/>
      <c r="I199" s="1360"/>
      <c r="J199" s="736">
        <f t="shared" ref="J199:J200" si="49">SUM(K199:R199)</f>
        <v>5132</v>
      </c>
      <c r="K199" s="1118">
        <v>4493</v>
      </c>
      <c r="L199" s="1118">
        <v>639</v>
      </c>
      <c r="M199" s="1118"/>
      <c r="N199" s="1118"/>
      <c r="O199" s="840"/>
      <c r="P199" s="840"/>
      <c r="Q199" s="840"/>
      <c r="R199" s="841"/>
      <c r="S199" s="749"/>
      <c r="T199" s="749"/>
      <c r="U199" s="749"/>
      <c r="V199" s="749"/>
      <c r="W199" s="749"/>
      <c r="X199" s="749"/>
      <c r="Y199" s="749"/>
      <c r="Z199" s="749"/>
      <c r="AA199" s="749"/>
      <c r="AB199" s="749"/>
      <c r="AC199" s="749"/>
      <c r="AD199" s="749"/>
      <c r="AE199" s="749"/>
    </row>
    <row r="200" spans="1:31" s="660" customFormat="1" ht="19.5" customHeight="1" x14ac:dyDescent="0.3">
      <c r="A200" s="656">
        <v>193</v>
      </c>
      <c r="B200" s="764"/>
      <c r="C200" s="670"/>
      <c r="D200" s="1514"/>
      <c r="E200" s="976" t="s">
        <v>868</v>
      </c>
      <c r="F200" s="746"/>
      <c r="G200" s="793"/>
      <c r="H200" s="793"/>
      <c r="I200" s="1360"/>
      <c r="J200" s="1309">
        <f t="shared" si="49"/>
        <v>5104</v>
      </c>
      <c r="K200" s="775">
        <v>4493</v>
      </c>
      <c r="L200" s="775">
        <v>611</v>
      </c>
      <c r="M200" s="1118"/>
      <c r="N200" s="1118"/>
      <c r="O200" s="840"/>
      <c r="P200" s="840"/>
      <c r="Q200" s="840"/>
      <c r="R200" s="841"/>
      <c r="S200" s="749"/>
      <c r="T200" s="749"/>
      <c r="U200" s="749"/>
      <c r="V200" s="749"/>
      <c r="W200" s="749"/>
      <c r="X200" s="749"/>
      <c r="Y200" s="749"/>
      <c r="Z200" s="749"/>
      <c r="AA200" s="749"/>
      <c r="AB200" s="749"/>
      <c r="AC200" s="749"/>
      <c r="AD200" s="749"/>
      <c r="AE200" s="749"/>
    </row>
    <row r="201" spans="1:31" s="660" customFormat="1" ht="19.5" customHeight="1" x14ac:dyDescent="0.3">
      <c r="A201" s="656">
        <v>194</v>
      </c>
      <c r="B201" s="764"/>
      <c r="C201" s="670">
        <v>26</v>
      </c>
      <c r="D201" s="1631" t="s">
        <v>513</v>
      </c>
      <c r="E201" s="1632"/>
      <c r="F201" s="746"/>
      <c r="G201" s="793"/>
      <c r="H201" s="793"/>
      <c r="I201" s="1360">
        <v>3</v>
      </c>
      <c r="J201" s="736"/>
      <c r="K201" s="1118"/>
      <c r="L201" s="1118"/>
      <c r="M201" s="1118"/>
      <c r="N201" s="1118"/>
      <c r="O201" s="840"/>
      <c r="P201" s="840"/>
      <c r="Q201" s="840"/>
      <c r="R201" s="841"/>
      <c r="S201" s="749"/>
      <c r="T201" s="749"/>
      <c r="U201" s="749"/>
      <c r="V201" s="749"/>
      <c r="W201" s="749"/>
      <c r="X201" s="749"/>
      <c r="Y201" s="749"/>
      <c r="Z201" s="749"/>
      <c r="AA201" s="749"/>
      <c r="AB201" s="749"/>
      <c r="AC201" s="749"/>
      <c r="AD201" s="749"/>
      <c r="AE201" s="749"/>
    </row>
    <row r="202" spans="1:31" s="660" customFormat="1" ht="19.5" customHeight="1" x14ac:dyDescent="0.3">
      <c r="A202" s="656">
        <v>195</v>
      </c>
      <c r="B202" s="764"/>
      <c r="C202" s="670">
        <v>27</v>
      </c>
      <c r="D202" s="1631" t="s">
        <v>514</v>
      </c>
      <c r="E202" s="1632"/>
      <c r="F202" s="746"/>
      <c r="G202" s="793"/>
      <c r="H202" s="793"/>
      <c r="I202" s="1360"/>
      <c r="J202" s="736"/>
      <c r="K202" s="1118"/>
      <c r="L202" s="1118"/>
      <c r="M202" s="1118"/>
      <c r="N202" s="1118"/>
      <c r="O202" s="840"/>
      <c r="P202" s="840"/>
      <c r="Q202" s="840"/>
      <c r="R202" s="841"/>
      <c r="S202" s="749"/>
      <c r="T202" s="749"/>
      <c r="U202" s="749"/>
      <c r="V202" s="749"/>
      <c r="W202" s="749"/>
      <c r="X202" s="749"/>
      <c r="Y202" s="749"/>
      <c r="Z202" s="749"/>
      <c r="AA202" s="749"/>
      <c r="AB202" s="749"/>
      <c r="AC202" s="749"/>
      <c r="AD202" s="749"/>
      <c r="AE202" s="749"/>
    </row>
    <row r="203" spans="1:31" s="660" customFormat="1" ht="19.5" customHeight="1" x14ac:dyDescent="0.3">
      <c r="A203" s="656">
        <v>196</v>
      </c>
      <c r="B203" s="764"/>
      <c r="C203" s="670"/>
      <c r="D203" s="1514"/>
      <c r="E203" s="826" t="s">
        <v>268</v>
      </c>
      <c r="F203" s="746"/>
      <c r="G203" s="793"/>
      <c r="H203" s="793"/>
      <c r="I203" s="1360"/>
      <c r="J203" s="741">
        <f>SUM(K203:R203)</f>
        <v>13800</v>
      </c>
      <c r="K203" s="742">
        <v>11948</v>
      </c>
      <c r="L203" s="742">
        <v>1852</v>
      </c>
      <c r="M203" s="1118"/>
      <c r="N203" s="1118"/>
      <c r="O203" s="840"/>
      <c r="P203" s="840"/>
      <c r="Q203" s="840"/>
      <c r="R203" s="841"/>
      <c r="S203" s="749"/>
      <c r="T203" s="749"/>
      <c r="U203" s="749"/>
      <c r="V203" s="749"/>
      <c r="W203" s="749"/>
      <c r="X203" s="749"/>
      <c r="Y203" s="749"/>
      <c r="Z203" s="749"/>
      <c r="AA203" s="749"/>
      <c r="AB203" s="749"/>
      <c r="AC203" s="749"/>
      <c r="AD203" s="749"/>
      <c r="AE203" s="749"/>
    </row>
    <row r="204" spans="1:31" s="660" customFormat="1" ht="19.5" customHeight="1" x14ac:dyDescent="0.3">
      <c r="A204" s="656">
        <v>197</v>
      </c>
      <c r="B204" s="764"/>
      <c r="C204" s="670"/>
      <c r="D204" s="1514"/>
      <c r="E204" s="224" t="s">
        <v>796</v>
      </c>
      <c r="F204" s="746"/>
      <c r="G204" s="793"/>
      <c r="H204" s="793"/>
      <c r="I204" s="1360"/>
      <c r="J204" s="736">
        <f t="shared" ref="J204:J205" si="50">SUM(K204:R204)</f>
        <v>13800</v>
      </c>
      <c r="K204" s="1118">
        <v>11948</v>
      </c>
      <c r="L204" s="1118">
        <v>1852</v>
      </c>
      <c r="M204" s="1118"/>
      <c r="N204" s="1118"/>
      <c r="O204" s="840"/>
      <c r="P204" s="840"/>
      <c r="Q204" s="840"/>
      <c r="R204" s="841"/>
      <c r="S204" s="749"/>
      <c r="T204" s="749"/>
      <c r="U204" s="749"/>
      <c r="V204" s="749"/>
      <c r="W204" s="749"/>
      <c r="X204" s="749"/>
      <c r="Y204" s="749"/>
      <c r="Z204" s="749"/>
      <c r="AA204" s="749"/>
      <c r="AB204" s="749"/>
      <c r="AC204" s="749"/>
      <c r="AD204" s="749"/>
      <c r="AE204" s="749"/>
    </row>
    <row r="205" spans="1:31" s="660" customFormat="1" ht="19.5" customHeight="1" x14ac:dyDescent="0.3">
      <c r="A205" s="656">
        <v>198</v>
      </c>
      <c r="B205" s="764"/>
      <c r="C205" s="670"/>
      <c r="D205" s="1514"/>
      <c r="E205" s="976" t="s">
        <v>869</v>
      </c>
      <c r="F205" s="746"/>
      <c r="G205" s="793"/>
      <c r="H205" s="793"/>
      <c r="I205" s="1360"/>
      <c r="J205" s="1309">
        <f t="shared" si="50"/>
        <v>4759</v>
      </c>
      <c r="K205" s="775">
        <v>4197</v>
      </c>
      <c r="L205" s="775">
        <v>562</v>
      </c>
      <c r="M205" s="1118"/>
      <c r="N205" s="1118"/>
      <c r="O205" s="840"/>
      <c r="P205" s="840"/>
      <c r="Q205" s="840"/>
      <c r="R205" s="841"/>
      <c r="S205" s="749"/>
      <c r="T205" s="749"/>
      <c r="U205" s="749"/>
      <c r="V205" s="749"/>
      <c r="W205" s="749"/>
      <c r="X205" s="749"/>
      <c r="Y205" s="749"/>
      <c r="Z205" s="749"/>
      <c r="AA205" s="749"/>
      <c r="AB205" s="749"/>
      <c r="AC205" s="749"/>
      <c r="AD205" s="749"/>
      <c r="AE205" s="749"/>
    </row>
    <row r="206" spans="1:31" s="660" customFormat="1" ht="19.5" customHeight="1" x14ac:dyDescent="0.3">
      <c r="A206" s="656">
        <v>199</v>
      </c>
      <c r="B206" s="764"/>
      <c r="C206" s="670">
        <v>28</v>
      </c>
      <c r="D206" s="1631" t="s">
        <v>515</v>
      </c>
      <c r="E206" s="1632"/>
      <c r="F206" s="746"/>
      <c r="G206" s="793"/>
      <c r="H206" s="793"/>
      <c r="I206" s="1360">
        <v>1067</v>
      </c>
      <c r="J206" s="736"/>
      <c r="K206" s="742"/>
      <c r="L206" s="742"/>
      <c r="M206" s="1118"/>
      <c r="N206" s="1118"/>
      <c r="O206" s="840"/>
      <c r="P206" s="840"/>
      <c r="Q206" s="840"/>
      <c r="R206" s="841"/>
      <c r="S206" s="749"/>
      <c r="T206" s="749"/>
      <c r="U206" s="749"/>
      <c r="V206" s="749"/>
      <c r="W206" s="749"/>
      <c r="X206" s="749"/>
      <c r="Y206" s="749"/>
      <c r="Z206" s="749"/>
      <c r="AA206" s="749"/>
      <c r="AB206" s="749"/>
      <c r="AC206" s="749"/>
      <c r="AD206" s="749"/>
      <c r="AE206" s="749"/>
    </row>
    <row r="207" spans="1:31" s="660" customFormat="1" ht="19.5" customHeight="1" x14ac:dyDescent="0.3">
      <c r="A207" s="656">
        <v>200</v>
      </c>
      <c r="B207" s="764"/>
      <c r="C207" s="670"/>
      <c r="D207" s="1514"/>
      <c r="E207" s="826" t="s">
        <v>268</v>
      </c>
      <c r="F207" s="746"/>
      <c r="G207" s="793"/>
      <c r="H207" s="793"/>
      <c r="I207" s="1360"/>
      <c r="J207" s="741">
        <f>SUM(K207:R207)</f>
        <v>21933</v>
      </c>
      <c r="K207" s="742">
        <v>18989</v>
      </c>
      <c r="L207" s="742">
        <v>2944</v>
      </c>
      <c r="M207" s="1118"/>
      <c r="N207" s="1118"/>
      <c r="O207" s="840"/>
      <c r="P207" s="840"/>
      <c r="Q207" s="840"/>
      <c r="R207" s="841"/>
      <c r="S207" s="749"/>
      <c r="T207" s="749"/>
      <c r="U207" s="749"/>
      <c r="V207" s="749"/>
      <c r="W207" s="749"/>
      <c r="X207" s="749"/>
      <c r="Y207" s="749"/>
      <c r="Z207" s="749"/>
      <c r="AA207" s="749"/>
      <c r="AB207" s="749"/>
      <c r="AC207" s="749"/>
      <c r="AD207" s="749"/>
      <c r="AE207" s="749"/>
    </row>
    <row r="208" spans="1:31" s="660" customFormat="1" ht="19.5" customHeight="1" x14ac:dyDescent="0.3">
      <c r="A208" s="656">
        <v>201</v>
      </c>
      <c r="B208" s="764"/>
      <c r="C208" s="670"/>
      <c r="D208" s="1514"/>
      <c r="E208" s="224" t="s">
        <v>796</v>
      </c>
      <c r="F208" s="746"/>
      <c r="G208" s="793"/>
      <c r="H208" s="793"/>
      <c r="I208" s="1360"/>
      <c r="J208" s="736">
        <f t="shared" ref="J208:J209" si="51">SUM(K208:R208)</f>
        <v>21933</v>
      </c>
      <c r="K208" s="1118">
        <v>18989</v>
      </c>
      <c r="L208" s="1118">
        <v>2944</v>
      </c>
      <c r="M208" s="1118"/>
      <c r="N208" s="1118"/>
      <c r="O208" s="840"/>
      <c r="P208" s="840"/>
      <c r="Q208" s="840"/>
      <c r="R208" s="841"/>
      <c r="S208" s="749"/>
      <c r="T208" s="749"/>
      <c r="U208" s="749"/>
      <c r="V208" s="749"/>
      <c r="W208" s="749"/>
      <c r="X208" s="749"/>
      <c r="Y208" s="749"/>
      <c r="Z208" s="749"/>
      <c r="AA208" s="749"/>
      <c r="AB208" s="749"/>
      <c r="AC208" s="749"/>
      <c r="AD208" s="749"/>
      <c r="AE208" s="749"/>
    </row>
    <row r="209" spans="1:31" s="660" customFormat="1" ht="19.5" customHeight="1" x14ac:dyDescent="0.3">
      <c r="A209" s="656">
        <v>202</v>
      </c>
      <c r="B209" s="764"/>
      <c r="C209" s="670"/>
      <c r="D209" s="1514"/>
      <c r="E209" s="976" t="s">
        <v>869</v>
      </c>
      <c r="F209" s="746"/>
      <c r="G209" s="793"/>
      <c r="H209" s="793"/>
      <c r="I209" s="1360"/>
      <c r="J209" s="763">
        <f t="shared" si="51"/>
        <v>5727</v>
      </c>
      <c r="K209" s="775">
        <v>5054</v>
      </c>
      <c r="L209" s="775">
        <v>673</v>
      </c>
      <c r="M209" s="1118"/>
      <c r="N209" s="1118"/>
      <c r="O209" s="840"/>
      <c r="P209" s="840"/>
      <c r="Q209" s="840"/>
      <c r="R209" s="841"/>
      <c r="S209" s="749"/>
      <c r="T209" s="749"/>
      <c r="U209" s="749"/>
      <c r="V209" s="749"/>
      <c r="W209" s="749"/>
      <c r="X209" s="749"/>
      <c r="Y209" s="749"/>
      <c r="Z209" s="749"/>
      <c r="AA209" s="749"/>
      <c r="AB209" s="749"/>
      <c r="AC209" s="749"/>
      <c r="AD209" s="749"/>
      <c r="AE209" s="749"/>
    </row>
    <row r="210" spans="1:31" s="660" customFormat="1" ht="18" customHeight="1" x14ac:dyDescent="0.3">
      <c r="A210" s="656">
        <v>203</v>
      </c>
      <c r="B210" s="764"/>
      <c r="C210" s="670">
        <v>38</v>
      </c>
      <c r="D210" s="823" t="s">
        <v>382</v>
      </c>
      <c r="E210" s="823"/>
      <c r="F210" s="746"/>
      <c r="G210" s="793">
        <v>16</v>
      </c>
      <c r="H210" s="793"/>
      <c r="I210" s="1360"/>
      <c r="J210" s="736"/>
      <c r="K210" s="1118"/>
      <c r="L210" s="1118"/>
      <c r="M210" s="1118"/>
      <c r="N210" s="1118"/>
      <c r="O210" s="840"/>
      <c r="P210" s="840"/>
      <c r="Q210" s="840"/>
      <c r="R210" s="841"/>
      <c r="S210" s="749"/>
      <c r="T210" s="749"/>
      <c r="U210" s="749"/>
      <c r="V210" s="749"/>
      <c r="W210" s="749"/>
      <c r="X210" s="749"/>
      <c r="Y210" s="749"/>
      <c r="Z210" s="749"/>
      <c r="AA210" s="749"/>
      <c r="AB210" s="749"/>
      <c r="AC210" s="749"/>
      <c r="AD210" s="749"/>
      <c r="AE210" s="749"/>
    </row>
    <row r="211" spans="1:31" s="660" customFormat="1" ht="19.5" customHeight="1" x14ac:dyDescent="0.3">
      <c r="A211" s="656">
        <v>204</v>
      </c>
      <c r="B211" s="764"/>
      <c r="C211" s="670">
        <v>39</v>
      </c>
      <c r="D211" s="823" t="s">
        <v>398</v>
      </c>
      <c r="E211" s="847"/>
      <c r="F211" s="845"/>
      <c r="G211" s="793">
        <v>250</v>
      </c>
      <c r="H211" s="793"/>
      <c r="I211" s="1360"/>
      <c r="J211" s="736"/>
      <c r="K211" s="1118"/>
      <c r="L211" s="1118"/>
      <c r="M211" s="1118"/>
      <c r="N211" s="1118"/>
      <c r="O211" s="840"/>
      <c r="P211" s="840"/>
      <c r="Q211" s="840"/>
      <c r="R211" s="841"/>
      <c r="S211" s="749"/>
      <c r="T211" s="749"/>
      <c r="U211" s="749"/>
      <c r="V211" s="749"/>
      <c r="W211" s="749"/>
      <c r="X211" s="749"/>
      <c r="Y211" s="749"/>
      <c r="Z211" s="749"/>
      <c r="AA211" s="749"/>
      <c r="AB211" s="749"/>
      <c r="AC211" s="749"/>
      <c r="AD211" s="749"/>
      <c r="AE211" s="749"/>
    </row>
    <row r="212" spans="1:31" s="660" customFormat="1" ht="19.5" customHeight="1" x14ac:dyDescent="0.3">
      <c r="A212" s="656">
        <v>205</v>
      </c>
      <c r="B212" s="764"/>
      <c r="C212" s="670">
        <v>40</v>
      </c>
      <c r="D212" s="1631" t="s">
        <v>647</v>
      </c>
      <c r="E212" s="1632"/>
      <c r="F212" s="746"/>
      <c r="G212" s="793"/>
      <c r="H212" s="793"/>
      <c r="I212" s="1360"/>
      <c r="J212" s="736"/>
      <c r="K212" s="1118"/>
      <c r="L212" s="1118"/>
      <c r="M212" s="1118"/>
      <c r="N212" s="1118"/>
      <c r="O212" s="840"/>
      <c r="P212" s="840"/>
      <c r="Q212" s="840"/>
      <c r="R212" s="841"/>
      <c r="S212" s="749"/>
      <c r="T212" s="749"/>
      <c r="U212" s="749"/>
      <c r="V212" s="749"/>
      <c r="W212" s="749"/>
      <c r="X212" s="749"/>
      <c r="Y212" s="749"/>
      <c r="Z212" s="749"/>
      <c r="AA212" s="749"/>
      <c r="AB212" s="749"/>
      <c r="AC212" s="749"/>
      <c r="AD212" s="749"/>
      <c r="AE212" s="749"/>
    </row>
    <row r="213" spans="1:31" s="855" customFormat="1" ht="19.5" customHeight="1" x14ac:dyDescent="0.3">
      <c r="A213" s="656">
        <v>206</v>
      </c>
      <c r="B213" s="675"/>
      <c r="C213" s="850"/>
      <c r="D213" s="851"/>
      <c r="E213" s="826" t="s">
        <v>268</v>
      </c>
      <c r="F213" s="852"/>
      <c r="G213" s="853"/>
      <c r="H213" s="853"/>
      <c r="I213" s="1369"/>
      <c r="J213" s="741">
        <f>SUM(K213:R213)</f>
        <v>31783</v>
      </c>
      <c r="K213" s="742">
        <v>16822</v>
      </c>
      <c r="L213" s="742">
        <v>2452</v>
      </c>
      <c r="M213" s="742">
        <v>5669</v>
      </c>
      <c r="N213" s="742"/>
      <c r="O213" s="843"/>
      <c r="P213" s="843">
        <v>6840</v>
      </c>
      <c r="Q213" s="843"/>
      <c r="R213" s="844"/>
      <c r="S213" s="854"/>
      <c r="T213" s="854"/>
      <c r="U213" s="854"/>
      <c r="V213" s="854"/>
      <c r="W213" s="854"/>
      <c r="X213" s="854"/>
      <c r="Y213" s="854"/>
      <c r="Z213" s="854"/>
      <c r="AA213" s="854"/>
      <c r="AB213" s="854"/>
      <c r="AC213" s="854"/>
      <c r="AD213" s="854"/>
      <c r="AE213" s="854"/>
    </row>
    <row r="214" spans="1:31" s="855" customFormat="1" ht="19.5" customHeight="1" x14ac:dyDescent="0.3">
      <c r="A214" s="656">
        <v>207</v>
      </c>
      <c r="B214" s="675"/>
      <c r="C214" s="850"/>
      <c r="D214" s="851"/>
      <c r="E214" s="224" t="s">
        <v>796</v>
      </c>
      <c r="F214" s="852"/>
      <c r="G214" s="853"/>
      <c r="H214" s="853"/>
      <c r="I214" s="1369"/>
      <c r="J214" s="736">
        <f t="shared" ref="J214:J215" si="52">SUM(K214:R214)</f>
        <v>32606</v>
      </c>
      <c r="K214" s="1118">
        <v>18468</v>
      </c>
      <c r="L214" s="1118">
        <v>2798</v>
      </c>
      <c r="M214" s="1118">
        <v>4617</v>
      </c>
      <c r="N214" s="1118"/>
      <c r="O214" s="840"/>
      <c r="P214" s="840">
        <v>6723</v>
      </c>
      <c r="Q214" s="843"/>
      <c r="R214" s="844"/>
      <c r="S214" s="854"/>
      <c r="T214" s="854"/>
      <c r="U214" s="854"/>
      <c r="V214" s="854"/>
      <c r="W214" s="854"/>
      <c r="X214" s="854"/>
      <c r="Y214" s="854"/>
      <c r="Z214" s="854"/>
      <c r="AA214" s="854"/>
      <c r="AB214" s="854"/>
      <c r="AC214" s="854"/>
      <c r="AD214" s="854"/>
      <c r="AE214" s="854"/>
    </row>
    <row r="215" spans="1:31" s="855" customFormat="1" ht="19.5" customHeight="1" x14ac:dyDescent="0.3">
      <c r="A215" s="656">
        <v>208</v>
      </c>
      <c r="B215" s="675"/>
      <c r="C215" s="850"/>
      <c r="D215" s="851"/>
      <c r="E215" s="976" t="s">
        <v>868</v>
      </c>
      <c r="F215" s="852"/>
      <c r="G215" s="853"/>
      <c r="H215" s="853"/>
      <c r="I215" s="1369"/>
      <c r="J215" s="1309">
        <f t="shared" si="52"/>
        <v>32331</v>
      </c>
      <c r="K215" s="775">
        <v>18468</v>
      </c>
      <c r="L215" s="775">
        <v>2798</v>
      </c>
      <c r="M215" s="775">
        <v>4342</v>
      </c>
      <c r="N215" s="775"/>
      <c r="O215" s="1327"/>
      <c r="P215" s="1327">
        <v>6723</v>
      </c>
      <c r="Q215" s="843"/>
      <c r="R215" s="844"/>
      <c r="S215" s="854"/>
      <c r="T215" s="854"/>
      <c r="U215" s="854"/>
      <c r="V215" s="854"/>
      <c r="W215" s="854"/>
      <c r="X215" s="854"/>
      <c r="Y215" s="854"/>
      <c r="Z215" s="854"/>
      <c r="AA215" s="854"/>
      <c r="AB215" s="854"/>
      <c r="AC215" s="854"/>
      <c r="AD215" s="854"/>
      <c r="AE215" s="854"/>
    </row>
    <row r="216" spans="1:31" s="660" customFormat="1" ht="19.5" customHeight="1" x14ac:dyDescent="0.3">
      <c r="A216" s="656">
        <v>209</v>
      </c>
      <c r="B216" s="764"/>
      <c r="C216" s="670">
        <v>41</v>
      </c>
      <c r="D216" s="1631" t="s">
        <v>599</v>
      </c>
      <c r="E216" s="1632"/>
      <c r="F216" s="746"/>
      <c r="G216" s="793"/>
      <c r="H216" s="793"/>
      <c r="I216" s="1360"/>
      <c r="J216" s="736"/>
      <c r="K216" s="1118"/>
      <c r="L216" s="1118"/>
      <c r="M216" s="1118"/>
      <c r="N216" s="1118"/>
      <c r="O216" s="840"/>
      <c r="P216" s="840"/>
      <c r="Q216" s="840"/>
      <c r="R216" s="841"/>
      <c r="S216" s="749"/>
      <c r="T216" s="749"/>
      <c r="U216" s="749"/>
      <c r="V216" s="749"/>
      <c r="W216" s="749"/>
      <c r="X216" s="749"/>
      <c r="Y216" s="749"/>
      <c r="Z216" s="749"/>
      <c r="AA216" s="749"/>
      <c r="AB216" s="749"/>
      <c r="AC216" s="749"/>
      <c r="AD216" s="749"/>
      <c r="AE216" s="749"/>
    </row>
    <row r="217" spans="1:31" s="855" customFormat="1" ht="19.5" customHeight="1" x14ac:dyDescent="0.3">
      <c r="A217" s="656">
        <v>210</v>
      </c>
      <c r="B217" s="675"/>
      <c r="C217" s="850"/>
      <c r="D217" s="851"/>
      <c r="E217" s="826" t="s">
        <v>268</v>
      </c>
      <c r="F217" s="852"/>
      <c r="G217" s="853"/>
      <c r="H217" s="853"/>
      <c r="I217" s="1369"/>
      <c r="J217" s="741">
        <f>SUM(K217:R217)</f>
        <v>2887</v>
      </c>
      <c r="K217" s="742">
        <v>2500</v>
      </c>
      <c r="L217" s="742">
        <v>387</v>
      </c>
      <c r="M217" s="742"/>
      <c r="N217" s="742"/>
      <c r="O217" s="843"/>
      <c r="P217" s="843"/>
      <c r="Q217" s="843"/>
      <c r="R217" s="844"/>
      <c r="S217" s="854"/>
      <c r="T217" s="854"/>
      <c r="U217" s="854"/>
      <c r="V217" s="854"/>
      <c r="W217" s="854"/>
      <c r="X217" s="854"/>
      <c r="Y217" s="854"/>
      <c r="Z217" s="854"/>
      <c r="AA217" s="854"/>
      <c r="AB217" s="854"/>
      <c r="AC217" s="854"/>
      <c r="AD217" s="854"/>
      <c r="AE217" s="854"/>
    </row>
    <row r="218" spans="1:31" s="855" customFormat="1" ht="19.5" customHeight="1" x14ac:dyDescent="0.3">
      <c r="A218" s="656">
        <v>211</v>
      </c>
      <c r="B218" s="675"/>
      <c r="C218" s="850"/>
      <c r="D218" s="851"/>
      <c r="E218" s="224" t="s">
        <v>796</v>
      </c>
      <c r="F218" s="852"/>
      <c r="G218" s="853"/>
      <c r="H218" s="853"/>
      <c r="I218" s="1369"/>
      <c r="J218" s="736">
        <f t="shared" ref="J218:J219" si="53">SUM(K218:R218)</f>
        <v>2887</v>
      </c>
      <c r="K218" s="1118">
        <v>2500</v>
      </c>
      <c r="L218" s="1118">
        <v>387</v>
      </c>
      <c r="M218" s="742"/>
      <c r="N218" s="742"/>
      <c r="O218" s="843"/>
      <c r="P218" s="843"/>
      <c r="Q218" s="843"/>
      <c r="R218" s="844"/>
      <c r="S218" s="854"/>
      <c r="T218" s="854"/>
      <c r="U218" s="854"/>
      <c r="V218" s="854"/>
      <c r="W218" s="854"/>
      <c r="X218" s="854"/>
      <c r="Y218" s="854"/>
      <c r="Z218" s="854"/>
      <c r="AA218" s="854"/>
      <c r="AB218" s="854"/>
      <c r="AC218" s="854"/>
      <c r="AD218" s="854"/>
      <c r="AE218" s="854"/>
    </row>
    <row r="219" spans="1:31" s="855" customFormat="1" ht="19.5" customHeight="1" x14ac:dyDescent="0.3">
      <c r="A219" s="656">
        <v>212</v>
      </c>
      <c r="B219" s="675"/>
      <c r="C219" s="850"/>
      <c r="D219" s="851"/>
      <c r="E219" s="976" t="s">
        <v>869</v>
      </c>
      <c r="F219" s="852"/>
      <c r="G219" s="853"/>
      <c r="H219" s="853"/>
      <c r="I219" s="1369"/>
      <c r="J219" s="1309">
        <f t="shared" si="53"/>
        <v>1160</v>
      </c>
      <c r="K219" s="775">
        <v>1026</v>
      </c>
      <c r="L219" s="775">
        <v>134</v>
      </c>
      <c r="M219" s="742"/>
      <c r="N219" s="742"/>
      <c r="O219" s="843"/>
      <c r="P219" s="843"/>
      <c r="Q219" s="843"/>
      <c r="R219" s="844"/>
      <c r="S219" s="854"/>
      <c r="T219" s="854"/>
      <c r="U219" s="854"/>
      <c r="V219" s="854"/>
      <c r="W219" s="854"/>
      <c r="X219" s="854"/>
      <c r="Y219" s="854"/>
      <c r="Z219" s="854"/>
      <c r="AA219" s="854"/>
      <c r="AB219" s="854"/>
      <c r="AC219" s="854"/>
      <c r="AD219" s="854"/>
      <c r="AE219" s="854"/>
    </row>
    <row r="220" spans="1:31" s="660" customFormat="1" ht="19.5" customHeight="1" x14ac:dyDescent="0.3">
      <c r="A220" s="656">
        <v>213</v>
      </c>
      <c r="B220" s="764"/>
      <c r="C220" s="670">
        <v>42</v>
      </c>
      <c r="D220" s="1631" t="s">
        <v>601</v>
      </c>
      <c r="E220" s="1632"/>
      <c r="F220" s="746"/>
      <c r="G220" s="793"/>
      <c r="H220" s="793"/>
      <c r="I220" s="1360"/>
      <c r="J220" s="736"/>
      <c r="K220" s="1118"/>
      <c r="L220" s="1118"/>
      <c r="M220" s="1118"/>
      <c r="N220" s="1118"/>
      <c r="O220" s="840"/>
      <c r="P220" s="840"/>
      <c r="Q220" s="840"/>
      <c r="R220" s="841"/>
      <c r="S220" s="749"/>
      <c r="T220" s="749"/>
      <c r="U220" s="749"/>
      <c r="V220" s="749"/>
      <c r="W220" s="749"/>
      <c r="X220" s="749"/>
      <c r="Y220" s="749"/>
      <c r="Z220" s="749"/>
      <c r="AA220" s="749"/>
      <c r="AB220" s="749"/>
      <c r="AC220" s="749"/>
      <c r="AD220" s="749"/>
      <c r="AE220" s="749"/>
    </row>
    <row r="221" spans="1:31" s="855" customFormat="1" ht="19.5" customHeight="1" x14ac:dyDescent="0.3">
      <c r="A221" s="656">
        <v>214</v>
      </c>
      <c r="B221" s="675"/>
      <c r="C221" s="850"/>
      <c r="D221" s="851"/>
      <c r="E221" s="826" t="s">
        <v>268</v>
      </c>
      <c r="F221" s="852"/>
      <c r="G221" s="853"/>
      <c r="H221" s="853"/>
      <c r="I221" s="1369"/>
      <c r="J221" s="741">
        <f>SUM(K221:R221)</f>
        <v>336</v>
      </c>
      <c r="K221" s="742">
        <v>291</v>
      </c>
      <c r="L221" s="742">
        <v>45</v>
      </c>
      <c r="M221" s="742"/>
      <c r="N221" s="742"/>
      <c r="O221" s="843"/>
      <c r="P221" s="843"/>
      <c r="Q221" s="843"/>
      <c r="R221" s="844"/>
      <c r="S221" s="854"/>
      <c r="T221" s="854"/>
      <c r="U221" s="854"/>
      <c r="V221" s="854"/>
      <c r="W221" s="854"/>
      <c r="X221" s="854"/>
      <c r="Y221" s="854"/>
      <c r="Z221" s="854"/>
      <c r="AA221" s="854"/>
      <c r="AB221" s="854"/>
      <c r="AC221" s="854"/>
      <c r="AD221" s="854"/>
      <c r="AE221" s="854"/>
    </row>
    <row r="222" spans="1:31" s="855" customFormat="1" ht="19.5" customHeight="1" x14ac:dyDescent="0.3">
      <c r="A222" s="656">
        <v>215</v>
      </c>
      <c r="B222" s="675"/>
      <c r="C222" s="850"/>
      <c r="D222" s="851"/>
      <c r="E222" s="224" t="s">
        <v>796</v>
      </c>
      <c r="F222" s="852"/>
      <c r="G222" s="853"/>
      <c r="H222" s="853"/>
      <c r="I222" s="1369"/>
      <c r="J222" s="736">
        <f t="shared" ref="J222:J223" si="54">SUM(K222:R222)</f>
        <v>336</v>
      </c>
      <c r="K222" s="1118">
        <v>291</v>
      </c>
      <c r="L222" s="1118">
        <v>45</v>
      </c>
      <c r="M222" s="742"/>
      <c r="N222" s="742"/>
      <c r="O222" s="843"/>
      <c r="P222" s="843"/>
      <c r="Q222" s="843"/>
      <c r="R222" s="844"/>
      <c r="S222" s="854"/>
      <c r="T222" s="854"/>
      <c r="U222" s="854"/>
      <c r="V222" s="854"/>
      <c r="W222" s="854"/>
      <c r="X222" s="854"/>
      <c r="Y222" s="854"/>
      <c r="Z222" s="854"/>
      <c r="AA222" s="854"/>
      <c r="AB222" s="854"/>
      <c r="AC222" s="854"/>
      <c r="AD222" s="854"/>
      <c r="AE222" s="854"/>
    </row>
    <row r="223" spans="1:31" s="855" customFormat="1" ht="19.5" customHeight="1" x14ac:dyDescent="0.3">
      <c r="A223" s="656">
        <v>216</v>
      </c>
      <c r="B223" s="675"/>
      <c r="C223" s="850"/>
      <c r="D223" s="851"/>
      <c r="E223" s="976" t="s">
        <v>869</v>
      </c>
      <c r="F223" s="852"/>
      <c r="G223" s="853"/>
      <c r="H223" s="853"/>
      <c r="I223" s="1369"/>
      <c r="J223" s="1309">
        <f t="shared" si="54"/>
        <v>358</v>
      </c>
      <c r="K223" s="775">
        <v>317</v>
      </c>
      <c r="L223" s="775">
        <v>41</v>
      </c>
      <c r="M223" s="742"/>
      <c r="N223" s="742"/>
      <c r="O223" s="843"/>
      <c r="P223" s="843"/>
      <c r="Q223" s="843"/>
      <c r="R223" s="844"/>
      <c r="S223" s="854"/>
      <c r="T223" s="854"/>
      <c r="U223" s="854"/>
      <c r="V223" s="854"/>
      <c r="W223" s="854"/>
      <c r="X223" s="854"/>
      <c r="Y223" s="854"/>
      <c r="Z223" s="854"/>
      <c r="AA223" s="854"/>
      <c r="AB223" s="854"/>
      <c r="AC223" s="854"/>
      <c r="AD223" s="854"/>
      <c r="AE223" s="854"/>
    </row>
    <row r="224" spans="1:31" s="660" customFormat="1" ht="19.5" customHeight="1" x14ac:dyDescent="0.3">
      <c r="A224" s="656">
        <v>217</v>
      </c>
      <c r="B224" s="764"/>
      <c r="C224" s="670">
        <v>43</v>
      </c>
      <c r="D224" s="1631" t="s">
        <v>604</v>
      </c>
      <c r="E224" s="1632"/>
      <c r="F224" s="746"/>
      <c r="G224" s="793"/>
      <c r="H224" s="793"/>
      <c r="I224" s="1360"/>
      <c r="J224" s="736"/>
      <c r="K224" s="1118"/>
      <c r="L224" s="1118"/>
      <c r="M224" s="1118"/>
      <c r="N224" s="1118"/>
      <c r="O224" s="840"/>
      <c r="P224" s="840"/>
      <c r="Q224" s="840"/>
      <c r="R224" s="841"/>
      <c r="S224" s="749"/>
      <c r="T224" s="749"/>
      <c r="U224" s="749"/>
      <c r="V224" s="749"/>
      <c r="W224" s="749"/>
      <c r="X224" s="749"/>
      <c r="Y224" s="749"/>
      <c r="Z224" s="749"/>
      <c r="AA224" s="749"/>
      <c r="AB224" s="749"/>
      <c r="AC224" s="749"/>
      <c r="AD224" s="749"/>
      <c r="AE224" s="749"/>
    </row>
    <row r="225" spans="1:31" s="855" customFormat="1" ht="19.5" customHeight="1" x14ac:dyDescent="0.3">
      <c r="A225" s="656">
        <v>218</v>
      </c>
      <c r="B225" s="675"/>
      <c r="C225" s="850"/>
      <c r="D225" s="851"/>
      <c r="E225" s="826" t="s">
        <v>268</v>
      </c>
      <c r="F225" s="852"/>
      <c r="G225" s="853"/>
      <c r="H225" s="853"/>
      <c r="I225" s="1369"/>
      <c r="J225" s="741">
        <f>SUM(K225:R225)</f>
        <v>20000</v>
      </c>
      <c r="K225" s="742">
        <v>17699</v>
      </c>
      <c r="L225" s="742">
        <v>2301</v>
      </c>
      <c r="M225" s="742"/>
      <c r="N225" s="742"/>
      <c r="O225" s="843"/>
      <c r="P225" s="843"/>
      <c r="Q225" s="843"/>
      <c r="R225" s="844"/>
      <c r="S225" s="854"/>
      <c r="T225" s="854"/>
      <c r="U225" s="854"/>
      <c r="V225" s="854"/>
      <c r="W225" s="854"/>
      <c r="X225" s="854"/>
      <c r="Y225" s="854"/>
      <c r="Z225" s="854"/>
      <c r="AA225" s="854"/>
      <c r="AB225" s="854"/>
      <c r="AC225" s="854"/>
      <c r="AD225" s="854"/>
      <c r="AE225" s="854"/>
    </row>
    <row r="226" spans="1:31" s="855" customFormat="1" ht="19.5" customHeight="1" x14ac:dyDescent="0.3">
      <c r="A226" s="656">
        <v>219</v>
      </c>
      <c r="B226" s="675"/>
      <c r="C226" s="850"/>
      <c r="D226" s="851"/>
      <c r="E226" s="224" t="s">
        <v>796</v>
      </c>
      <c r="F226" s="852"/>
      <c r="G226" s="853"/>
      <c r="H226" s="853"/>
      <c r="I226" s="1369"/>
      <c r="J226" s="736">
        <f t="shared" ref="J226:J227" si="55">SUM(K226:R226)</f>
        <v>20000</v>
      </c>
      <c r="K226" s="1118">
        <v>17699</v>
      </c>
      <c r="L226" s="1118">
        <v>2301</v>
      </c>
      <c r="M226" s="742"/>
      <c r="N226" s="742"/>
      <c r="O226" s="843"/>
      <c r="P226" s="843"/>
      <c r="Q226" s="843"/>
      <c r="R226" s="844"/>
      <c r="S226" s="854"/>
      <c r="T226" s="854"/>
      <c r="U226" s="854"/>
      <c r="V226" s="854"/>
      <c r="W226" s="854"/>
      <c r="X226" s="854"/>
      <c r="Y226" s="854"/>
      <c r="Z226" s="854"/>
      <c r="AA226" s="854"/>
      <c r="AB226" s="854"/>
      <c r="AC226" s="854"/>
      <c r="AD226" s="854"/>
      <c r="AE226" s="854"/>
    </row>
    <row r="227" spans="1:31" s="855" customFormat="1" ht="19.5" customHeight="1" x14ac:dyDescent="0.3">
      <c r="A227" s="656">
        <v>220</v>
      </c>
      <c r="B227" s="675"/>
      <c r="C227" s="850"/>
      <c r="D227" s="851"/>
      <c r="E227" s="976" t="s">
        <v>869</v>
      </c>
      <c r="F227" s="852"/>
      <c r="G227" s="853"/>
      <c r="H227" s="853"/>
      <c r="I227" s="1369"/>
      <c r="J227" s="1309">
        <f t="shared" si="55"/>
        <v>9658</v>
      </c>
      <c r="K227" s="775">
        <v>8547</v>
      </c>
      <c r="L227" s="775">
        <v>1111</v>
      </c>
      <c r="M227" s="742"/>
      <c r="N227" s="742"/>
      <c r="O227" s="843"/>
      <c r="P227" s="843"/>
      <c r="Q227" s="843"/>
      <c r="R227" s="844"/>
      <c r="S227" s="854"/>
      <c r="T227" s="854"/>
      <c r="U227" s="854"/>
      <c r="V227" s="854"/>
      <c r="W227" s="854"/>
      <c r="X227" s="854"/>
      <c r="Y227" s="854"/>
      <c r="Z227" s="854"/>
      <c r="AA227" s="854"/>
      <c r="AB227" s="854"/>
      <c r="AC227" s="854"/>
      <c r="AD227" s="854"/>
      <c r="AE227" s="854"/>
    </row>
    <row r="228" spans="1:31" s="660" customFormat="1" ht="19.5" customHeight="1" x14ac:dyDescent="0.3">
      <c r="A228" s="656">
        <v>221</v>
      </c>
      <c r="B228" s="764"/>
      <c r="C228" s="670">
        <v>44</v>
      </c>
      <c r="D228" s="1631" t="s">
        <v>607</v>
      </c>
      <c r="E228" s="1632"/>
      <c r="F228" s="746"/>
      <c r="G228" s="793"/>
      <c r="H228" s="793"/>
      <c r="I228" s="1360"/>
      <c r="J228" s="736"/>
      <c r="K228" s="1118"/>
      <c r="L228" s="1118"/>
      <c r="M228" s="1118"/>
      <c r="N228" s="1118"/>
      <c r="O228" s="840"/>
      <c r="P228" s="840"/>
      <c r="Q228" s="840"/>
      <c r="R228" s="841"/>
      <c r="S228" s="749"/>
      <c r="T228" s="749"/>
      <c r="U228" s="749"/>
      <c r="V228" s="749"/>
      <c r="W228" s="749"/>
      <c r="X228" s="749"/>
      <c r="Y228" s="749"/>
      <c r="Z228" s="749"/>
      <c r="AA228" s="749"/>
      <c r="AB228" s="749"/>
      <c r="AC228" s="749"/>
      <c r="AD228" s="749"/>
      <c r="AE228" s="749"/>
    </row>
    <row r="229" spans="1:31" s="855" customFormat="1" ht="19.5" customHeight="1" x14ac:dyDescent="0.3">
      <c r="A229" s="656">
        <v>222</v>
      </c>
      <c r="B229" s="675"/>
      <c r="C229" s="850"/>
      <c r="D229" s="851"/>
      <c r="E229" s="826" t="s">
        <v>268</v>
      </c>
      <c r="F229" s="852"/>
      <c r="G229" s="853"/>
      <c r="H229" s="853"/>
      <c r="I229" s="1369"/>
      <c r="J229" s="741">
        <f>SUM(K229:R229)</f>
        <v>254</v>
      </c>
      <c r="K229" s="742">
        <v>220</v>
      </c>
      <c r="L229" s="742">
        <v>34</v>
      </c>
      <c r="M229" s="742"/>
      <c r="N229" s="742"/>
      <c r="O229" s="843"/>
      <c r="P229" s="843"/>
      <c r="Q229" s="843"/>
      <c r="R229" s="844"/>
      <c r="S229" s="854"/>
      <c r="T229" s="854"/>
      <c r="U229" s="854"/>
      <c r="V229" s="854"/>
      <c r="W229" s="854"/>
      <c r="X229" s="854"/>
      <c r="Y229" s="854"/>
      <c r="Z229" s="854"/>
      <c r="AA229" s="854"/>
      <c r="AB229" s="854"/>
      <c r="AC229" s="854"/>
      <c r="AD229" s="854"/>
      <c r="AE229" s="854"/>
    </row>
    <row r="230" spans="1:31" s="855" customFormat="1" ht="19.5" customHeight="1" x14ac:dyDescent="0.3">
      <c r="A230" s="656">
        <v>223</v>
      </c>
      <c r="B230" s="675"/>
      <c r="C230" s="850"/>
      <c r="D230" s="851"/>
      <c r="E230" s="224" t="s">
        <v>796</v>
      </c>
      <c r="F230" s="852"/>
      <c r="G230" s="853"/>
      <c r="H230" s="853"/>
      <c r="I230" s="1369"/>
      <c r="J230" s="736">
        <f t="shared" ref="J230:J231" si="56">SUM(K230:R230)</f>
        <v>254</v>
      </c>
      <c r="K230" s="1118">
        <v>220</v>
      </c>
      <c r="L230" s="1118">
        <v>34</v>
      </c>
      <c r="M230" s="742"/>
      <c r="N230" s="742"/>
      <c r="O230" s="843"/>
      <c r="P230" s="843"/>
      <c r="Q230" s="843"/>
      <c r="R230" s="844"/>
      <c r="S230" s="854"/>
      <c r="T230" s="854"/>
      <c r="U230" s="854"/>
      <c r="V230" s="854"/>
      <c r="W230" s="854"/>
      <c r="X230" s="854"/>
      <c r="Y230" s="854"/>
      <c r="Z230" s="854"/>
      <c r="AA230" s="854"/>
      <c r="AB230" s="854"/>
      <c r="AC230" s="854"/>
      <c r="AD230" s="854"/>
      <c r="AE230" s="854"/>
    </row>
    <row r="231" spans="1:31" s="855" customFormat="1" ht="19.5" customHeight="1" x14ac:dyDescent="0.3">
      <c r="A231" s="656">
        <v>224</v>
      </c>
      <c r="B231" s="675"/>
      <c r="C231" s="850"/>
      <c r="D231" s="851"/>
      <c r="E231" s="976" t="s">
        <v>869</v>
      </c>
      <c r="F231" s="852"/>
      <c r="G231" s="853"/>
      <c r="H231" s="853"/>
      <c r="I231" s="1369"/>
      <c r="J231" s="1309">
        <f t="shared" si="56"/>
        <v>256</v>
      </c>
      <c r="K231" s="775">
        <v>227</v>
      </c>
      <c r="L231" s="775">
        <v>29</v>
      </c>
      <c r="M231" s="742"/>
      <c r="N231" s="742"/>
      <c r="O231" s="843"/>
      <c r="P231" s="843"/>
      <c r="Q231" s="843"/>
      <c r="R231" s="844"/>
      <c r="S231" s="854"/>
      <c r="T231" s="854"/>
      <c r="U231" s="854"/>
      <c r="V231" s="854"/>
      <c r="W231" s="854"/>
      <c r="X231" s="854"/>
      <c r="Y231" s="854"/>
      <c r="Z231" s="854"/>
      <c r="AA231" s="854"/>
      <c r="AB231" s="854"/>
      <c r="AC231" s="854"/>
      <c r="AD231" s="854"/>
      <c r="AE231" s="854"/>
    </row>
    <row r="232" spans="1:31" s="660" customFormat="1" ht="19.5" customHeight="1" x14ac:dyDescent="0.3">
      <c r="A232" s="656">
        <v>225</v>
      </c>
      <c r="B232" s="764"/>
      <c r="C232" s="670">
        <v>45</v>
      </c>
      <c r="D232" s="1631" t="s">
        <v>611</v>
      </c>
      <c r="E232" s="1632"/>
      <c r="F232" s="746"/>
      <c r="G232" s="793"/>
      <c r="H232" s="793"/>
      <c r="I232" s="1360"/>
      <c r="J232" s="736"/>
      <c r="K232" s="1118"/>
      <c r="L232" s="1118"/>
      <c r="M232" s="1118"/>
      <c r="N232" s="1118"/>
      <c r="O232" s="840"/>
      <c r="P232" s="840"/>
      <c r="Q232" s="840"/>
      <c r="R232" s="841"/>
      <c r="S232" s="749"/>
      <c r="T232" s="749"/>
      <c r="U232" s="749"/>
      <c r="V232" s="749"/>
      <c r="W232" s="749"/>
      <c r="X232" s="749"/>
      <c r="Y232" s="749"/>
      <c r="Z232" s="749"/>
      <c r="AA232" s="749"/>
      <c r="AB232" s="749"/>
      <c r="AC232" s="749"/>
      <c r="AD232" s="749"/>
      <c r="AE232" s="749"/>
    </row>
    <row r="233" spans="1:31" s="855" customFormat="1" ht="19.5" customHeight="1" x14ac:dyDescent="0.3">
      <c r="A233" s="656">
        <v>226</v>
      </c>
      <c r="B233" s="675"/>
      <c r="C233" s="850"/>
      <c r="D233" s="851"/>
      <c r="E233" s="826" t="s">
        <v>268</v>
      </c>
      <c r="F233" s="852"/>
      <c r="G233" s="853"/>
      <c r="H233" s="853"/>
      <c r="I233" s="1369"/>
      <c r="J233" s="741">
        <f>SUM(K233:R233)</f>
        <v>5066</v>
      </c>
      <c r="K233" s="742">
        <v>4386</v>
      </c>
      <c r="L233" s="742">
        <v>680</v>
      </c>
      <c r="M233" s="742"/>
      <c r="N233" s="742"/>
      <c r="O233" s="843"/>
      <c r="P233" s="843"/>
      <c r="Q233" s="843"/>
      <c r="R233" s="844"/>
      <c r="S233" s="854"/>
      <c r="T233" s="854"/>
      <c r="U233" s="854"/>
      <c r="V233" s="854"/>
      <c r="W233" s="854"/>
      <c r="X233" s="854"/>
      <c r="Y233" s="854"/>
      <c r="Z233" s="854"/>
      <c r="AA233" s="854"/>
      <c r="AB233" s="854"/>
      <c r="AC233" s="854"/>
      <c r="AD233" s="854"/>
      <c r="AE233" s="854"/>
    </row>
    <row r="234" spans="1:31" s="855" customFormat="1" ht="19.5" customHeight="1" x14ac:dyDescent="0.3">
      <c r="A234" s="656">
        <v>227</v>
      </c>
      <c r="B234" s="721"/>
      <c r="C234" s="1135"/>
      <c r="D234" s="1159"/>
      <c r="E234" s="224" t="s">
        <v>796</v>
      </c>
      <c r="F234" s="1136"/>
      <c r="G234" s="1137"/>
      <c r="H234" s="1137"/>
      <c r="I234" s="1370"/>
      <c r="J234" s="736">
        <f t="shared" ref="J234:J241" si="57">SUM(K234:R234)</f>
        <v>5066</v>
      </c>
      <c r="K234" s="1120">
        <v>4386</v>
      </c>
      <c r="L234" s="1120">
        <v>680</v>
      </c>
      <c r="M234" s="1114"/>
      <c r="N234" s="1114"/>
      <c r="O234" s="1138"/>
      <c r="P234" s="1138"/>
      <c r="Q234" s="1138"/>
      <c r="R234" s="1139"/>
      <c r="S234" s="854"/>
      <c r="T234" s="854"/>
      <c r="U234" s="854"/>
      <c r="V234" s="854"/>
      <c r="W234" s="854"/>
      <c r="X234" s="854"/>
      <c r="Y234" s="854"/>
      <c r="Z234" s="854"/>
      <c r="AA234" s="854"/>
      <c r="AB234" s="854"/>
      <c r="AC234" s="854"/>
      <c r="AD234" s="854"/>
      <c r="AE234" s="854"/>
    </row>
    <row r="235" spans="1:31" s="855" customFormat="1" ht="19.5" customHeight="1" x14ac:dyDescent="0.3">
      <c r="A235" s="656">
        <v>228</v>
      </c>
      <c r="B235" s="721"/>
      <c r="C235" s="1135"/>
      <c r="D235" s="1160"/>
      <c r="E235" s="976" t="s">
        <v>869</v>
      </c>
      <c r="F235" s="1136"/>
      <c r="G235" s="1137"/>
      <c r="H235" s="1137"/>
      <c r="I235" s="1370"/>
      <c r="J235" s="1309">
        <f t="shared" si="57"/>
        <v>3261</v>
      </c>
      <c r="K235" s="778">
        <v>2886</v>
      </c>
      <c r="L235" s="778">
        <v>375</v>
      </c>
      <c r="M235" s="1114"/>
      <c r="N235" s="1114"/>
      <c r="O235" s="1138"/>
      <c r="P235" s="1138"/>
      <c r="Q235" s="1138"/>
      <c r="R235" s="1139"/>
      <c r="S235" s="854"/>
      <c r="T235" s="854"/>
      <c r="U235" s="854"/>
      <c r="V235" s="854"/>
      <c r="W235" s="854"/>
      <c r="X235" s="854"/>
      <c r="Y235" s="854"/>
      <c r="Z235" s="854"/>
      <c r="AA235" s="854"/>
      <c r="AB235" s="854"/>
      <c r="AC235" s="854"/>
      <c r="AD235" s="854"/>
      <c r="AE235" s="854"/>
    </row>
    <row r="236" spans="1:31" s="855" customFormat="1" ht="19.5" customHeight="1" x14ac:dyDescent="0.3">
      <c r="A236" s="656">
        <v>229</v>
      </c>
      <c r="B236" s="721"/>
      <c r="C236" s="1418">
        <v>46</v>
      </c>
      <c r="D236" s="1631" t="s">
        <v>801</v>
      </c>
      <c r="E236" s="1632"/>
      <c r="F236" s="1136"/>
      <c r="G236" s="1137"/>
      <c r="H236" s="1137"/>
      <c r="I236" s="1370"/>
      <c r="J236" s="732"/>
      <c r="K236" s="1120"/>
      <c r="L236" s="1120"/>
      <c r="M236" s="1114"/>
      <c r="N236" s="1114"/>
      <c r="O236" s="1138"/>
      <c r="P236" s="1138"/>
      <c r="Q236" s="1138"/>
      <c r="R236" s="1139"/>
      <c r="S236" s="854"/>
      <c r="T236" s="854"/>
      <c r="U236" s="854"/>
      <c r="V236" s="854"/>
      <c r="W236" s="854"/>
      <c r="X236" s="854"/>
      <c r="Y236" s="854"/>
      <c r="Z236" s="854"/>
      <c r="AA236" s="854"/>
      <c r="AB236" s="854"/>
      <c r="AC236" s="854"/>
      <c r="AD236" s="854"/>
      <c r="AE236" s="854"/>
    </row>
    <row r="237" spans="1:31" s="855" customFormat="1" ht="19.5" customHeight="1" x14ac:dyDescent="0.3">
      <c r="A237" s="656">
        <v>230</v>
      </c>
      <c r="B237" s="721"/>
      <c r="C237" s="1418"/>
      <c r="D237" s="1515"/>
      <c r="E237" s="224" t="s">
        <v>796</v>
      </c>
      <c r="F237" s="1136"/>
      <c r="G237" s="1137"/>
      <c r="H237" s="1137"/>
      <c r="I237" s="1370"/>
      <c r="J237" s="736">
        <f t="shared" si="57"/>
        <v>3300</v>
      </c>
      <c r="K237" s="1120">
        <v>2920</v>
      </c>
      <c r="L237" s="1120">
        <v>380</v>
      </c>
      <c r="M237" s="1114"/>
      <c r="N237" s="1114"/>
      <c r="O237" s="1138"/>
      <c r="P237" s="1138"/>
      <c r="Q237" s="1138"/>
      <c r="R237" s="1139"/>
      <c r="S237" s="854"/>
      <c r="T237" s="854"/>
      <c r="U237" s="854"/>
      <c r="V237" s="854"/>
      <c r="W237" s="854"/>
      <c r="X237" s="854"/>
      <c r="Y237" s="854"/>
      <c r="Z237" s="854"/>
      <c r="AA237" s="854"/>
      <c r="AB237" s="854"/>
      <c r="AC237" s="854"/>
      <c r="AD237" s="854"/>
      <c r="AE237" s="854"/>
    </row>
    <row r="238" spans="1:31" s="855" customFormat="1" ht="19.5" customHeight="1" x14ac:dyDescent="0.3">
      <c r="A238" s="656">
        <v>231</v>
      </c>
      <c r="B238" s="721"/>
      <c r="C238" s="1135"/>
      <c r="D238" s="1159"/>
      <c r="E238" s="976" t="s">
        <v>869</v>
      </c>
      <c r="F238" s="1136"/>
      <c r="G238" s="1137"/>
      <c r="H238" s="1137"/>
      <c r="I238" s="1370"/>
      <c r="J238" s="1309">
        <f t="shared" si="57"/>
        <v>0</v>
      </c>
      <c r="K238" s="778"/>
      <c r="L238" s="778"/>
      <c r="M238" s="1114"/>
      <c r="N238" s="1114"/>
      <c r="O238" s="1138"/>
      <c r="P238" s="1138"/>
      <c r="Q238" s="1138"/>
      <c r="R238" s="1139"/>
      <c r="S238" s="854"/>
      <c r="T238" s="854"/>
      <c r="U238" s="854"/>
      <c r="V238" s="854"/>
      <c r="W238" s="854"/>
      <c r="X238" s="854"/>
      <c r="Y238" s="854"/>
      <c r="Z238" s="854"/>
      <c r="AA238" s="854"/>
      <c r="AB238" s="854"/>
      <c r="AC238" s="854"/>
      <c r="AD238" s="854"/>
      <c r="AE238" s="854"/>
    </row>
    <row r="239" spans="1:31" s="855" customFormat="1" ht="19.5" customHeight="1" x14ac:dyDescent="0.3">
      <c r="A239" s="656">
        <v>232</v>
      </c>
      <c r="B239" s="721"/>
      <c r="C239" s="1418">
        <v>47</v>
      </c>
      <c r="D239" s="1631" t="s">
        <v>807</v>
      </c>
      <c r="E239" s="1632"/>
      <c r="F239" s="1136"/>
      <c r="G239" s="1137"/>
      <c r="H239" s="1137"/>
      <c r="I239" s="1370"/>
      <c r="J239" s="732"/>
      <c r="K239" s="1120"/>
      <c r="L239" s="1120"/>
      <c r="M239" s="1114"/>
      <c r="N239" s="1114"/>
      <c r="O239" s="1138"/>
      <c r="P239" s="1138"/>
      <c r="Q239" s="1138"/>
      <c r="R239" s="1139"/>
      <c r="S239" s="854"/>
      <c r="T239" s="854"/>
      <c r="U239" s="854"/>
      <c r="V239" s="854"/>
      <c r="W239" s="854"/>
      <c r="X239" s="854"/>
      <c r="Y239" s="854"/>
      <c r="Z239" s="854"/>
      <c r="AA239" s="854"/>
      <c r="AB239" s="854"/>
      <c r="AC239" s="854"/>
      <c r="AD239" s="854"/>
      <c r="AE239" s="854"/>
    </row>
    <row r="240" spans="1:31" s="855" customFormat="1" ht="19.5" customHeight="1" x14ac:dyDescent="0.3">
      <c r="A240" s="656">
        <v>233</v>
      </c>
      <c r="B240" s="721"/>
      <c r="C240" s="1418"/>
      <c r="D240" s="1515"/>
      <c r="E240" s="224" t="s">
        <v>796</v>
      </c>
      <c r="F240" s="1136"/>
      <c r="G240" s="1137"/>
      <c r="H240" s="1137"/>
      <c r="I240" s="1370"/>
      <c r="J240" s="736">
        <f t="shared" si="57"/>
        <v>3365</v>
      </c>
      <c r="K240" s="1120">
        <v>2978</v>
      </c>
      <c r="L240" s="1120">
        <v>387</v>
      </c>
      <c r="M240" s="1114"/>
      <c r="N240" s="1114"/>
      <c r="O240" s="1138"/>
      <c r="P240" s="1138"/>
      <c r="Q240" s="1138"/>
      <c r="R240" s="1139"/>
      <c r="S240" s="854"/>
      <c r="T240" s="854"/>
      <c r="U240" s="854"/>
      <c r="V240" s="854"/>
      <c r="W240" s="854"/>
      <c r="X240" s="854"/>
      <c r="Y240" s="854"/>
      <c r="Z240" s="854"/>
      <c r="AA240" s="854"/>
      <c r="AB240" s="854"/>
      <c r="AC240" s="854"/>
      <c r="AD240" s="854"/>
      <c r="AE240" s="854"/>
    </row>
    <row r="241" spans="1:31" s="855" customFormat="1" ht="19.5" customHeight="1" thickBot="1" x14ac:dyDescent="0.35">
      <c r="A241" s="656">
        <v>234</v>
      </c>
      <c r="B241" s="721"/>
      <c r="C241" s="1135"/>
      <c r="D241" s="1159"/>
      <c r="E241" s="976" t="s">
        <v>869</v>
      </c>
      <c r="F241" s="1136"/>
      <c r="G241" s="1137"/>
      <c r="H241" s="1137"/>
      <c r="I241" s="1370"/>
      <c r="J241" s="1309">
        <f t="shared" si="57"/>
        <v>0</v>
      </c>
      <c r="K241" s="778"/>
      <c r="L241" s="778"/>
      <c r="M241" s="1114"/>
      <c r="N241" s="1114"/>
      <c r="O241" s="1138"/>
      <c r="P241" s="1138"/>
      <c r="Q241" s="1138"/>
      <c r="R241" s="1139"/>
      <c r="S241" s="854"/>
      <c r="T241" s="854"/>
      <c r="U241" s="854"/>
      <c r="V241" s="854"/>
      <c r="W241" s="854"/>
      <c r="X241" s="854"/>
      <c r="Y241" s="854"/>
      <c r="Z241" s="854"/>
      <c r="AA241" s="854"/>
      <c r="AB241" s="854"/>
      <c r="AC241" s="854"/>
      <c r="AD241" s="854"/>
      <c r="AE241" s="854"/>
    </row>
    <row r="242" spans="1:31" s="706" customFormat="1" ht="22.5" customHeight="1" thickTop="1" x14ac:dyDescent="0.3">
      <c r="A242" s="656">
        <v>235</v>
      </c>
      <c r="B242" s="856"/>
      <c r="C242" s="1633" t="s">
        <v>374</v>
      </c>
      <c r="D242" s="1634"/>
      <c r="E242" s="1635"/>
      <c r="F242" s="857"/>
      <c r="G242" s="753">
        <f>SUM(G138:G211)</f>
        <v>1490907</v>
      </c>
      <c r="H242" s="753">
        <f>SUM(H138:H211)</f>
        <v>1889184</v>
      </c>
      <c r="I242" s="753">
        <f>SUM(I138:I211)</f>
        <v>1611968</v>
      </c>
      <c r="J242" s="754"/>
      <c r="K242" s="780"/>
      <c r="L242" s="780"/>
      <c r="M242" s="780"/>
      <c r="N242" s="780"/>
      <c r="O242" s="780"/>
      <c r="P242" s="780"/>
      <c r="Q242" s="780"/>
      <c r="R242" s="781"/>
      <c r="S242" s="747"/>
      <c r="T242" s="747"/>
      <c r="U242" s="747"/>
      <c r="V242" s="747"/>
      <c r="W242" s="747"/>
      <c r="X242" s="747"/>
      <c r="Y242" s="747"/>
      <c r="Z242" s="747"/>
      <c r="AA242" s="747"/>
      <c r="AB242" s="747"/>
      <c r="AC242" s="747"/>
      <c r="AD242" s="747"/>
      <c r="AE242" s="747"/>
    </row>
    <row r="243" spans="1:31" s="680" customFormat="1" ht="18" customHeight="1" x14ac:dyDescent="0.3">
      <c r="A243" s="656">
        <v>236</v>
      </c>
      <c r="B243" s="675"/>
      <c r="C243" s="701"/>
      <c r="D243" s="1153"/>
      <c r="E243" s="1154" t="s">
        <v>268</v>
      </c>
      <c r="F243" s="1155"/>
      <c r="G243" s="1156"/>
      <c r="H243" s="1156"/>
      <c r="I243" s="1359"/>
      <c r="J243" s="769">
        <f>SUM(K243:R243)</f>
        <v>2107457</v>
      </c>
      <c r="K243" s="1145">
        <f t="shared" ref="K243:R243" si="58">SUM(K140,K148,K152,K160,K180,K184,K168,K173,K188,K192,K198,K203,K207,K213,K217,K221,K225,K229,K233)</f>
        <v>1440528</v>
      </c>
      <c r="L243" s="1145">
        <f t="shared" si="58"/>
        <v>222093</v>
      </c>
      <c r="M243" s="1145">
        <f t="shared" si="58"/>
        <v>369896</v>
      </c>
      <c r="N243" s="1145">
        <f t="shared" si="58"/>
        <v>0</v>
      </c>
      <c r="O243" s="1145">
        <f t="shared" si="58"/>
        <v>0</v>
      </c>
      <c r="P243" s="1145">
        <f t="shared" si="58"/>
        <v>74940</v>
      </c>
      <c r="Q243" s="1145">
        <f t="shared" si="58"/>
        <v>0</v>
      </c>
      <c r="R243" s="1146">
        <f t="shared" si="58"/>
        <v>0</v>
      </c>
      <c r="S243" s="744"/>
      <c r="T243" s="744"/>
      <c r="U243" s="744"/>
      <c r="V243" s="744"/>
      <c r="W243" s="744"/>
      <c r="X243" s="744"/>
      <c r="Y243" s="744"/>
      <c r="Z243" s="744"/>
      <c r="AA243" s="744"/>
      <c r="AB243" s="744"/>
      <c r="AC243" s="744"/>
      <c r="AD243" s="744"/>
      <c r="AE243" s="744"/>
    </row>
    <row r="244" spans="1:31" s="680" customFormat="1" ht="18" customHeight="1" x14ac:dyDescent="0.3">
      <c r="A244" s="656">
        <v>237</v>
      </c>
      <c r="B244" s="1140"/>
      <c r="C244" s="701"/>
      <c r="D244" s="1161"/>
      <c r="E244" s="225" t="s">
        <v>796</v>
      </c>
      <c r="F244" s="1155"/>
      <c r="G244" s="1156"/>
      <c r="H244" s="1156"/>
      <c r="I244" s="1371"/>
      <c r="J244" s="1127">
        <f t="shared" ref="J244:J245" si="59">SUM(K244:R244)</f>
        <v>2573923</v>
      </c>
      <c r="K244" s="1151">
        <f t="shared" ref="K244:R245" si="60">SUM(K141,K149,K153,K161,K181,K185,K169,K174,K189,K193,K199,K204,K208,K214,K218,K222,K226,K230,K234,K237,K240)</f>
        <v>1626236</v>
      </c>
      <c r="L244" s="1151">
        <f t="shared" si="60"/>
        <v>269417</v>
      </c>
      <c r="M244" s="1151">
        <f t="shared" si="60"/>
        <v>559736</v>
      </c>
      <c r="N244" s="1151">
        <f t="shared" si="60"/>
        <v>0</v>
      </c>
      <c r="O244" s="1151">
        <f t="shared" si="60"/>
        <v>0</v>
      </c>
      <c r="P244" s="1151">
        <f t="shared" si="60"/>
        <v>118534</v>
      </c>
      <c r="Q244" s="1151">
        <f t="shared" si="60"/>
        <v>0</v>
      </c>
      <c r="R244" s="1152">
        <f t="shared" si="60"/>
        <v>0</v>
      </c>
      <c r="S244" s="744"/>
      <c r="T244" s="744"/>
      <c r="U244" s="744"/>
      <c r="V244" s="744"/>
      <c r="W244" s="744"/>
      <c r="X244" s="744"/>
      <c r="Y244" s="744"/>
      <c r="Z244" s="744"/>
      <c r="AA244" s="744"/>
      <c r="AB244" s="744"/>
      <c r="AC244" s="744"/>
      <c r="AD244" s="744"/>
      <c r="AE244" s="744"/>
    </row>
    <row r="245" spans="1:31" s="680" customFormat="1" ht="18" customHeight="1" thickBot="1" x14ac:dyDescent="0.35">
      <c r="A245" s="656">
        <v>238</v>
      </c>
      <c r="B245" s="1140"/>
      <c r="C245" s="676"/>
      <c r="D245" s="1116"/>
      <c r="E245" s="976" t="s">
        <v>869</v>
      </c>
      <c r="F245" s="1157"/>
      <c r="G245" s="740"/>
      <c r="H245" s="740"/>
      <c r="I245" s="1364"/>
      <c r="J245" s="1129">
        <f t="shared" si="59"/>
        <v>917334</v>
      </c>
      <c r="K245" s="1148">
        <f t="shared" si="60"/>
        <v>646883</v>
      </c>
      <c r="L245" s="1148">
        <f t="shared" si="60"/>
        <v>112403</v>
      </c>
      <c r="M245" s="1148">
        <f t="shared" si="60"/>
        <v>141028</v>
      </c>
      <c r="N245" s="1148">
        <f t="shared" si="60"/>
        <v>0</v>
      </c>
      <c r="O245" s="1148">
        <f t="shared" si="60"/>
        <v>0</v>
      </c>
      <c r="P245" s="1148">
        <f t="shared" si="60"/>
        <v>17020</v>
      </c>
      <c r="Q245" s="1148">
        <f t="shared" si="60"/>
        <v>0</v>
      </c>
      <c r="R245" s="1149">
        <f t="shared" si="60"/>
        <v>0</v>
      </c>
      <c r="S245" s="744"/>
      <c r="T245" s="744"/>
      <c r="U245" s="744"/>
      <c r="V245" s="744"/>
      <c r="W245" s="744"/>
      <c r="X245" s="744"/>
      <c r="Y245" s="744"/>
      <c r="Z245" s="744"/>
      <c r="AA245" s="744"/>
      <c r="AB245" s="744"/>
      <c r="AC245" s="744"/>
      <c r="AD245" s="744"/>
      <c r="AE245" s="744"/>
    </row>
    <row r="246" spans="1:31" s="706" customFormat="1" ht="20.100000000000001" customHeight="1" x14ac:dyDescent="0.2">
      <c r="A246" s="656">
        <v>239</v>
      </c>
      <c r="B246" s="1596" t="s">
        <v>13</v>
      </c>
      <c r="C246" s="1597"/>
      <c r="D246" s="1597"/>
      <c r="E246" s="1636"/>
      <c r="F246" s="858"/>
      <c r="G246" s="859">
        <f>SUM(G242,G134)</f>
        <v>7660387</v>
      </c>
      <c r="H246" s="859">
        <f>SUM(H242,H134)</f>
        <v>8835002</v>
      </c>
      <c r="I246" s="859">
        <f>SUM(I242,I134)</f>
        <v>8217491</v>
      </c>
      <c r="J246" s="860"/>
      <c r="K246" s="859"/>
      <c r="L246" s="859"/>
      <c r="M246" s="859"/>
      <c r="N246" s="859"/>
      <c r="O246" s="859"/>
      <c r="P246" s="859"/>
      <c r="Q246" s="859"/>
      <c r="R246" s="861"/>
      <c r="S246" s="747"/>
      <c r="T246" s="747"/>
      <c r="U246" s="747"/>
      <c r="V246" s="747"/>
      <c r="W246" s="747"/>
      <c r="X246" s="747"/>
      <c r="Y246" s="747"/>
      <c r="Z246" s="747"/>
      <c r="AA246" s="747"/>
      <c r="AB246" s="747"/>
      <c r="AC246" s="747"/>
      <c r="AD246" s="747"/>
      <c r="AE246" s="747"/>
    </row>
    <row r="247" spans="1:31" s="680" customFormat="1" ht="18" customHeight="1" x14ac:dyDescent="0.3">
      <c r="A247" s="656">
        <v>240</v>
      </c>
      <c r="B247" s="675"/>
      <c r="C247" s="676"/>
      <c r="D247" s="1153"/>
      <c r="E247" s="1154" t="s">
        <v>268</v>
      </c>
      <c r="F247" s="1155"/>
      <c r="G247" s="1156"/>
      <c r="H247" s="1156"/>
      <c r="I247" s="1359"/>
      <c r="J247" s="769">
        <f>SUM(K247:R247)</f>
        <v>9930973</v>
      </c>
      <c r="K247" s="1145">
        <f t="shared" ref="K247:R249" si="61">SUM(K243,K135)</f>
        <v>5743371</v>
      </c>
      <c r="L247" s="1145">
        <f t="shared" si="61"/>
        <v>858254</v>
      </c>
      <c r="M247" s="1145">
        <f t="shared" si="61"/>
        <v>3126751</v>
      </c>
      <c r="N247" s="1145">
        <f t="shared" si="61"/>
        <v>0</v>
      </c>
      <c r="O247" s="1145">
        <f t="shared" si="61"/>
        <v>1200</v>
      </c>
      <c r="P247" s="1145">
        <f t="shared" si="61"/>
        <v>201397</v>
      </c>
      <c r="Q247" s="1145">
        <f t="shared" si="61"/>
        <v>0</v>
      </c>
      <c r="R247" s="1146">
        <f t="shared" si="61"/>
        <v>0</v>
      </c>
      <c r="S247" s="744"/>
      <c r="T247" s="744"/>
      <c r="U247" s="744"/>
      <c r="V247" s="744"/>
      <c r="W247" s="744"/>
      <c r="X247" s="744"/>
      <c r="Y247" s="744"/>
      <c r="Z247" s="744"/>
      <c r="AA247" s="744"/>
      <c r="AB247" s="744"/>
      <c r="AC247" s="744"/>
      <c r="AD247" s="744"/>
      <c r="AE247" s="744"/>
    </row>
    <row r="248" spans="1:31" s="680" customFormat="1" ht="18" customHeight="1" x14ac:dyDescent="0.3">
      <c r="A248" s="656">
        <v>241</v>
      </c>
      <c r="B248" s="675"/>
      <c r="C248" s="1158"/>
      <c r="D248" s="1116"/>
      <c r="E248" s="225" t="s">
        <v>796</v>
      </c>
      <c r="F248" s="1157"/>
      <c r="G248" s="740"/>
      <c r="H248" s="740"/>
      <c r="I248" s="1355"/>
      <c r="J248" s="1127">
        <f t="shared" ref="J248:J249" si="62">SUM(K248:R248)</f>
        <v>11531480</v>
      </c>
      <c r="K248" s="1151">
        <f t="shared" si="61"/>
        <v>6205619</v>
      </c>
      <c r="L248" s="1151">
        <f t="shared" si="61"/>
        <v>941952</v>
      </c>
      <c r="M248" s="1151">
        <f t="shared" si="61"/>
        <v>3882801</v>
      </c>
      <c r="N248" s="1151">
        <f t="shared" si="61"/>
        <v>0</v>
      </c>
      <c r="O248" s="1151">
        <f t="shared" si="61"/>
        <v>1680</v>
      </c>
      <c r="P248" s="1151">
        <f t="shared" si="61"/>
        <v>499428</v>
      </c>
      <c r="Q248" s="1151">
        <f t="shared" si="61"/>
        <v>0</v>
      </c>
      <c r="R248" s="1152">
        <f t="shared" si="61"/>
        <v>0</v>
      </c>
      <c r="S248" s="744"/>
      <c r="T248" s="744"/>
      <c r="U248" s="744"/>
      <c r="V248" s="744"/>
      <c r="W248" s="744"/>
      <c r="X248" s="744"/>
      <c r="Y248" s="744"/>
      <c r="Z248" s="744"/>
      <c r="AA248" s="744"/>
      <c r="AB248" s="744"/>
      <c r="AC248" s="744"/>
      <c r="AD248" s="744"/>
      <c r="AE248" s="744"/>
    </row>
    <row r="249" spans="1:31" s="680" customFormat="1" ht="18" customHeight="1" thickBot="1" x14ac:dyDescent="0.35">
      <c r="A249" s="656">
        <v>242</v>
      </c>
      <c r="B249" s="675"/>
      <c r="C249" s="1158"/>
      <c r="D249" s="1116"/>
      <c r="E249" s="976" t="s">
        <v>869</v>
      </c>
      <c r="F249" s="1157"/>
      <c r="G249" s="740"/>
      <c r="H249" s="740"/>
      <c r="I249" s="1355"/>
      <c r="J249" s="1129">
        <f t="shared" si="62"/>
        <v>4835411</v>
      </c>
      <c r="K249" s="1148">
        <f t="shared" si="61"/>
        <v>2714230</v>
      </c>
      <c r="L249" s="1148">
        <f t="shared" si="61"/>
        <v>428069</v>
      </c>
      <c r="M249" s="1148">
        <f t="shared" si="61"/>
        <v>1564695</v>
      </c>
      <c r="N249" s="1148">
        <f t="shared" si="61"/>
        <v>0</v>
      </c>
      <c r="O249" s="1148">
        <f t="shared" si="61"/>
        <v>480</v>
      </c>
      <c r="P249" s="1148">
        <f t="shared" si="61"/>
        <v>127937</v>
      </c>
      <c r="Q249" s="1148">
        <f t="shared" si="61"/>
        <v>0</v>
      </c>
      <c r="R249" s="1149">
        <f t="shared" si="61"/>
        <v>0</v>
      </c>
      <c r="S249" s="744"/>
      <c r="T249" s="744"/>
      <c r="U249" s="744"/>
      <c r="V249" s="744"/>
      <c r="W249" s="744"/>
      <c r="X249" s="744"/>
      <c r="Y249" s="744"/>
      <c r="Z249" s="744"/>
      <c r="AA249" s="744"/>
      <c r="AB249" s="744"/>
      <c r="AC249" s="744"/>
      <c r="AD249" s="744"/>
      <c r="AE249" s="744"/>
    </row>
    <row r="250" spans="1:31" s="661" customFormat="1" ht="15" customHeight="1" x14ac:dyDescent="0.3">
      <c r="A250" s="656">
        <v>243</v>
      </c>
      <c r="B250" s="1637" t="s">
        <v>142</v>
      </c>
      <c r="C250" s="1638"/>
      <c r="D250" s="1638"/>
      <c r="E250" s="1639"/>
      <c r="F250" s="862"/>
      <c r="G250" s="813"/>
      <c r="H250" s="813"/>
      <c r="I250" s="1372"/>
      <c r="J250" s="863"/>
      <c r="K250" s="813"/>
      <c r="L250" s="813"/>
      <c r="M250" s="813"/>
      <c r="N250" s="813"/>
      <c r="O250" s="813"/>
      <c r="P250" s="813"/>
      <c r="Q250" s="813"/>
      <c r="R250" s="814"/>
      <c r="S250" s="12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</row>
    <row r="251" spans="1:31" s="661" customFormat="1" ht="15" customHeight="1" x14ac:dyDescent="0.3">
      <c r="A251" s="656">
        <v>244</v>
      </c>
      <c r="B251" s="1625" t="s">
        <v>143</v>
      </c>
      <c r="C251" s="1626"/>
      <c r="D251" s="1626"/>
      <c r="E251" s="1627"/>
      <c r="F251" s="1627"/>
      <c r="G251" s="839">
        <f>SUM(G64:G98,G60,G38,G130)</f>
        <v>5189835</v>
      </c>
      <c r="H251" s="839">
        <f>SUM(H64:H98,H60,H38,H130)+H101</f>
        <v>6039998</v>
      </c>
      <c r="I251" s="1373">
        <f>SUM(I64:I98,I60,I38,I130)+I101</f>
        <v>5651873</v>
      </c>
      <c r="J251" s="864"/>
      <c r="K251" s="793"/>
      <c r="L251" s="793"/>
      <c r="M251" s="793"/>
      <c r="N251" s="793"/>
      <c r="O251" s="793"/>
      <c r="P251" s="793"/>
      <c r="Q251" s="793"/>
      <c r="R251" s="865"/>
      <c r="S251" s="12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</row>
    <row r="252" spans="1:31" s="680" customFormat="1" ht="15" customHeight="1" x14ac:dyDescent="0.3">
      <c r="A252" s="656">
        <v>245</v>
      </c>
      <c r="B252" s="866"/>
      <c r="C252" s="867"/>
      <c r="D252" s="867"/>
      <c r="E252" s="739" t="s">
        <v>268</v>
      </c>
      <c r="F252" s="868"/>
      <c r="G252" s="869"/>
      <c r="H252" s="869"/>
      <c r="I252" s="1374"/>
      <c r="J252" s="843">
        <f>SUM(K252:R252)</f>
        <v>6785973</v>
      </c>
      <c r="K252" s="843">
        <f t="shared" ref="K252:R253" si="63">SUM(K39,K61,K65,K69,K77,K86,K90,K94,K131,)+K102+K98+K82+K73</f>
        <v>3657158</v>
      </c>
      <c r="L252" s="843">
        <f t="shared" si="63"/>
        <v>554608</v>
      </c>
      <c r="M252" s="843">
        <f t="shared" si="63"/>
        <v>2446964</v>
      </c>
      <c r="N252" s="843">
        <f t="shared" si="63"/>
        <v>0</v>
      </c>
      <c r="O252" s="843">
        <f t="shared" si="63"/>
        <v>1200</v>
      </c>
      <c r="P252" s="843">
        <f t="shared" si="63"/>
        <v>126043</v>
      </c>
      <c r="Q252" s="843">
        <f t="shared" si="63"/>
        <v>0</v>
      </c>
      <c r="R252" s="844">
        <f t="shared" si="63"/>
        <v>0</v>
      </c>
      <c r="S252" s="748"/>
      <c r="T252" s="744"/>
      <c r="U252" s="744"/>
      <c r="V252" s="744"/>
      <c r="W252" s="744"/>
      <c r="X252" s="744"/>
      <c r="Y252" s="744"/>
      <c r="Z252" s="744"/>
      <c r="AA252" s="744"/>
      <c r="AB252" s="744"/>
      <c r="AC252" s="744"/>
      <c r="AD252" s="744"/>
      <c r="AE252" s="744"/>
    </row>
    <row r="253" spans="1:31" s="680" customFormat="1" ht="15" customHeight="1" x14ac:dyDescent="0.3">
      <c r="A253" s="656">
        <v>246</v>
      </c>
      <c r="B253" s="866"/>
      <c r="C253" s="867"/>
      <c r="D253" s="867"/>
      <c r="E253" s="224" t="s">
        <v>796</v>
      </c>
      <c r="F253" s="868"/>
      <c r="G253" s="869"/>
      <c r="H253" s="869"/>
      <c r="I253" s="1374"/>
      <c r="J253" s="840">
        <f t="shared" ref="J253:J254" si="64">SUM(K253:R253)</f>
        <v>7649612</v>
      </c>
      <c r="K253" s="840">
        <f t="shared" si="63"/>
        <v>3857919</v>
      </c>
      <c r="L253" s="840">
        <f t="shared" si="63"/>
        <v>587537</v>
      </c>
      <c r="M253" s="840">
        <f t="shared" si="63"/>
        <v>2862973</v>
      </c>
      <c r="N253" s="840">
        <f t="shared" si="63"/>
        <v>0</v>
      </c>
      <c r="O253" s="840">
        <f t="shared" si="63"/>
        <v>1652</v>
      </c>
      <c r="P253" s="840">
        <f t="shared" si="63"/>
        <v>339531</v>
      </c>
      <c r="Q253" s="840">
        <f t="shared" si="63"/>
        <v>0</v>
      </c>
      <c r="R253" s="841">
        <f t="shared" si="63"/>
        <v>0</v>
      </c>
      <c r="S253" s="748"/>
      <c r="T253" s="744"/>
      <c r="U253" s="744"/>
      <c r="V253" s="744"/>
      <c r="W253" s="744"/>
      <c r="X253" s="744"/>
      <c r="Y253" s="744"/>
      <c r="Z253" s="744"/>
      <c r="AA253" s="744"/>
      <c r="AB253" s="744"/>
      <c r="AC253" s="744"/>
      <c r="AD253" s="744"/>
      <c r="AE253" s="744"/>
    </row>
    <row r="254" spans="1:31" s="680" customFormat="1" ht="15" customHeight="1" x14ac:dyDescent="0.3">
      <c r="A254" s="656">
        <v>247</v>
      </c>
      <c r="B254" s="866"/>
      <c r="C254" s="867"/>
      <c r="D254" s="867"/>
      <c r="E254" s="976" t="s">
        <v>869</v>
      </c>
      <c r="F254" s="868"/>
      <c r="G254" s="869"/>
      <c r="H254" s="869"/>
      <c r="I254" s="1374"/>
      <c r="J254" s="1148">
        <f t="shared" si="64"/>
        <v>3222602</v>
      </c>
      <c r="K254" s="1327">
        <f>SUM(K41,K63,K67,K71,K79,K88,K92,K96,K133,)+K104+K100+K84+K75</f>
        <v>1744292</v>
      </c>
      <c r="L254" s="1327">
        <f t="shared" ref="L254:R254" si="65">SUM(L41,L63,L67,L71,L79,L88,L92,L96,L133,)+L104+L100+L84+L75</f>
        <v>269020</v>
      </c>
      <c r="M254" s="1327">
        <f t="shared" si="65"/>
        <v>1132550</v>
      </c>
      <c r="N254" s="1327">
        <f t="shared" si="65"/>
        <v>0</v>
      </c>
      <c r="O254" s="1327">
        <f t="shared" si="65"/>
        <v>452</v>
      </c>
      <c r="P254" s="1327">
        <f t="shared" si="65"/>
        <v>76288</v>
      </c>
      <c r="Q254" s="1327">
        <f t="shared" si="65"/>
        <v>0</v>
      </c>
      <c r="R254" s="1328">
        <f t="shared" si="65"/>
        <v>0</v>
      </c>
      <c r="S254" s="748"/>
      <c r="T254" s="744"/>
      <c r="U254" s="744"/>
      <c r="V254" s="744"/>
      <c r="W254" s="744"/>
      <c r="X254" s="744"/>
      <c r="Y254" s="744"/>
      <c r="Z254" s="744"/>
      <c r="AA254" s="744"/>
      <c r="AB254" s="744"/>
      <c r="AC254" s="744"/>
      <c r="AD254" s="744"/>
      <c r="AE254" s="744"/>
    </row>
    <row r="255" spans="1:31" s="661" customFormat="1" ht="15" customHeight="1" x14ac:dyDescent="0.3">
      <c r="A255" s="656">
        <v>248</v>
      </c>
      <c r="B255" s="1625" t="s">
        <v>142</v>
      </c>
      <c r="C255" s="1626"/>
      <c r="D255" s="1626"/>
      <c r="E255" s="1627"/>
      <c r="F255" s="870"/>
      <c r="G255" s="839"/>
      <c r="H255" s="839"/>
      <c r="I255" s="1373"/>
      <c r="J255" s="871"/>
      <c r="K255" s="839"/>
      <c r="L255" s="839"/>
      <c r="M255" s="839"/>
      <c r="N255" s="839"/>
      <c r="O255" s="839"/>
      <c r="P255" s="839"/>
      <c r="Q255" s="839"/>
      <c r="R255" s="872"/>
      <c r="S255" s="12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</row>
    <row r="256" spans="1:31" s="661" customFormat="1" ht="15" customHeight="1" x14ac:dyDescent="0.3">
      <c r="A256" s="656">
        <v>249</v>
      </c>
      <c r="B256" s="1625" t="s">
        <v>144</v>
      </c>
      <c r="C256" s="1626"/>
      <c r="D256" s="1626"/>
      <c r="E256" s="1627"/>
      <c r="F256" s="1627"/>
      <c r="G256" s="839">
        <f>SUM(G105:G123)</f>
        <v>979645</v>
      </c>
      <c r="H256" s="839">
        <f>SUM(H105:H123)</f>
        <v>905820</v>
      </c>
      <c r="I256" s="1373">
        <f>SUM(I105:I123)</f>
        <v>953650</v>
      </c>
      <c r="J256" s="871"/>
      <c r="K256" s="839"/>
      <c r="L256" s="839"/>
      <c r="M256" s="839"/>
      <c r="N256" s="839"/>
      <c r="O256" s="839"/>
      <c r="P256" s="839"/>
      <c r="Q256" s="839"/>
      <c r="R256" s="872"/>
      <c r="S256" s="12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</row>
    <row r="257" spans="1:31" s="680" customFormat="1" ht="15" customHeight="1" x14ac:dyDescent="0.3">
      <c r="A257" s="656">
        <v>250</v>
      </c>
      <c r="B257" s="866"/>
      <c r="C257" s="867"/>
      <c r="D257" s="867"/>
      <c r="E257" s="739" t="s">
        <v>268</v>
      </c>
      <c r="F257" s="868"/>
      <c r="G257" s="869"/>
      <c r="H257" s="869"/>
      <c r="I257" s="1375"/>
      <c r="J257" s="873">
        <f>SUM(K257:R257)</f>
        <v>1037543</v>
      </c>
      <c r="K257" s="843">
        <f t="shared" ref="K257:R259" si="66">SUM(K106,K110,K123)+K115+K119</f>
        <v>645685</v>
      </c>
      <c r="L257" s="843">
        <f t="shared" si="66"/>
        <v>81553</v>
      </c>
      <c r="M257" s="843">
        <f t="shared" si="66"/>
        <v>309891</v>
      </c>
      <c r="N257" s="843">
        <f t="shared" si="66"/>
        <v>0</v>
      </c>
      <c r="O257" s="843">
        <f t="shared" si="66"/>
        <v>0</v>
      </c>
      <c r="P257" s="843">
        <f t="shared" si="66"/>
        <v>414</v>
      </c>
      <c r="Q257" s="843">
        <f t="shared" si="66"/>
        <v>0</v>
      </c>
      <c r="R257" s="844">
        <f t="shared" si="66"/>
        <v>0</v>
      </c>
      <c r="S257" s="748"/>
      <c r="T257" s="744"/>
      <c r="U257" s="744"/>
      <c r="V257" s="744"/>
      <c r="W257" s="744"/>
      <c r="X257" s="744"/>
      <c r="Y257" s="744"/>
      <c r="Z257" s="744"/>
      <c r="AA257" s="744"/>
      <c r="AB257" s="744"/>
      <c r="AC257" s="744"/>
      <c r="AD257" s="744"/>
      <c r="AE257" s="744"/>
    </row>
    <row r="258" spans="1:31" s="680" customFormat="1" ht="15" customHeight="1" x14ac:dyDescent="0.3">
      <c r="A258" s="656">
        <v>251</v>
      </c>
      <c r="B258" s="866"/>
      <c r="C258" s="867"/>
      <c r="D258" s="867"/>
      <c r="E258" s="224" t="s">
        <v>796</v>
      </c>
      <c r="F258" s="868"/>
      <c r="G258" s="869"/>
      <c r="H258" s="869"/>
      <c r="I258" s="1375"/>
      <c r="J258" s="864">
        <f t="shared" ref="J258:J259" si="67">SUM(K258:R258)</f>
        <v>1307945</v>
      </c>
      <c r="K258" s="840">
        <f t="shared" si="66"/>
        <v>721464</v>
      </c>
      <c r="L258" s="840">
        <f t="shared" si="66"/>
        <v>84998</v>
      </c>
      <c r="M258" s="840">
        <f t="shared" si="66"/>
        <v>460092</v>
      </c>
      <c r="N258" s="840">
        <f t="shared" si="66"/>
        <v>0</v>
      </c>
      <c r="O258" s="840">
        <f t="shared" si="66"/>
        <v>28</v>
      </c>
      <c r="P258" s="840">
        <f t="shared" si="66"/>
        <v>41363</v>
      </c>
      <c r="Q258" s="840">
        <f t="shared" si="66"/>
        <v>0</v>
      </c>
      <c r="R258" s="841">
        <f t="shared" si="66"/>
        <v>0</v>
      </c>
      <c r="S258" s="748"/>
      <c r="T258" s="744"/>
      <c r="U258" s="744"/>
      <c r="V258" s="744"/>
      <c r="W258" s="744"/>
      <c r="X258" s="744"/>
      <c r="Y258" s="744"/>
      <c r="Z258" s="744"/>
      <c r="AA258" s="744"/>
      <c r="AB258" s="744"/>
      <c r="AC258" s="744"/>
      <c r="AD258" s="744"/>
      <c r="AE258" s="744"/>
    </row>
    <row r="259" spans="1:31" s="680" customFormat="1" ht="15" customHeight="1" x14ac:dyDescent="0.3">
      <c r="A259" s="656">
        <v>252</v>
      </c>
      <c r="B259" s="866"/>
      <c r="C259" s="867"/>
      <c r="D259" s="867"/>
      <c r="E259" s="976" t="s">
        <v>869</v>
      </c>
      <c r="F259" s="868"/>
      <c r="G259" s="869"/>
      <c r="H259" s="869"/>
      <c r="I259" s="1375"/>
      <c r="J259" s="871">
        <f t="shared" si="67"/>
        <v>695475</v>
      </c>
      <c r="K259" s="1327">
        <f t="shared" si="66"/>
        <v>323055</v>
      </c>
      <c r="L259" s="1327">
        <f t="shared" si="66"/>
        <v>46646</v>
      </c>
      <c r="M259" s="1327">
        <f t="shared" si="66"/>
        <v>291117</v>
      </c>
      <c r="N259" s="1327">
        <f t="shared" si="66"/>
        <v>0</v>
      </c>
      <c r="O259" s="1327">
        <f t="shared" si="66"/>
        <v>28</v>
      </c>
      <c r="P259" s="1327">
        <f t="shared" si="66"/>
        <v>34629</v>
      </c>
      <c r="Q259" s="1327">
        <f t="shared" si="66"/>
        <v>0</v>
      </c>
      <c r="R259" s="1328">
        <f t="shared" si="66"/>
        <v>0</v>
      </c>
      <c r="S259" s="748"/>
      <c r="T259" s="744"/>
      <c r="U259" s="744"/>
      <c r="V259" s="744"/>
      <c r="W259" s="744"/>
      <c r="X259" s="744"/>
      <c r="Y259" s="744"/>
      <c r="Z259" s="744"/>
      <c r="AA259" s="744"/>
      <c r="AB259" s="744"/>
      <c r="AC259" s="744"/>
      <c r="AD259" s="744"/>
      <c r="AE259" s="744"/>
    </row>
    <row r="260" spans="1:31" s="661" customFormat="1" ht="15" customHeight="1" x14ac:dyDescent="0.3">
      <c r="A260" s="656">
        <v>253</v>
      </c>
      <c r="B260" s="1625" t="s">
        <v>142</v>
      </c>
      <c r="C260" s="1626"/>
      <c r="D260" s="1626"/>
      <c r="E260" s="1627"/>
      <c r="F260" s="870"/>
      <c r="G260" s="839"/>
      <c r="H260" s="839"/>
      <c r="I260" s="1373"/>
      <c r="J260" s="871"/>
      <c r="K260" s="840"/>
      <c r="L260" s="840"/>
      <c r="M260" s="840"/>
      <c r="N260" s="840"/>
      <c r="O260" s="840"/>
      <c r="P260" s="840"/>
      <c r="Q260" s="840"/>
      <c r="R260" s="841"/>
      <c r="S260" s="12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</row>
    <row r="261" spans="1:31" s="661" customFormat="1" ht="15" customHeight="1" x14ac:dyDescent="0.3">
      <c r="A261" s="656">
        <v>254</v>
      </c>
      <c r="B261" s="1628" t="s">
        <v>145</v>
      </c>
      <c r="C261" s="1629"/>
      <c r="D261" s="1629"/>
      <c r="E261" s="1630"/>
      <c r="F261" s="1630"/>
      <c r="G261" s="874">
        <f>SUM(G242)</f>
        <v>1490907</v>
      </c>
      <c r="H261" s="874">
        <f>SUM(H242)</f>
        <v>1889184</v>
      </c>
      <c r="I261" s="1376">
        <f>SUM(I242)</f>
        <v>1611968</v>
      </c>
      <c r="J261" s="871"/>
      <c r="K261" s="839"/>
      <c r="L261" s="839"/>
      <c r="M261" s="839"/>
      <c r="N261" s="839"/>
      <c r="O261" s="839"/>
      <c r="P261" s="839"/>
      <c r="Q261" s="839"/>
      <c r="R261" s="872"/>
      <c r="S261" s="12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</row>
    <row r="262" spans="1:31" s="691" customFormat="1" ht="15" customHeight="1" x14ac:dyDescent="0.3">
      <c r="A262" s="656">
        <v>255</v>
      </c>
      <c r="B262" s="1141"/>
      <c r="C262" s="1142"/>
      <c r="D262" s="1142"/>
      <c r="E262" s="722" t="s">
        <v>268</v>
      </c>
      <c r="F262" s="1143"/>
      <c r="G262" s="1144"/>
      <c r="H262" s="1144"/>
      <c r="I262" s="1377"/>
      <c r="J262" s="1147">
        <f>SUM(K262:R262)</f>
        <v>2107457</v>
      </c>
      <c r="K262" s="1145">
        <f t="shared" ref="K262:R264" si="68">K243</f>
        <v>1440528</v>
      </c>
      <c r="L262" s="1145">
        <f t="shared" si="68"/>
        <v>222093</v>
      </c>
      <c r="M262" s="1145">
        <f t="shared" si="68"/>
        <v>369896</v>
      </c>
      <c r="N262" s="1145">
        <f t="shared" si="68"/>
        <v>0</v>
      </c>
      <c r="O262" s="1145">
        <f t="shared" si="68"/>
        <v>0</v>
      </c>
      <c r="P262" s="1145">
        <f t="shared" si="68"/>
        <v>74940</v>
      </c>
      <c r="Q262" s="1145">
        <f t="shared" si="68"/>
        <v>0</v>
      </c>
      <c r="R262" s="1146">
        <f t="shared" si="68"/>
        <v>0</v>
      </c>
      <c r="S262" s="748"/>
      <c r="T262" s="748"/>
      <c r="U262" s="748"/>
      <c r="V262" s="748"/>
      <c r="W262" s="748"/>
      <c r="X262" s="748"/>
      <c r="Y262" s="748"/>
      <c r="Z262" s="748"/>
      <c r="AA262" s="748"/>
      <c r="AB262" s="748"/>
      <c r="AC262" s="748"/>
      <c r="AD262" s="748"/>
      <c r="AE262" s="748"/>
    </row>
    <row r="263" spans="1:31" s="691" customFormat="1" ht="15" customHeight="1" x14ac:dyDescent="0.3">
      <c r="A263" s="656">
        <v>256</v>
      </c>
      <c r="B263" s="866"/>
      <c r="C263" s="868"/>
      <c r="D263" s="868"/>
      <c r="E263" s="225" t="s">
        <v>796</v>
      </c>
      <c r="F263" s="868"/>
      <c r="G263" s="869"/>
      <c r="H263" s="869"/>
      <c r="I263" s="1374"/>
      <c r="J263" s="1150">
        <f t="shared" ref="J263:J264" si="69">SUM(K263:R263)</f>
        <v>2573923</v>
      </c>
      <c r="K263" s="1151">
        <f t="shared" si="68"/>
        <v>1626236</v>
      </c>
      <c r="L263" s="1151">
        <f t="shared" si="68"/>
        <v>269417</v>
      </c>
      <c r="M263" s="1151">
        <f t="shared" si="68"/>
        <v>559736</v>
      </c>
      <c r="N263" s="1151">
        <f t="shared" si="68"/>
        <v>0</v>
      </c>
      <c r="O263" s="1151">
        <f t="shared" si="68"/>
        <v>0</v>
      </c>
      <c r="P263" s="1151">
        <f t="shared" si="68"/>
        <v>118534</v>
      </c>
      <c r="Q263" s="1151">
        <f t="shared" si="68"/>
        <v>0</v>
      </c>
      <c r="R263" s="1152">
        <f t="shared" si="68"/>
        <v>0</v>
      </c>
      <c r="S263" s="748"/>
      <c r="T263" s="748"/>
      <c r="U263" s="748"/>
      <c r="V263" s="748"/>
      <c r="W263" s="748"/>
      <c r="X263" s="748"/>
      <c r="Y263" s="748"/>
      <c r="Z263" s="748"/>
      <c r="AA263" s="748"/>
      <c r="AB263" s="748"/>
      <c r="AC263" s="748"/>
      <c r="AD263" s="748"/>
      <c r="AE263" s="748"/>
    </row>
    <row r="264" spans="1:31" s="691" customFormat="1" ht="15" customHeight="1" thickBot="1" x14ac:dyDescent="0.35">
      <c r="A264" s="656">
        <v>257</v>
      </c>
      <c r="B264" s="1527"/>
      <c r="C264" s="1528"/>
      <c r="D264" s="1528"/>
      <c r="E264" s="1521" t="s">
        <v>869</v>
      </c>
      <c r="F264" s="1528"/>
      <c r="G264" s="1529"/>
      <c r="H264" s="1529"/>
      <c r="I264" s="1530"/>
      <c r="J264" s="1531">
        <f t="shared" si="69"/>
        <v>917334</v>
      </c>
      <c r="K264" s="1532">
        <f t="shared" si="68"/>
        <v>646883</v>
      </c>
      <c r="L264" s="1532">
        <f t="shared" si="68"/>
        <v>112403</v>
      </c>
      <c r="M264" s="1532">
        <f t="shared" si="68"/>
        <v>141028</v>
      </c>
      <c r="N264" s="1532">
        <f t="shared" si="68"/>
        <v>0</v>
      </c>
      <c r="O264" s="1532">
        <f t="shared" si="68"/>
        <v>0</v>
      </c>
      <c r="P264" s="1532">
        <f t="shared" si="68"/>
        <v>17020</v>
      </c>
      <c r="Q264" s="1532">
        <f t="shared" si="68"/>
        <v>0</v>
      </c>
      <c r="R264" s="1533">
        <f t="shared" si="68"/>
        <v>0</v>
      </c>
      <c r="S264" s="748"/>
      <c r="T264" s="748"/>
      <c r="U264" s="748"/>
      <c r="V264" s="748"/>
      <c r="W264" s="748"/>
      <c r="X264" s="748"/>
      <c r="Y264" s="748"/>
      <c r="Z264" s="748"/>
      <c r="AA264" s="748"/>
      <c r="AB264" s="748"/>
      <c r="AC264" s="748"/>
      <c r="AD264" s="748"/>
      <c r="AE264" s="748"/>
    </row>
    <row r="265" spans="1:31" s="880" customFormat="1" ht="18" customHeight="1" x14ac:dyDescent="0.3">
      <c r="A265" s="17"/>
      <c r="B265" s="875" t="s">
        <v>27</v>
      </c>
      <c r="C265" s="875"/>
      <c r="D265" s="875"/>
      <c r="E265" s="876"/>
      <c r="F265" s="877"/>
      <c r="G265" s="878"/>
      <c r="H265" s="878"/>
      <c r="I265" s="878"/>
      <c r="J265" s="879"/>
      <c r="K265" s="878"/>
      <c r="L265" s="878"/>
      <c r="M265" s="878"/>
      <c r="N265" s="878"/>
      <c r="O265" s="878"/>
      <c r="P265" s="878"/>
      <c r="Q265" s="878"/>
      <c r="R265" s="878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</row>
    <row r="266" spans="1:31" s="824" customFormat="1" ht="18" customHeight="1" x14ac:dyDescent="0.3">
      <c r="A266" s="17"/>
      <c r="B266" s="71" t="s">
        <v>28</v>
      </c>
      <c r="C266" s="71"/>
      <c r="D266" s="71"/>
      <c r="E266" s="128"/>
      <c r="F266" s="128"/>
      <c r="G266" s="128"/>
      <c r="H266" s="128"/>
      <c r="I266" s="128"/>
      <c r="J266" s="128"/>
      <c r="K266" s="312"/>
      <c r="L266" s="312"/>
      <c r="M266" s="312"/>
      <c r="N266" s="312"/>
      <c r="O266" s="312"/>
      <c r="P266" s="312"/>
      <c r="Q266" s="312"/>
      <c r="R266" s="312"/>
      <c r="S266" s="727"/>
      <c r="T266" s="727"/>
      <c r="U266" s="727"/>
      <c r="V266" s="727"/>
      <c r="W266" s="727"/>
      <c r="X266" s="727"/>
      <c r="Y266" s="727"/>
      <c r="Z266" s="727"/>
      <c r="AA266" s="727"/>
      <c r="AB266" s="727"/>
      <c r="AC266" s="727"/>
      <c r="AD266" s="727"/>
      <c r="AE266" s="727"/>
    </row>
    <row r="267" spans="1:31" ht="18" customHeight="1" x14ac:dyDescent="0.3">
      <c r="A267" s="17"/>
      <c r="B267" s="71" t="s">
        <v>29</v>
      </c>
      <c r="C267" s="71"/>
      <c r="D267" s="71"/>
    </row>
    <row r="268" spans="1:31" x14ac:dyDescent="0.3">
      <c r="K268" s="727"/>
      <c r="L268" s="727"/>
      <c r="M268" s="727"/>
      <c r="N268" s="727"/>
      <c r="O268" s="727"/>
      <c r="P268" s="727"/>
      <c r="Q268" s="727"/>
      <c r="R268" s="727"/>
    </row>
  </sheetData>
  <mergeCells count="51">
    <mergeCell ref="B1:F1"/>
    <mergeCell ref="C38:E38"/>
    <mergeCell ref="B2:R2"/>
    <mergeCell ref="B3:R3"/>
    <mergeCell ref="Q4:R4"/>
    <mergeCell ref="D5:E5"/>
    <mergeCell ref="B6:B7"/>
    <mergeCell ref="C6:C7"/>
    <mergeCell ref="D6:E7"/>
    <mergeCell ref="F6:F7"/>
    <mergeCell ref="G6:G7"/>
    <mergeCell ref="H6:H7"/>
    <mergeCell ref="I6:I7"/>
    <mergeCell ref="J6:J7"/>
    <mergeCell ref="K6:O6"/>
    <mergeCell ref="P6:R6"/>
    <mergeCell ref="D187:E187"/>
    <mergeCell ref="C60:E60"/>
    <mergeCell ref="D113:E113"/>
    <mergeCell ref="D118:E118"/>
    <mergeCell ref="C126:E126"/>
    <mergeCell ref="B134:E134"/>
    <mergeCell ref="D143:E143"/>
    <mergeCell ref="D156:E156"/>
    <mergeCell ref="D157:F157"/>
    <mergeCell ref="D158:E158"/>
    <mergeCell ref="D172:G172"/>
    <mergeCell ref="D176:E176"/>
    <mergeCell ref="D228:E228"/>
    <mergeCell ref="D191:E191"/>
    <mergeCell ref="D195:E195"/>
    <mergeCell ref="D196:E196"/>
    <mergeCell ref="D197:E197"/>
    <mergeCell ref="D201:E201"/>
    <mergeCell ref="D202:E202"/>
    <mergeCell ref="D206:E206"/>
    <mergeCell ref="D212:E212"/>
    <mergeCell ref="D216:E216"/>
    <mergeCell ref="D220:E220"/>
    <mergeCell ref="D224:E224"/>
    <mergeCell ref="B256:F256"/>
    <mergeCell ref="B260:E260"/>
    <mergeCell ref="B261:F261"/>
    <mergeCell ref="D232:E232"/>
    <mergeCell ref="C242:E242"/>
    <mergeCell ref="B246:E246"/>
    <mergeCell ref="B250:E250"/>
    <mergeCell ref="B251:F251"/>
    <mergeCell ref="B255:E255"/>
    <mergeCell ref="D236:E236"/>
    <mergeCell ref="D239:E239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58" fitToHeight="0" orientation="landscape" r:id="rId1"/>
  <headerFooter alignWithMargins="0">
    <oddFooter>&amp;C 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L178"/>
  <sheetViews>
    <sheetView view="pageBreakPreview" topLeftCell="A159" zoomScaleNormal="100" zoomScaleSheetLayoutView="100" workbookViewId="0">
      <selection activeCell="N174" sqref="N174"/>
    </sheetView>
  </sheetViews>
  <sheetFormatPr defaultColWidth="9.140625" defaultRowHeight="15" x14ac:dyDescent="0.3"/>
  <cols>
    <col min="1" max="1" width="3.7109375" style="923" customWidth="1"/>
    <col min="2" max="2" width="5.7109375" style="502" customWidth="1"/>
    <col min="3" max="3" width="5.7109375" style="913" customWidth="1"/>
    <col min="4" max="4" width="59.7109375" style="914" customWidth="1"/>
    <col min="5" max="5" width="6.7109375" style="915" customWidth="1"/>
    <col min="6" max="7" width="13.7109375" style="916" customWidth="1"/>
    <col min="8" max="9" width="13.7109375" style="917" customWidth="1"/>
    <col min="10" max="10" width="14.7109375" style="507" customWidth="1"/>
    <col min="11" max="11" width="14.7109375" style="1430" customWidth="1"/>
    <col min="12" max="16384" width="9.140625" style="507"/>
  </cols>
  <sheetData>
    <row r="1" spans="1:246" s="911" customFormat="1" ht="18" customHeight="1" x14ac:dyDescent="0.3">
      <c r="A1" s="909"/>
      <c r="B1" s="1585" t="s">
        <v>881</v>
      </c>
      <c r="C1" s="1585"/>
      <c r="D1" s="1585"/>
      <c r="E1" s="1585"/>
      <c r="F1" s="1585"/>
      <c r="G1" s="62"/>
      <c r="H1" s="62"/>
      <c r="I1" s="62"/>
      <c r="J1" s="136"/>
      <c r="K1" s="657"/>
      <c r="L1" s="910"/>
      <c r="M1" s="910"/>
      <c r="N1" s="910"/>
      <c r="O1" s="910"/>
      <c r="P1" s="910"/>
      <c r="Q1" s="910"/>
      <c r="R1" s="910"/>
      <c r="S1" s="910"/>
      <c r="T1" s="910"/>
      <c r="U1" s="910"/>
      <c r="V1" s="910"/>
      <c r="W1" s="910"/>
      <c r="X1" s="910"/>
      <c r="Y1" s="910"/>
      <c r="Z1" s="910"/>
      <c r="AA1" s="910"/>
      <c r="AB1" s="910"/>
      <c r="AC1" s="910"/>
      <c r="AD1" s="910"/>
      <c r="AE1" s="910"/>
      <c r="AF1" s="910"/>
      <c r="AG1" s="910"/>
      <c r="AH1" s="910"/>
      <c r="AI1" s="910"/>
      <c r="AJ1" s="910"/>
      <c r="AK1" s="910"/>
      <c r="AL1" s="910"/>
      <c r="AM1" s="910"/>
      <c r="AN1" s="910"/>
      <c r="AO1" s="910"/>
      <c r="AP1" s="910"/>
      <c r="AQ1" s="910"/>
      <c r="AR1" s="910"/>
      <c r="AS1" s="910"/>
      <c r="AT1" s="910"/>
      <c r="AU1" s="910"/>
      <c r="AV1" s="910"/>
      <c r="AW1" s="910"/>
      <c r="AX1" s="910"/>
      <c r="AY1" s="910"/>
      <c r="AZ1" s="910"/>
      <c r="BA1" s="910"/>
      <c r="BB1" s="910"/>
      <c r="BC1" s="910"/>
      <c r="BD1" s="910"/>
      <c r="BE1" s="910"/>
      <c r="BF1" s="910"/>
      <c r="BG1" s="910"/>
      <c r="BH1" s="910"/>
      <c r="BI1" s="910"/>
      <c r="BJ1" s="910"/>
      <c r="BK1" s="910"/>
      <c r="BL1" s="910"/>
      <c r="BM1" s="910"/>
      <c r="BN1" s="910"/>
      <c r="BO1" s="910"/>
      <c r="BP1" s="910"/>
      <c r="BQ1" s="910"/>
      <c r="BR1" s="910"/>
      <c r="BS1" s="910"/>
      <c r="BT1" s="910"/>
      <c r="BU1" s="910"/>
      <c r="BV1" s="910"/>
      <c r="BW1" s="910"/>
      <c r="BX1" s="910"/>
      <c r="BY1" s="910"/>
      <c r="BZ1" s="910"/>
      <c r="CA1" s="910"/>
      <c r="CB1" s="910"/>
      <c r="CC1" s="910"/>
      <c r="CD1" s="910"/>
      <c r="CE1" s="910"/>
      <c r="CF1" s="910"/>
      <c r="CG1" s="910"/>
      <c r="CH1" s="910"/>
      <c r="CI1" s="910"/>
      <c r="CJ1" s="910"/>
      <c r="CK1" s="910"/>
      <c r="CL1" s="910"/>
      <c r="CM1" s="910"/>
      <c r="CN1" s="910"/>
      <c r="CO1" s="910"/>
      <c r="CP1" s="910"/>
      <c r="CQ1" s="910"/>
      <c r="CR1" s="910"/>
      <c r="CS1" s="910"/>
      <c r="CT1" s="910"/>
      <c r="CU1" s="910"/>
      <c r="CV1" s="910"/>
      <c r="CW1" s="910"/>
      <c r="CX1" s="910"/>
      <c r="CY1" s="910"/>
      <c r="CZ1" s="910"/>
      <c r="DA1" s="910"/>
      <c r="DB1" s="910"/>
      <c r="DC1" s="910"/>
      <c r="DD1" s="910"/>
      <c r="DE1" s="910"/>
      <c r="DF1" s="910"/>
      <c r="DG1" s="910"/>
      <c r="DH1" s="910"/>
      <c r="DI1" s="910"/>
      <c r="DJ1" s="910"/>
      <c r="DK1" s="910"/>
      <c r="DL1" s="910"/>
      <c r="DM1" s="910"/>
      <c r="DN1" s="910"/>
      <c r="DO1" s="910"/>
      <c r="DP1" s="910"/>
      <c r="DQ1" s="910"/>
      <c r="DR1" s="910"/>
      <c r="DS1" s="910"/>
      <c r="DT1" s="910"/>
      <c r="DU1" s="910"/>
      <c r="DV1" s="910"/>
      <c r="DW1" s="910"/>
      <c r="DX1" s="910"/>
      <c r="DY1" s="910"/>
      <c r="DZ1" s="910"/>
      <c r="EA1" s="910"/>
      <c r="EB1" s="910"/>
      <c r="EC1" s="910"/>
      <c r="ED1" s="910"/>
      <c r="EE1" s="910"/>
      <c r="EF1" s="910"/>
      <c r="EG1" s="910"/>
      <c r="EH1" s="910"/>
      <c r="EI1" s="910"/>
      <c r="EJ1" s="910"/>
      <c r="EK1" s="910"/>
      <c r="EL1" s="910"/>
      <c r="EM1" s="910"/>
      <c r="EN1" s="910"/>
      <c r="EO1" s="910"/>
      <c r="EP1" s="910"/>
      <c r="EQ1" s="910"/>
      <c r="ER1" s="910"/>
      <c r="ES1" s="910"/>
      <c r="ET1" s="910"/>
      <c r="EU1" s="910"/>
      <c r="EV1" s="910"/>
      <c r="EW1" s="910"/>
      <c r="EX1" s="910"/>
      <c r="EY1" s="910"/>
      <c r="EZ1" s="910"/>
      <c r="FA1" s="910"/>
      <c r="FB1" s="910"/>
      <c r="FC1" s="910"/>
      <c r="FD1" s="910"/>
      <c r="FE1" s="910"/>
      <c r="FF1" s="910"/>
      <c r="FG1" s="910"/>
      <c r="FH1" s="910"/>
      <c r="FI1" s="910"/>
      <c r="FJ1" s="910"/>
      <c r="FK1" s="910"/>
      <c r="FL1" s="910"/>
      <c r="FM1" s="910"/>
      <c r="FN1" s="910"/>
      <c r="FO1" s="910"/>
      <c r="FP1" s="910"/>
      <c r="FQ1" s="910"/>
      <c r="FR1" s="910"/>
      <c r="FS1" s="910"/>
      <c r="FT1" s="910"/>
      <c r="FU1" s="910"/>
      <c r="FV1" s="910"/>
      <c r="FW1" s="910"/>
      <c r="FX1" s="910"/>
      <c r="FY1" s="910"/>
      <c r="FZ1" s="910"/>
      <c r="GA1" s="910"/>
      <c r="GB1" s="910"/>
      <c r="GC1" s="910"/>
      <c r="GD1" s="910"/>
      <c r="GE1" s="910"/>
      <c r="GF1" s="910"/>
      <c r="GG1" s="910"/>
      <c r="GH1" s="910"/>
      <c r="GI1" s="910"/>
      <c r="GJ1" s="910"/>
      <c r="GK1" s="910"/>
      <c r="GL1" s="910"/>
      <c r="GM1" s="910"/>
      <c r="GN1" s="910"/>
      <c r="GO1" s="910"/>
      <c r="GP1" s="910"/>
      <c r="GQ1" s="910"/>
      <c r="GR1" s="910"/>
      <c r="GS1" s="910"/>
      <c r="GT1" s="910"/>
      <c r="GU1" s="910"/>
      <c r="GV1" s="910"/>
      <c r="GW1" s="910"/>
      <c r="GX1" s="910"/>
      <c r="GY1" s="910"/>
      <c r="GZ1" s="910"/>
      <c r="HA1" s="910"/>
      <c r="HB1" s="910"/>
      <c r="HC1" s="910"/>
      <c r="HD1" s="910"/>
      <c r="HE1" s="910"/>
      <c r="HF1" s="910"/>
      <c r="HG1" s="910"/>
      <c r="HH1" s="910"/>
      <c r="HI1" s="910"/>
      <c r="HJ1" s="910"/>
      <c r="HK1" s="910"/>
      <c r="HL1" s="910"/>
      <c r="HM1" s="910"/>
      <c r="HN1" s="910"/>
      <c r="HO1" s="910"/>
      <c r="HP1" s="910"/>
      <c r="HQ1" s="910"/>
      <c r="HR1" s="910"/>
      <c r="HS1" s="910"/>
      <c r="HT1" s="910"/>
      <c r="HU1" s="910"/>
      <c r="HV1" s="910"/>
      <c r="HW1" s="910"/>
      <c r="HX1" s="910"/>
      <c r="HY1" s="910"/>
      <c r="HZ1" s="910"/>
      <c r="IA1" s="910"/>
      <c r="IB1" s="910"/>
      <c r="IC1" s="910"/>
      <c r="ID1" s="910"/>
      <c r="IE1" s="910"/>
      <c r="IF1" s="910"/>
      <c r="IG1" s="910"/>
      <c r="IH1" s="910"/>
      <c r="II1" s="910"/>
      <c r="IJ1" s="910"/>
      <c r="IK1" s="910"/>
      <c r="IL1" s="910"/>
    </row>
    <row r="2" spans="1:246" s="911" customFormat="1" ht="24.75" customHeight="1" x14ac:dyDescent="0.35">
      <c r="A2" s="912"/>
      <c r="B2" s="1663" t="s">
        <v>117</v>
      </c>
      <c r="C2" s="1663"/>
      <c r="D2" s="1663"/>
      <c r="E2" s="1663"/>
      <c r="F2" s="1663"/>
      <c r="G2" s="1663"/>
      <c r="H2" s="1663"/>
      <c r="I2" s="1663"/>
      <c r="J2" s="1663"/>
      <c r="K2" s="1663"/>
    </row>
    <row r="3" spans="1:246" s="911" customFormat="1" ht="24.75" customHeight="1" x14ac:dyDescent="0.3">
      <c r="A3" s="912"/>
      <c r="B3" s="1664" t="s">
        <v>866</v>
      </c>
      <c r="C3" s="1664"/>
      <c r="D3" s="1664"/>
      <c r="E3" s="1664"/>
      <c r="F3" s="1664"/>
      <c r="G3" s="1664"/>
      <c r="H3" s="1664"/>
      <c r="I3" s="1664"/>
      <c r="J3" s="1664"/>
      <c r="K3" s="1664"/>
    </row>
    <row r="4" spans="1:246" ht="18" customHeight="1" x14ac:dyDescent="0.3">
      <c r="A4" s="502"/>
      <c r="K4" s="918" t="s">
        <v>0</v>
      </c>
    </row>
    <row r="5" spans="1:246" s="922" customFormat="1" ht="18" customHeight="1" thickBot="1" x14ac:dyDescent="0.35">
      <c r="A5" s="919"/>
      <c r="B5" s="920" t="s">
        <v>1</v>
      </c>
      <c r="C5" s="921" t="s">
        <v>3</v>
      </c>
      <c r="D5" s="921" t="s">
        <v>2</v>
      </c>
      <c r="E5" s="921" t="s">
        <v>4</v>
      </c>
      <c r="F5" s="921" t="s">
        <v>5</v>
      </c>
      <c r="G5" s="921" t="s">
        <v>15</v>
      </c>
      <c r="H5" s="921" t="s">
        <v>16</v>
      </c>
      <c r="I5" s="921" t="s">
        <v>17</v>
      </c>
      <c r="J5" s="919" t="s">
        <v>34</v>
      </c>
      <c r="K5" s="919" t="s">
        <v>30</v>
      </c>
      <c r="L5" s="919"/>
      <c r="M5" s="919"/>
      <c r="N5" s="919"/>
      <c r="O5" s="919"/>
      <c r="P5" s="919"/>
      <c r="Q5" s="919"/>
      <c r="R5" s="919"/>
      <c r="S5" s="919"/>
      <c r="T5" s="919"/>
      <c r="U5" s="919"/>
      <c r="V5" s="919"/>
      <c r="W5" s="919"/>
      <c r="X5" s="919"/>
      <c r="Y5" s="919"/>
      <c r="Z5" s="919"/>
      <c r="AA5" s="919"/>
      <c r="AB5" s="919"/>
      <c r="AC5" s="919"/>
      <c r="AD5" s="919"/>
      <c r="AE5" s="919"/>
      <c r="AF5" s="919"/>
      <c r="AG5" s="919"/>
      <c r="AH5" s="919"/>
      <c r="AI5" s="919"/>
      <c r="AJ5" s="919"/>
      <c r="AK5" s="919"/>
      <c r="AL5" s="919"/>
      <c r="AM5" s="919"/>
      <c r="AN5" s="919"/>
      <c r="AO5" s="919"/>
      <c r="AP5" s="919"/>
      <c r="AQ5" s="919"/>
      <c r="AR5" s="919"/>
      <c r="AS5" s="919"/>
      <c r="AT5" s="919"/>
      <c r="AU5" s="919"/>
      <c r="AV5" s="919"/>
      <c r="AW5" s="919"/>
      <c r="AX5" s="919"/>
      <c r="AY5" s="919"/>
      <c r="AZ5" s="919"/>
      <c r="BA5" s="919"/>
      <c r="BB5" s="919"/>
      <c r="BC5" s="919"/>
      <c r="BD5" s="919"/>
      <c r="BE5" s="919"/>
      <c r="BF5" s="919"/>
      <c r="BG5" s="919"/>
      <c r="BH5" s="919"/>
      <c r="BI5" s="919"/>
      <c r="BJ5" s="919"/>
      <c r="BK5" s="919"/>
      <c r="BL5" s="919"/>
      <c r="BM5" s="919"/>
      <c r="BN5" s="919"/>
      <c r="BO5" s="919"/>
      <c r="BP5" s="919"/>
      <c r="BQ5" s="919"/>
      <c r="BR5" s="919"/>
      <c r="BS5" s="919"/>
      <c r="BT5" s="919"/>
      <c r="BU5" s="919"/>
      <c r="BV5" s="919"/>
      <c r="BW5" s="919"/>
      <c r="BX5" s="919"/>
      <c r="BY5" s="919"/>
      <c r="BZ5" s="919"/>
      <c r="CA5" s="919"/>
      <c r="CB5" s="919"/>
      <c r="CC5" s="919"/>
      <c r="CD5" s="919"/>
      <c r="CE5" s="919"/>
      <c r="CF5" s="919"/>
      <c r="CG5" s="919"/>
      <c r="CH5" s="919"/>
      <c r="CI5" s="919"/>
      <c r="CJ5" s="919"/>
      <c r="CK5" s="919"/>
      <c r="CL5" s="919"/>
      <c r="CM5" s="919"/>
      <c r="CN5" s="919"/>
      <c r="CO5" s="919"/>
      <c r="CP5" s="919"/>
      <c r="CQ5" s="919"/>
      <c r="CR5" s="919"/>
      <c r="CS5" s="919"/>
      <c r="CT5" s="919"/>
      <c r="CU5" s="919"/>
      <c r="CV5" s="919"/>
      <c r="CW5" s="919"/>
      <c r="CX5" s="919"/>
      <c r="CY5" s="919"/>
      <c r="CZ5" s="919"/>
      <c r="DA5" s="919"/>
      <c r="DB5" s="919"/>
      <c r="DC5" s="919"/>
      <c r="DD5" s="919"/>
      <c r="DE5" s="919"/>
      <c r="DF5" s="919"/>
      <c r="DG5" s="919"/>
      <c r="DH5" s="919"/>
      <c r="DI5" s="919"/>
      <c r="DJ5" s="919"/>
      <c r="DK5" s="919"/>
      <c r="DL5" s="919"/>
      <c r="DM5" s="919"/>
      <c r="DN5" s="919"/>
      <c r="DO5" s="919"/>
      <c r="DP5" s="919"/>
      <c r="DQ5" s="919"/>
      <c r="DR5" s="919"/>
      <c r="DS5" s="919"/>
      <c r="DT5" s="919"/>
      <c r="DU5" s="919"/>
      <c r="DV5" s="919"/>
      <c r="DW5" s="919"/>
      <c r="DX5" s="919"/>
      <c r="DY5" s="919"/>
      <c r="DZ5" s="919"/>
      <c r="EA5" s="919"/>
      <c r="EB5" s="919"/>
      <c r="EC5" s="919"/>
      <c r="ED5" s="919"/>
      <c r="EE5" s="919"/>
      <c r="EF5" s="919"/>
      <c r="EG5" s="919"/>
      <c r="EH5" s="919"/>
      <c r="EI5" s="919"/>
      <c r="EJ5" s="919"/>
      <c r="EK5" s="919"/>
      <c r="EL5" s="919"/>
      <c r="EM5" s="919"/>
      <c r="EN5" s="919"/>
      <c r="EO5" s="919"/>
      <c r="EP5" s="919"/>
      <c r="EQ5" s="919"/>
      <c r="ER5" s="919"/>
      <c r="ES5" s="919"/>
      <c r="ET5" s="919"/>
      <c r="EU5" s="919"/>
      <c r="EV5" s="919"/>
      <c r="EW5" s="919"/>
      <c r="EX5" s="919"/>
      <c r="EY5" s="919"/>
      <c r="EZ5" s="919"/>
      <c r="FA5" s="919"/>
      <c r="FB5" s="919"/>
      <c r="FC5" s="919"/>
      <c r="FD5" s="919"/>
      <c r="FE5" s="919"/>
      <c r="FF5" s="919"/>
      <c r="FG5" s="919"/>
      <c r="FH5" s="919"/>
      <c r="FI5" s="919"/>
      <c r="FJ5" s="919"/>
      <c r="FK5" s="919"/>
      <c r="FL5" s="919"/>
      <c r="FM5" s="919"/>
      <c r="FN5" s="919"/>
      <c r="FO5" s="919"/>
      <c r="FP5" s="919"/>
      <c r="FQ5" s="919"/>
      <c r="FR5" s="919"/>
      <c r="FS5" s="919"/>
      <c r="FT5" s="919"/>
      <c r="FU5" s="919"/>
      <c r="FV5" s="919"/>
      <c r="FW5" s="919"/>
      <c r="FX5" s="919"/>
      <c r="FY5" s="919"/>
      <c r="FZ5" s="919"/>
      <c r="GA5" s="919"/>
      <c r="GB5" s="919"/>
      <c r="GC5" s="919"/>
      <c r="GD5" s="919"/>
      <c r="GE5" s="919"/>
      <c r="GF5" s="919"/>
      <c r="GG5" s="919"/>
      <c r="GH5" s="919"/>
      <c r="GI5" s="919"/>
      <c r="GJ5" s="919"/>
      <c r="GK5" s="919"/>
      <c r="GL5" s="919"/>
      <c r="GM5" s="919"/>
      <c r="GN5" s="919"/>
      <c r="GO5" s="919"/>
      <c r="GP5" s="919"/>
      <c r="GQ5" s="919"/>
      <c r="GR5" s="919"/>
      <c r="GS5" s="919"/>
      <c r="GT5" s="919"/>
      <c r="GU5" s="919"/>
      <c r="GV5" s="919"/>
      <c r="GW5" s="919"/>
      <c r="GX5" s="919"/>
      <c r="GY5" s="919"/>
      <c r="GZ5" s="919"/>
      <c r="HA5" s="919"/>
      <c r="HB5" s="919"/>
      <c r="HC5" s="919"/>
      <c r="HD5" s="919"/>
      <c r="HE5" s="919"/>
      <c r="HF5" s="919"/>
      <c r="HG5" s="919"/>
      <c r="HH5" s="919"/>
      <c r="HI5" s="919"/>
      <c r="HJ5" s="919"/>
      <c r="HK5" s="919"/>
      <c r="HL5" s="919"/>
      <c r="HM5" s="919"/>
      <c r="HN5" s="919"/>
      <c r="HO5" s="919"/>
      <c r="HP5" s="919"/>
      <c r="HQ5" s="919"/>
      <c r="HR5" s="919"/>
      <c r="HS5" s="919"/>
      <c r="HT5" s="919"/>
      <c r="HU5" s="919"/>
      <c r="HV5" s="919"/>
      <c r="HW5" s="919"/>
      <c r="HX5" s="919"/>
      <c r="HY5" s="919"/>
      <c r="HZ5" s="919"/>
      <c r="IA5" s="919"/>
      <c r="IB5" s="919"/>
      <c r="IC5" s="919"/>
      <c r="ID5" s="919"/>
      <c r="IE5" s="919"/>
      <c r="IF5" s="919"/>
      <c r="IG5" s="919"/>
      <c r="IH5" s="919"/>
      <c r="II5" s="919"/>
      <c r="IJ5" s="919"/>
      <c r="IK5" s="919"/>
      <c r="IL5" s="919"/>
    </row>
    <row r="6" spans="1:246" ht="30" customHeight="1" x14ac:dyDescent="0.3">
      <c r="B6" s="1673" t="s">
        <v>18</v>
      </c>
      <c r="C6" s="1675" t="s">
        <v>19</v>
      </c>
      <c r="D6" s="1677" t="s">
        <v>6</v>
      </c>
      <c r="E6" s="1679" t="s">
        <v>261</v>
      </c>
      <c r="F6" s="1661" t="s">
        <v>519</v>
      </c>
      <c r="G6" s="1661" t="s">
        <v>504</v>
      </c>
      <c r="H6" s="1671" t="s">
        <v>707</v>
      </c>
      <c r="I6" s="1669" t="s">
        <v>854</v>
      </c>
      <c r="J6" s="1665" t="s">
        <v>795</v>
      </c>
      <c r="K6" s="1667" t="s">
        <v>865</v>
      </c>
    </row>
    <row r="7" spans="1:246" ht="60.75" customHeight="1" thickBot="1" x14ac:dyDescent="0.35">
      <c r="B7" s="1674"/>
      <c r="C7" s="1676"/>
      <c r="D7" s="1678"/>
      <c r="E7" s="1680"/>
      <c r="F7" s="1662"/>
      <c r="G7" s="1662"/>
      <c r="H7" s="1672"/>
      <c r="I7" s="1670"/>
      <c r="J7" s="1666"/>
      <c r="K7" s="1668"/>
    </row>
    <row r="8" spans="1:246" s="501" customFormat="1" ht="22.5" customHeight="1" x14ac:dyDescent="0.3">
      <c r="A8" s="494">
        <v>1</v>
      </c>
      <c r="B8" s="495">
        <v>1</v>
      </c>
      <c r="C8" s="496" t="s">
        <v>271</v>
      </c>
      <c r="D8" s="497"/>
      <c r="E8" s="498" t="s">
        <v>23</v>
      </c>
      <c r="F8" s="499">
        <v>531</v>
      </c>
      <c r="G8" s="500">
        <v>3615</v>
      </c>
      <c r="H8" s="1399">
        <v>3247</v>
      </c>
      <c r="I8" s="1044"/>
      <c r="J8" s="1051"/>
      <c r="K8" s="1534"/>
    </row>
    <row r="9" spans="1:246" ht="30" x14ac:dyDescent="0.3">
      <c r="A9" s="502">
        <v>2</v>
      </c>
      <c r="B9" s="495"/>
      <c r="C9" s="503">
        <v>1</v>
      </c>
      <c r="D9" s="504" t="s">
        <v>658</v>
      </c>
      <c r="E9" s="498"/>
      <c r="F9" s="505"/>
      <c r="G9" s="506"/>
      <c r="H9" s="1400"/>
      <c r="I9" s="1045">
        <v>520</v>
      </c>
      <c r="J9" s="1052">
        <v>0</v>
      </c>
      <c r="K9" s="1535"/>
    </row>
    <row r="10" spans="1:246" ht="18" customHeight="1" x14ac:dyDescent="0.3">
      <c r="A10" s="494">
        <v>3</v>
      </c>
      <c r="B10" s="495"/>
      <c r="C10" s="508">
        <v>2</v>
      </c>
      <c r="D10" s="509" t="s">
        <v>659</v>
      </c>
      <c r="E10" s="498"/>
      <c r="F10" s="505"/>
      <c r="G10" s="506"/>
      <c r="H10" s="1400"/>
      <c r="I10" s="1045">
        <v>250</v>
      </c>
      <c r="J10" s="1052">
        <v>0</v>
      </c>
      <c r="K10" s="1535"/>
    </row>
    <row r="11" spans="1:246" ht="18" customHeight="1" x14ac:dyDescent="0.3">
      <c r="A11" s="494">
        <v>4</v>
      </c>
      <c r="B11" s="495"/>
      <c r="C11" s="508">
        <v>3</v>
      </c>
      <c r="D11" s="509" t="s">
        <v>711</v>
      </c>
      <c r="E11" s="498"/>
      <c r="F11" s="505"/>
      <c r="G11" s="506"/>
      <c r="H11" s="1400"/>
      <c r="I11" s="1045"/>
      <c r="J11" s="1052">
        <v>7120</v>
      </c>
      <c r="K11" s="1535"/>
    </row>
    <row r="12" spans="1:246" ht="18" customHeight="1" x14ac:dyDescent="0.3">
      <c r="A12" s="502">
        <v>5</v>
      </c>
      <c r="B12" s="495"/>
      <c r="C12" s="510" t="s">
        <v>319</v>
      </c>
      <c r="D12" s="511"/>
      <c r="E12" s="498"/>
      <c r="F12" s="505">
        <v>15</v>
      </c>
      <c r="G12" s="506">
        <v>1497</v>
      </c>
      <c r="H12" s="1400">
        <v>2074</v>
      </c>
      <c r="I12" s="1045"/>
      <c r="J12" s="1052"/>
      <c r="K12" s="1535"/>
    </row>
    <row r="13" spans="1:246" ht="18" customHeight="1" x14ac:dyDescent="0.3">
      <c r="A13" s="494">
        <v>6</v>
      </c>
      <c r="B13" s="495"/>
      <c r="C13" s="508">
        <v>4</v>
      </c>
      <c r="D13" s="504" t="s">
        <v>660</v>
      </c>
      <c r="E13" s="498"/>
      <c r="F13" s="505"/>
      <c r="G13" s="506"/>
      <c r="H13" s="1400"/>
      <c r="I13" s="1045">
        <v>400</v>
      </c>
      <c r="J13" s="1052">
        <v>400</v>
      </c>
      <c r="K13" s="1535"/>
    </row>
    <row r="14" spans="1:246" ht="18" customHeight="1" x14ac:dyDescent="0.3">
      <c r="A14" s="494">
        <v>7</v>
      </c>
      <c r="B14" s="495"/>
      <c r="C14" s="508">
        <v>5</v>
      </c>
      <c r="D14" s="509" t="s">
        <v>711</v>
      </c>
      <c r="E14" s="498"/>
      <c r="F14" s="505"/>
      <c r="G14" s="506"/>
      <c r="H14" s="1400"/>
      <c r="I14" s="1045"/>
      <c r="J14" s="1052">
        <v>0</v>
      </c>
      <c r="K14" s="1535"/>
    </row>
    <row r="15" spans="1:246" ht="18" customHeight="1" x14ac:dyDescent="0.3">
      <c r="A15" s="502">
        <v>8</v>
      </c>
      <c r="B15" s="495"/>
      <c r="C15" s="508">
        <v>6</v>
      </c>
      <c r="D15" s="509" t="s">
        <v>812</v>
      </c>
      <c r="E15" s="498"/>
      <c r="F15" s="505"/>
      <c r="G15" s="506"/>
      <c r="H15" s="1400"/>
      <c r="I15" s="1045"/>
      <c r="J15" s="1052">
        <v>950</v>
      </c>
      <c r="K15" s="1535"/>
    </row>
    <row r="16" spans="1:246" s="501" customFormat="1" ht="22.5" customHeight="1" x14ac:dyDescent="0.3">
      <c r="A16" s="494">
        <v>9</v>
      </c>
      <c r="B16" s="495">
        <v>2</v>
      </c>
      <c r="C16" s="512" t="s">
        <v>270</v>
      </c>
      <c r="D16" s="497"/>
      <c r="E16" s="498" t="s">
        <v>23</v>
      </c>
      <c r="F16" s="499">
        <v>8341</v>
      </c>
      <c r="G16" s="500">
        <v>3510</v>
      </c>
      <c r="H16" s="1399">
        <v>5501</v>
      </c>
      <c r="I16" s="1044"/>
      <c r="J16" s="1053"/>
      <c r="K16" s="1536"/>
    </row>
    <row r="17" spans="1:11" ht="60" customHeight="1" x14ac:dyDescent="0.3">
      <c r="A17" s="494">
        <v>10</v>
      </c>
      <c r="B17" s="495"/>
      <c r="C17" s="503">
        <v>1</v>
      </c>
      <c r="D17" s="504" t="s">
        <v>814</v>
      </c>
      <c r="E17" s="498"/>
      <c r="F17" s="505"/>
      <c r="G17" s="506"/>
      <c r="H17" s="1400"/>
      <c r="I17" s="1045"/>
      <c r="J17" s="1052">
        <v>2600</v>
      </c>
      <c r="K17" s="1535">
        <v>1062</v>
      </c>
    </row>
    <row r="18" spans="1:11" ht="18" customHeight="1" x14ac:dyDescent="0.3">
      <c r="A18" s="502">
        <v>11</v>
      </c>
      <c r="B18" s="495"/>
      <c r="C18" s="510" t="s">
        <v>320</v>
      </c>
      <c r="D18" s="511"/>
      <c r="E18" s="498"/>
      <c r="F18" s="505">
        <v>3840</v>
      </c>
      <c r="G18" s="506">
        <v>1300</v>
      </c>
      <c r="H18" s="1400">
        <v>2237</v>
      </c>
      <c r="I18" s="1045"/>
      <c r="J18" s="1052"/>
      <c r="K18" s="1535"/>
    </row>
    <row r="19" spans="1:11" ht="30" customHeight="1" x14ac:dyDescent="0.3">
      <c r="A19" s="494">
        <v>12</v>
      </c>
      <c r="B19" s="495"/>
      <c r="C19" s="503">
        <v>2</v>
      </c>
      <c r="D19" s="504" t="s">
        <v>813</v>
      </c>
      <c r="E19" s="498"/>
      <c r="F19" s="505"/>
      <c r="G19" s="506"/>
      <c r="H19" s="1400"/>
      <c r="I19" s="1045"/>
      <c r="J19" s="1052">
        <v>400</v>
      </c>
      <c r="K19" s="1535">
        <v>23</v>
      </c>
    </row>
    <row r="20" spans="1:11" s="501" customFormat="1" ht="22.5" customHeight="1" x14ac:dyDescent="0.3">
      <c r="A20" s="494">
        <v>13</v>
      </c>
      <c r="B20" s="495">
        <v>3</v>
      </c>
      <c r="C20" s="512" t="s">
        <v>233</v>
      </c>
      <c r="D20" s="497"/>
      <c r="E20" s="498" t="s">
        <v>23</v>
      </c>
      <c r="F20" s="499">
        <v>951</v>
      </c>
      <c r="G20" s="500">
        <v>3493</v>
      </c>
      <c r="H20" s="1399">
        <v>581</v>
      </c>
      <c r="I20" s="1044"/>
      <c r="J20" s="1053"/>
      <c r="K20" s="1536"/>
    </row>
    <row r="21" spans="1:11" ht="30" customHeight="1" x14ac:dyDescent="0.3">
      <c r="A21" s="502">
        <v>14</v>
      </c>
      <c r="B21" s="495"/>
      <c r="C21" s="503">
        <v>1</v>
      </c>
      <c r="D21" s="504" t="s">
        <v>809</v>
      </c>
      <c r="E21" s="498"/>
      <c r="F21" s="505"/>
      <c r="G21" s="506"/>
      <c r="H21" s="1400"/>
      <c r="I21" s="1045">
        <v>1760</v>
      </c>
      <c r="J21" s="1052">
        <v>1440</v>
      </c>
      <c r="K21" s="1535">
        <v>133</v>
      </c>
    </row>
    <row r="22" spans="1:11" ht="30" customHeight="1" x14ac:dyDescent="0.3">
      <c r="A22" s="494">
        <v>15</v>
      </c>
      <c r="B22" s="495"/>
      <c r="C22" s="503">
        <v>2</v>
      </c>
      <c r="D22" s="504" t="s">
        <v>810</v>
      </c>
      <c r="E22" s="498"/>
      <c r="F22" s="505"/>
      <c r="G22" s="506"/>
      <c r="H22" s="1400"/>
      <c r="I22" s="1045">
        <v>291</v>
      </c>
      <c r="J22" s="1052">
        <v>611</v>
      </c>
      <c r="K22" s="1535"/>
    </row>
    <row r="23" spans="1:11" ht="18" customHeight="1" x14ac:dyDescent="0.3">
      <c r="A23" s="494">
        <v>16</v>
      </c>
      <c r="B23" s="495"/>
      <c r="C23" s="508">
        <v>3</v>
      </c>
      <c r="D23" s="509" t="s">
        <v>661</v>
      </c>
      <c r="E23" s="498"/>
      <c r="F23" s="505"/>
      <c r="G23" s="506"/>
      <c r="H23" s="1400"/>
      <c r="I23" s="1045">
        <v>150</v>
      </c>
      <c r="J23" s="1052">
        <v>150</v>
      </c>
      <c r="K23" s="1535"/>
    </row>
    <row r="24" spans="1:11" ht="18" customHeight="1" x14ac:dyDescent="0.3">
      <c r="A24" s="502">
        <v>17</v>
      </c>
      <c r="B24" s="495"/>
      <c r="C24" s="510" t="s">
        <v>390</v>
      </c>
      <c r="D24" s="511"/>
      <c r="E24" s="498"/>
      <c r="F24" s="505">
        <v>317</v>
      </c>
      <c r="G24" s="506"/>
      <c r="H24" s="1400">
        <v>502</v>
      </c>
      <c r="I24" s="1045"/>
      <c r="J24" s="1052"/>
      <c r="K24" s="1535"/>
    </row>
    <row r="25" spans="1:11" ht="30" customHeight="1" x14ac:dyDescent="0.3">
      <c r="A25" s="494">
        <v>18</v>
      </c>
      <c r="B25" s="495"/>
      <c r="C25" s="503">
        <v>4</v>
      </c>
      <c r="D25" s="509" t="s">
        <v>794</v>
      </c>
      <c r="E25" s="498"/>
      <c r="F25" s="505"/>
      <c r="G25" s="506"/>
      <c r="H25" s="1400"/>
      <c r="I25" s="1045">
        <v>208</v>
      </c>
      <c r="J25" s="1052">
        <v>208</v>
      </c>
      <c r="K25" s="1535">
        <v>181</v>
      </c>
    </row>
    <row r="26" spans="1:11" s="501" customFormat="1" ht="22.5" customHeight="1" x14ac:dyDescent="0.3">
      <c r="A26" s="494">
        <v>19</v>
      </c>
      <c r="B26" s="495">
        <v>4</v>
      </c>
      <c r="C26" s="512" t="s">
        <v>234</v>
      </c>
      <c r="D26" s="497"/>
      <c r="E26" s="498" t="s">
        <v>23</v>
      </c>
      <c r="F26" s="499">
        <v>1115</v>
      </c>
      <c r="G26" s="500">
        <v>2841</v>
      </c>
      <c r="H26" s="1399">
        <v>2922</v>
      </c>
      <c r="I26" s="1044"/>
      <c r="J26" s="1053"/>
      <c r="K26" s="1536"/>
    </row>
    <row r="27" spans="1:11" ht="45" customHeight="1" x14ac:dyDescent="0.3">
      <c r="A27" s="502">
        <v>20</v>
      </c>
      <c r="B27" s="495"/>
      <c r="C27" s="503">
        <v>1</v>
      </c>
      <c r="D27" s="504" t="s">
        <v>716</v>
      </c>
      <c r="E27" s="498"/>
      <c r="F27" s="505"/>
      <c r="G27" s="506"/>
      <c r="H27" s="1400"/>
      <c r="I27" s="1045">
        <v>211</v>
      </c>
      <c r="J27" s="1052">
        <v>2131</v>
      </c>
      <c r="K27" s="1535">
        <v>1779</v>
      </c>
    </row>
    <row r="28" spans="1:11" ht="18" customHeight="1" x14ac:dyDescent="0.3">
      <c r="A28" s="494">
        <v>21</v>
      </c>
      <c r="B28" s="495"/>
      <c r="C28" s="508">
        <v>2</v>
      </c>
      <c r="D28" s="504" t="s">
        <v>712</v>
      </c>
      <c r="E28" s="498"/>
      <c r="F28" s="505"/>
      <c r="G28" s="506"/>
      <c r="H28" s="1400"/>
      <c r="I28" s="1045"/>
      <c r="J28" s="1052">
        <v>2000</v>
      </c>
      <c r="K28" s="1535"/>
    </row>
    <row r="29" spans="1:11" ht="18" customHeight="1" x14ac:dyDescent="0.3">
      <c r="A29" s="494">
        <v>22</v>
      </c>
      <c r="B29" s="495"/>
      <c r="C29" s="508">
        <v>3</v>
      </c>
      <c r="D29" s="504" t="s">
        <v>714</v>
      </c>
      <c r="E29" s="498"/>
      <c r="F29" s="505"/>
      <c r="G29" s="506"/>
      <c r="H29" s="1400"/>
      <c r="I29" s="1045"/>
      <c r="J29" s="1052">
        <v>960</v>
      </c>
      <c r="K29" s="1535">
        <v>592</v>
      </c>
    </row>
    <row r="30" spans="1:11" ht="18" customHeight="1" x14ac:dyDescent="0.3">
      <c r="A30" s="502">
        <v>23</v>
      </c>
      <c r="B30" s="495"/>
      <c r="C30" s="508">
        <v>4</v>
      </c>
      <c r="D30" s="504" t="s">
        <v>713</v>
      </c>
      <c r="E30" s="498"/>
      <c r="F30" s="505"/>
      <c r="G30" s="506"/>
      <c r="H30" s="1400"/>
      <c r="I30" s="1045"/>
      <c r="J30" s="1052">
        <v>300</v>
      </c>
      <c r="K30" s="1535"/>
    </row>
    <row r="31" spans="1:11" ht="18" customHeight="1" x14ac:dyDescent="0.3">
      <c r="A31" s="494">
        <v>24</v>
      </c>
      <c r="B31" s="495"/>
      <c r="C31" s="508">
        <v>5</v>
      </c>
      <c r="D31" s="504" t="s">
        <v>715</v>
      </c>
      <c r="E31" s="498"/>
      <c r="F31" s="505"/>
      <c r="G31" s="506"/>
      <c r="H31" s="1400"/>
      <c r="I31" s="1045"/>
      <c r="J31" s="1052">
        <v>320</v>
      </c>
      <c r="K31" s="1535"/>
    </row>
    <row r="32" spans="1:11" ht="18" customHeight="1" x14ac:dyDescent="0.3">
      <c r="A32" s="494">
        <v>25</v>
      </c>
      <c r="B32" s="495"/>
      <c r="C32" s="513" t="s">
        <v>321</v>
      </c>
      <c r="D32" s="504"/>
      <c r="E32" s="498"/>
      <c r="F32" s="505">
        <v>0</v>
      </c>
      <c r="G32" s="506">
        <v>420</v>
      </c>
      <c r="H32" s="1400">
        <v>458</v>
      </c>
      <c r="I32" s="1045"/>
      <c r="J32" s="1052"/>
      <c r="K32" s="1535"/>
    </row>
    <row r="33" spans="1:11" ht="90" customHeight="1" x14ac:dyDescent="0.3">
      <c r="A33" s="502">
        <v>26</v>
      </c>
      <c r="B33" s="495"/>
      <c r="C33" s="503">
        <v>6</v>
      </c>
      <c r="D33" s="504" t="s">
        <v>717</v>
      </c>
      <c r="E33" s="498"/>
      <c r="F33" s="505"/>
      <c r="G33" s="506"/>
      <c r="H33" s="1400"/>
      <c r="I33" s="1045"/>
      <c r="J33" s="1054">
        <v>1500</v>
      </c>
      <c r="K33" s="1537">
        <v>899</v>
      </c>
    </row>
    <row r="34" spans="1:11" s="501" customFormat="1" ht="22.5" customHeight="1" x14ac:dyDescent="0.3">
      <c r="A34" s="494">
        <v>27</v>
      </c>
      <c r="B34" s="495">
        <v>5</v>
      </c>
      <c r="C34" s="512" t="s">
        <v>235</v>
      </c>
      <c r="D34" s="497"/>
      <c r="E34" s="498" t="s">
        <v>23</v>
      </c>
      <c r="F34" s="499">
        <v>707</v>
      </c>
      <c r="G34" s="500">
        <v>3994</v>
      </c>
      <c r="H34" s="1399">
        <v>4776</v>
      </c>
      <c r="I34" s="1044"/>
      <c r="J34" s="1053"/>
      <c r="K34" s="1536"/>
    </row>
    <row r="35" spans="1:11" ht="45" customHeight="1" x14ac:dyDescent="0.3">
      <c r="A35" s="494">
        <v>28</v>
      </c>
      <c r="B35" s="495"/>
      <c r="C35" s="503">
        <v>1</v>
      </c>
      <c r="D35" s="504" t="s">
        <v>797</v>
      </c>
      <c r="E35" s="498"/>
      <c r="F35" s="505"/>
      <c r="G35" s="506"/>
      <c r="H35" s="1400"/>
      <c r="I35" s="1045">
        <v>49</v>
      </c>
      <c r="J35" s="1052">
        <v>1149</v>
      </c>
      <c r="K35" s="1535">
        <v>40</v>
      </c>
    </row>
    <row r="36" spans="1:11" ht="18" customHeight="1" x14ac:dyDescent="0.3">
      <c r="A36" s="502">
        <v>29</v>
      </c>
      <c r="B36" s="495"/>
      <c r="C36" s="513" t="s">
        <v>322</v>
      </c>
      <c r="D36" s="504"/>
      <c r="E36" s="498"/>
      <c r="F36" s="505">
        <v>399</v>
      </c>
      <c r="G36" s="506">
        <v>3500</v>
      </c>
      <c r="H36" s="1400">
        <v>4669</v>
      </c>
      <c r="I36" s="1045"/>
      <c r="J36" s="1052"/>
      <c r="K36" s="1535"/>
    </row>
    <row r="37" spans="1:11" ht="18" customHeight="1" x14ac:dyDescent="0.3">
      <c r="A37" s="494">
        <v>30</v>
      </c>
      <c r="B37" s="495"/>
      <c r="C37" s="508">
        <v>2</v>
      </c>
      <c r="D37" s="504" t="s">
        <v>718</v>
      </c>
      <c r="E37" s="498"/>
      <c r="F37" s="505"/>
      <c r="G37" s="506"/>
      <c r="H37" s="1400"/>
      <c r="I37" s="1045"/>
      <c r="J37" s="1052">
        <v>400</v>
      </c>
      <c r="K37" s="1535"/>
    </row>
    <row r="38" spans="1:11" ht="18" customHeight="1" x14ac:dyDescent="0.3">
      <c r="A38" s="494">
        <v>31</v>
      </c>
      <c r="B38" s="495"/>
      <c r="C38" s="508">
        <v>3</v>
      </c>
      <c r="D38" s="509" t="s">
        <v>719</v>
      </c>
      <c r="E38" s="498"/>
      <c r="F38" s="505"/>
      <c r="G38" s="506"/>
      <c r="H38" s="1400"/>
      <c r="I38" s="1045"/>
      <c r="J38" s="1052">
        <v>746</v>
      </c>
      <c r="K38" s="1535"/>
    </row>
    <row r="39" spans="1:11" s="501" customFormat="1" ht="22.5" customHeight="1" x14ac:dyDescent="0.3">
      <c r="A39" s="502">
        <v>32</v>
      </c>
      <c r="B39" s="495">
        <v>6</v>
      </c>
      <c r="C39" s="512" t="s">
        <v>236</v>
      </c>
      <c r="D39" s="497"/>
      <c r="E39" s="498" t="s">
        <v>23</v>
      </c>
      <c r="F39" s="499">
        <v>2078</v>
      </c>
      <c r="G39" s="500">
        <v>7519</v>
      </c>
      <c r="H39" s="1399">
        <v>6268</v>
      </c>
      <c r="I39" s="1044"/>
      <c r="J39" s="1053"/>
      <c r="K39" s="1536"/>
    </row>
    <row r="40" spans="1:11" ht="30" customHeight="1" x14ac:dyDescent="0.3">
      <c r="A40" s="494">
        <v>33</v>
      </c>
      <c r="B40" s="495"/>
      <c r="C40" s="503">
        <v>1</v>
      </c>
      <c r="D40" s="504" t="s">
        <v>730</v>
      </c>
      <c r="E40" s="498"/>
      <c r="F40" s="505"/>
      <c r="G40" s="506"/>
      <c r="H40" s="1400"/>
      <c r="I40" s="1045">
        <v>1000</v>
      </c>
      <c r="J40" s="1052">
        <v>1547</v>
      </c>
      <c r="K40" s="1535">
        <v>287</v>
      </c>
    </row>
    <row r="41" spans="1:11" ht="18" customHeight="1" x14ac:dyDescent="0.3">
      <c r="A41" s="494">
        <v>34</v>
      </c>
      <c r="B41" s="495"/>
      <c r="C41" s="508">
        <v>2</v>
      </c>
      <c r="D41" s="509" t="s">
        <v>659</v>
      </c>
      <c r="E41" s="498"/>
      <c r="F41" s="505"/>
      <c r="G41" s="506"/>
      <c r="H41" s="1400"/>
      <c r="I41" s="1045">
        <v>1000</v>
      </c>
      <c r="J41" s="1052">
        <v>1000</v>
      </c>
      <c r="K41" s="1535">
        <v>563</v>
      </c>
    </row>
    <row r="42" spans="1:11" ht="18" customHeight="1" x14ac:dyDescent="0.3">
      <c r="A42" s="502">
        <v>35</v>
      </c>
      <c r="B42" s="495"/>
      <c r="C42" s="508">
        <v>3</v>
      </c>
      <c r="D42" s="509" t="s">
        <v>720</v>
      </c>
      <c r="E42" s="498"/>
      <c r="F42" s="505"/>
      <c r="G42" s="506"/>
      <c r="H42" s="1400"/>
      <c r="I42" s="1045"/>
      <c r="J42" s="1052">
        <v>723</v>
      </c>
      <c r="K42" s="1535"/>
    </row>
    <row r="43" spans="1:11" ht="18" customHeight="1" x14ac:dyDescent="0.3">
      <c r="A43" s="494">
        <v>36</v>
      </c>
      <c r="B43" s="495"/>
      <c r="C43" s="508">
        <v>4</v>
      </c>
      <c r="D43" s="509" t="s">
        <v>721</v>
      </c>
      <c r="E43" s="498"/>
      <c r="F43" s="505"/>
      <c r="G43" s="506"/>
      <c r="H43" s="1400"/>
      <c r="I43" s="1045"/>
      <c r="J43" s="1052">
        <v>762</v>
      </c>
      <c r="K43" s="1535"/>
    </row>
    <row r="44" spans="1:11" ht="18" customHeight="1" x14ac:dyDescent="0.3">
      <c r="A44" s="494">
        <v>37</v>
      </c>
      <c r="B44" s="495"/>
      <c r="C44" s="508">
        <v>5</v>
      </c>
      <c r="D44" s="509" t="s">
        <v>722</v>
      </c>
      <c r="E44" s="498"/>
      <c r="F44" s="505"/>
      <c r="G44" s="506"/>
      <c r="H44" s="1400"/>
      <c r="I44" s="1045"/>
      <c r="J44" s="1052">
        <v>440</v>
      </c>
      <c r="K44" s="1535"/>
    </row>
    <row r="45" spans="1:11" ht="18" customHeight="1" x14ac:dyDescent="0.3">
      <c r="A45" s="502">
        <v>38</v>
      </c>
      <c r="B45" s="495"/>
      <c r="C45" s="508">
        <v>6</v>
      </c>
      <c r="D45" s="509" t="s">
        <v>723</v>
      </c>
      <c r="E45" s="498"/>
      <c r="F45" s="505"/>
      <c r="G45" s="506"/>
      <c r="H45" s="1400"/>
      <c r="I45" s="1045"/>
      <c r="J45" s="1052">
        <v>250</v>
      </c>
      <c r="K45" s="1535"/>
    </row>
    <row r="46" spans="1:11" ht="18" customHeight="1" x14ac:dyDescent="0.3">
      <c r="A46" s="494">
        <v>39</v>
      </c>
      <c r="B46" s="495"/>
      <c r="C46" s="508">
        <v>7</v>
      </c>
      <c r="D46" s="509" t="s">
        <v>724</v>
      </c>
      <c r="E46" s="498"/>
      <c r="F46" s="505"/>
      <c r="G46" s="506"/>
      <c r="H46" s="1400"/>
      <c r="I46" s="1045"/>
      <c r="J46" s="1052">
        <v>600</v>
      </c>
      <c r="K46" s="1535"/>
    </row>
    <row r="47" spans="1:11" ht="18" customHeight="1" x14ac:dyDescent="0.3">
      <c r="A47" s="494">
        <v>40</v>
      </c>
      <c r="B47" s="495"/>
      <c r="C47" s="508">
        <v>8</v>
      </c>
      <c r="D47" s="509" t="s">
        <v>725</v>
      </c>
      <c r="E47" s="498"/>
      <c r="F47" s="505"/>
      <c r="G47" s="506"/>
      <c r="H47" s="1400"/>
      <c r="I47" s="1045"/>
      <c r="J47" s="1052">
        <v>355</v>
      </c>
      <c r="K47" s="1535"/>
    </row>
    <row r="48" spans="1:11" ht="18" customHeight="1" x14ac:dyDescent="0.3">
      <c r="A48" s="502">
        <v>41</v>
      </c>
      <c r="B48" s="495"/>
      <c r="C48" s="508">
        <v>9</v>
      </c>
      <c r="D48" s="509" t="s">
        <v>726</v>
      </c>
      <c r="E48" s="498"/>
      <c r="F48" s="505"/>
      <c r="G48" s="506"/>
      <c r="H48" s="1400"/>
      <c r="I48" s="1045"/>
      <c r="J48" s="1052">
        <v>378</v>
      </c>
      <c r="K48" s="1535"/>
    </row>
    <row r="49" spans="1:11" ht="18" customHeight="1" x14ac:dyDescent="0.3">
      <c r="A49" s="494">
        <v>42</v>
      </c>
      <c r="B49" s="495"/>
      <c r="C49" s="508">
        <v>10</v>
      </c>
      <c r="D49" s="509" t="s">
        <v>727</v>
      </c>
      <c r="E49" s="498"/>
      <c r="F49" s="505"/>
      <c r="G49" s="506"/>
      <c r="H49" s="1400"/>
      <c r="I49" s="1045"/>
      <c r="J49" s="1052">
        <v>889</v>
      </c>
      <c r="K49" s="1535"/>
    </row>
    <row r="50" spans="1:11" ht="18" customHeight="1" x14ac:dyDescent="0.3">
      <c r="A50" s="494">
        <v>43</v>
      </c>
      <c r="B50" s="495"/>
      <c r="C50" s="508">
        <v>11</v>
      </c>
      <c r="D50" s="509" t="s">
        <v>839</v>
      </c>
      <c r="E50" s="498"/>
      <c r="F50" s="505"/>
      <c r="G50" s="506"/>
      <c r="H50" s="1400"/>
      <c r="I50" s="1045"/>
      <c r="J50" s="1052">
        <v>150</v>
      </c>
      <c r="K50" s="1535"/>
    </row>
    <row r="51" spans="1:11" ht="18" customHeight="1" x14ac:dyDescent="0.3">
      <c r="A51" s="502">
        <v>44</v>
      </c>
      <c r="B51" s="495"/>
      <c r="C51" s="513" t="s">
        <v>323</v>
      </c>
      <c r="D51" s="504"/>
      <c r="E51" s="498"/>
      <c r="F51" s="505">
        <v>347</v>
      </c>
      <c r="G51" s="506">
        <v>5614</v>
      </c>
      <c r="H51" s="1400">
        <v>2779</v>
      </c>
      <c r="I51" s="1045"/>
      <c r="J51" s="1052"/>
      <c r="K51" s="1535"/>
    </row>
    <row r="52" spans="1:11" ht="30" customHeight="1" x14ac:dyDescent="0.3">
      <c r="A52" s="494">
        <v>45</v>
      </c>
      <c r="B52" s="495"/>
      <c r="C52" s="503">
        <v>12</v>
      </c>
      <c r="D52" s="504" t="s">
        <v>731</v>
      </c>
      <c r="E52" s="498"/>
      <c r="F52" s="505"/>
      <c r="G52" s="506"/>
      <c r="H52" s="1400"/>
      <c r="I52" s="1045">
        <v>3774</v>
      </c>
      <c r="J52" s="1052">
        <v>4060</v>
      </c>
      <c r="K52" s="1535">
        <v>1159</v>
      </c>
    </row>
    <row r="53" spans="1:11" ht="18" customHeight="1" x14ac:dyDescent="0.3">
      <c r="A53" s="494">
        <v>46</v>
      </c>
      <c r="B53" s="495"/>
      <c r="C53" s="527">
        <v>13</v>
      </c>
      <c r="D53" s="504" t="s">
        <v>725</v>
      </c>
      <c r="E53" s="498"/>
      <c r="F53" s="505"/>
      <c r="G53" s="506"/>
      <c r="H53" s="1400"/>
      <c r="I53" s="1045"/>
      <c r="J53" s="1052">
        <v>381</v>
      </c>
      <c r="K53" s="1535"/>
    </row>
    <row r="54" spans="1:11" ht="18" customHeight="1" x14ac:dyDescent="0.3">
      <c r="A54" s="502">
        <v>47</v>
      </c>
      <c r="B54" s="495"/>
      <c r="C54" s="527">
        <v>14</v>
      </c>
      <c r="D54" s="504" t="s">
        <v>728</v>
      </c>
      <c r="E54" s="498"/>
      <c r="F54" s="505"/>
      <c r="G54" s="506"/>
      <c r="H54" s="1400"/>
      <c r="I54" s="1045"/>
      <c r="J54" s="1052">
        <v>980</v>
      </c>
      <c r="K54" s="1535"/>
    </row>
    <row r="55" spans="1:11" ht="18" customHeight="1" x14ac:dyDescent="0.3">
      <c r="A55" s="494">
        <v>48</v>
      </c>
      <c r="B55" s="495"/>
      <c r="C55" s="527">
        <v>15</v>
      </c>
      <c r="D55" s="504" t="s">
        <v>729</v>
      </c>
      <c r="E55" s="498"/>
      <c r="F55" s="505"/>
      <c r="G55" s="506"/>
      <c r="H55" s="1400"/>
      <c r="I55" s="1045"/>
      <c r="J55" s="1052">
        <v>300</v>
      </c>
      <c r="K55" s="1535">
        <v>279</v>
      </c>
    </row>
    <row r="56" spans="1:11" ht="18" customHeight="1" x14ac:dyDescent="0.3">
      <c r="A56" s="494">
        <v>49</v>
      </c>
      <c r="B56" s="495"/>
      <c r="C56" s="527">
        <v>16</v>
      </c>
      <c r="D56" s="504" t="s">
        <v>732</v>
      </c>
      <c r="E56" s="498"/>
      <c r="F56" s="505"/>
      <c r="G56" s="506"/>
      <c r="H56" s="1400"/>
      <c r="I56" s="1045"/>
      <c r="J56" s="1052">
        <v>508</v>
      </c>
      <c r="K56" s="1535"/>
    </row>
    <row r="57" spans="1:11" ht="30" customHeight="1" x14ac:dyDescent="0.3">
      <c r="A57" s="502">
        <v>50</v>
      </c>
      <c r="B57" s="495"/>
      <c r="C57" s="1311">
        <v>17</v>
      </c>
      <c r="D57" s="509" t="s">
        <v>843</v>
      </c>
      <c r="E57" s="498"/>
      <c r="F57" s="505"/>
      <c r="G57" s="506"/>
      <c r="H57" s="1400"/>
      <c r="I57" s="1045"/>
      <c r="J57" s="1052">
        <v>100</v>
      </c>
      <c r="K57" s="1535"/>
    </row>
    <row r="58" spans="1:11" s="501" customFormat="1" ht="22.5" customHeight="1" x14ac:dyDescent="0.3">
      <c r="A58" s="494">
        <v>51</v>
      </c>
      <c r="B58" s="495">
        <v>7</v>
      </c>
      <c r="C58" s="496" t="s">
        <v>278</v>
      </c>
      <c r="D58" s="497"/>
      <c r="E58" s="498" t="s">
        <v>23</v>
      </c>
      <c r="F58" s="514"/>
      <c r="G58" s="500"/>
      <c r="H58" s="1401"/>
      <c r="I58" s="1044"/>
      <c r="J58" s="1053"/>
      <c r="K58" s="1536"/>
    </row>
    <row r="59" spans="1:11" ht="18" customHeight="1" x14ac:dyDescent="0.3">
      <c r="A59" s="494">
        <v>52</v>
      </c>
      <c r="B59" s="495"/>
      <c r="C59" s="513" t="s">
        <v>348</v>
      </c>
      <c r="D59" s="515"/>
      <c r="E59" s="498"/>
      <c r="F59" s="505">
        <v>438</v>
      </c>
      <c r="G59" s="506">
        <v>300</v>
      </c>
      <c r="H59" s="1400">
        <v>880</v>
      </c>
      <c r="I59" s="1045"/>
      <c r="J59" s="1052"/>
      <c r="K59" s="1535"/>
    </row>
    <row r="60" spans="1:11" ht="18" customHeight="1" x14ac:dyDescent="0.3">
      <c r="A60" s="502">
        <v>53</v>
      </c>
      <c r="B60" s="495"/>
      <c r="C60" s="508">
        <v>1</v>
      </c>
      <c r="D60" s="504" t="s">
        <v>733</v>
      </c>
      <c r="E60" s="498"/>
      <c r="F60" s="505"/>
      <c r="G60" s="506"/>
      <c r="H60" s="1400"/>
      <c r="I60" s="1045">
        <v>150</v>
      </c>
      <c r="J60" s="1052">
        <v>700</v>
      </c>
      <c r="K60" s="1535"/>
    </row>
    <row r="61" spans="1:11" ht="18" customHeight="1" x14ac:dyDescent="0.3">
      <c r="A61" s="494">
        <v>54</v>
      </c>
      <c r="B61" s="495"/>
      <c r="C61" s="513" t="s">
        <v>324</v>
      </c>
      <c r="D61" s="515"/>
      <c r="E61" s="498"/>
      <c r="F61" s="505">
        <v>257</v>
      </c>
      <c r="G61" s="506">
        <v>300</v>
      </c>
      <c r="H61" s="1400">
        <v>1129</v>
      </c>
      <c r="I61" s="1045"/>
      <c r="J61" s="1052"/>
      <c r="K61" s="1535"/>
    </row>
    <row r="62" spans="1:11" ht="18" customHeight="1" x14ac:dyDescent="0.3">
      <c r="A62" s="494">
        <v>55</v>
      </c>
      <c r="B62" s="495"/>
      <c r="C62" s="508">
        <v>2</v>
      </c>
      <c r="D62" s="504" t="s">
        <v>733</v>
      </c>
      <c r="E62" s="498"/>
      <c r="F62" s="505"/>
      <c r="G62" s="506"/>
      <c r="H62" s="1400"/>
      <c r="I62" s="1045">
        <v>300</v>
      </c>
      <c r="J62" s="1052">
        <v>1400</v>
      </c>
      <c r="K62" s="1535"/>
    </row>
    <row r="63" spans="1:11" ht="18" customHeight="1" x14ac:dyDescent="0.3">
      <c r="A63" s="502">
        <v>56</v>
      </c>
      <c r="B63" s="495"/>
      <c r="C63" s="513" t="s">
        <v>325</v>
      </c>
      <c r="D63" s="515"/>
      <c r="E63" s="498"/>
      <c r="F63" s="505">
        <v>172</v>
      </c>
      <c r="G63" s="506">
        <v>330</v>
      </c>
      <c r="H63" s="1400">
        <v>1311</v>
      </c>
      <c r="I63" s="1045"/>
      <c r="J63" s="1052"/>
      <c r="K63" s="1535"/>
    </row>
    <row r="64" spans="1:11" ht="18" customHeight="1" x14ac:dyDescent="0.3">
      <c r="A64" s="494">
        <v>57</v>
      </c>
      <c r="B64" s="495"/>
      <c r="C64" s="508">
        <v>3</v>
      </c>
      <c r="D64" s="504" t="s">
        <v>733</v>
      </c>
      <c r="E64" s="498"/>
      <c r="F64" s="505"/>
      <c r="G64" s="506"/>
      <c r="H64" s="1400"/>
      <c r="I64" s="1045">
        <v>450</v>
      </c>
      <c r="J64" s="1052">
        <v>2000</v>
      </c>
      <c r="K64" s="1535"/>
    </row>
    <row r="65" spans="1:11" ht="18" customHeight="1" x14ac:dyDescent="0.3">
      <c r="A65" s="494">
        <v>58</v>
      </c>
      <c r="B65" s="495"/>
      <c r="C65" s="513" t="s">
        <v>327</v>
      </c>
      <c r="D65" s="504"/>
      <c r="E65" s="498"/>
      <c r="F65" s="505">
        <v>384</v>
      </c>
      <c r="G65" s="506">
        <v>1528</v>
      </c>
      <c r="H65" s="1400">
        <v>3059</v>
      </c>
      <c r="I65" s="1045"/>
      <c r="J65" s="1052"/>
      <c r="K65" s="1535"/>
    </row>
    <row r="66" spans="1:11" ht="18" customHeight="1" x14ac:dyDescent="0.3">
      <c r="A66" s="502">
        <v>59</v>
      </c>
      <c r="B66" s="495"/>
      <c r="C66" s="508">
        <v>4</v>
      </c>
      <c r="D66" s="504" t="s">
        <v>733</v>
      </c>
      <c r="E66" s="498"/>
      <c r="F66" s="505"/>
      <c r="G66" s="506"/>
      <c r="H66" s="1400"/>
      <c r="I66" s="1045">
        <v>370</v>
      </c>
      <c r="J66" s="1052">
        <v>2270</v>
      </c>
      <c r="K66" s="1535">
        <v>206</v>
      </c>
    </row>
    <row r="67" spans="1:11" ht="18" customHeight="1" x14ac:dyDescent="0.3">
      <c r="A67" s="494">
        <v>60</v>
      </c>
      <c r="B67" s="495"/>
      <c r="C67" s="513" t="s">
        <v>326</v>
      </c>
      <c r="D67" s="515"/>
      <c r="E67" s="498"/>
      <c r="F67" s="505">
        <v>290</v>
      </c>
      <c r="G67" s="506">
        <v>300</v>
      </c>
      <c r="H67" s="1400">
        <v>1358</v>
      </c>
      <c r="I67" s="1045"/>
      <c r="J67" s="1052"/>
      <c r="K67" s="1535"/>
    </row>
    <row r="68" spans="1:11" ht="18" customHeight="1" x14ac:dyDescent="0.3">
      <c r="A68" s="494">
        <v>61</v>
      </c>
      <c r="B68" s="495"/>
      <c r="C68" s="508">
        <v>5</v>
      </c>
      <c r="D68" s="504" t="s">
        <v>662</v>
      </c>
      <c r="E68" s="498"/>
      <c r="F68" s="505"/>
      <c r="G68" s="506"/>
      <c r="H68" s="1400"/>
      <c r="I68" s="1045">
        <v>300</v>
      </c>
      <c r="J68" s="1052">
        <v>1400</v>
      </c>
      <c r="K68" s="1535"/>
    </row>
    <row r="69" spans="1:11" ht="18" customHeight="1" x14ac:dyDescent="0.3">
      <c r="A69" s="502">
        <v>62</v>
      </c>
      <c r="B69" s="495"/>
      <c r="C69" s="513" t="s">
        <v>427</v>
      </c>
      <c r="D69" s="515"/>
      <c r="E69" s="498"/>
      <c r="F69" s="505"/>
      <c r="G69" s="506"/>
      <c r="H69" s="1400">
        <v>187</v>
      </c>
      <c r="I69" s="1045"/>
      <c r="J69" s="1052"/>
      <c r="K69" s="1535"/>
    </row>
    <row r="70" spans="1:11" ht="18" customHeight="1" x14ac:dyDescent="0.3">
      <c r="A70" s="494">
        <v>63</v>
      </c>
      <c r="B70" s="495"/>
      <c r="C70" s="508">
        <v>6</v>
      </c>
      <c r="D70" s="504" t="s">
        <v>734</v>
      </c>
      <c r="E70" s="498"/>
      <c r="F70" s="505"/>
      <c r="G70" s="506"/>
      <c r="H70" s="1400"/>
      <c r="I70" s="1045"/>
      <c r="J70" s="1052">
        <v>200</v>
      </c>
      <c r="K70" s="1535"/>
    </row>
    <row r="71" spans="1:11" ht="18" customHeight="1" x14ac:dyDescent="0.3">
      <c r="A71" s="494">
        <v>64</v>
      </c>
      <c r="B71" s="495"/>
      <c r="C71" s="513" t="s">
        <v>298</v>
      </c>
      <c r="D71" s="504"/>
      <c r="E71" s="498"/>
      <c r="F71" s="505">
        <v>941</v>
      </c>
      <c r="G71" s="500"/>
      <c r="H71" s="1399">
        <v>2501</v>
      </c>
      <c r="I71" s="1044"/>
      <c r="J71" s="1052"/>
      <c r="K71" s="1535"/>
    </row>
    <row r="72" spans="1:11" ht="18" customHeight="1" x14ac:dyDescent="0.3">
      <c r="A72" s="502">
        <v>65</v>
      </c>
      <c r="B72" s="495"/>
      <c r="C72" s="508">
        <v>7</v>
      </c>
      <c r="D72" s="504" t="s">
        <v>735</v>
      </c>
      <c r="E72" s="498"/>
      <c r="F72" s="505"/>
      <c r="G72" s="506"/>
      <c r="H72" s="1400"/>
      <c r="I72" s="1045">
        <v>400</v>
      </c>
      <c r="J72" s="1052">
        <v>2000</v>
      </c>
      <c r="K72" s="1535">
        <v>135</v>
      </c>
    </row>
    <row r="73" spans="1:11" ht="18" customHeight="1" x14ac:dyDescent="0.3">
      <c r="A73" s="494">
        <v>66</v>
      </c>
      <c r="B73" s="495"/>
      <c r="C73" s="516" t="s">
        <v>428</v>
      </c>
      <c r="D73" s="504"/>
      <c r="E73" s="498"/>
      <c r="F73" s="505"/>
      <c r="G73" s="500">
        <v>690</v>
      </c>
      <c r="H73" s="1399">
        <v>2042</v>
      </c>
      <c r="I73" s="1044"/>
      <c r="J73" s="1052"/>
      <c r="K73" s="1535"/>
    </row>
    <row r="74" spans="1:11" ht="18" customHeight="1" x14ac:dyDescent="0.3">
      <c r="A74" s="494">
        <v>67</v>
      </c>
      <c r="B74" s="495"/>
      <c r="C74" s="508">
        <v>8</v>
      </c>
      <c r="D74" s="504"/>
      <c r="E74" s="498"/>
      <c r="F74" s="505"/>
      <c r="G74" s="506"/>
      <c r="H74" s="1400"/>
      <c r="I74" s="1045"/>
      <c r="J74" s="1052"/>
      <c r="K74" s="1535"/>
    </row>
    <row r="75" spans="1:11" s="501" customFormat="1" ht="22.5" customHeight="1" x14ac:dyDescent="0.3">
      <c r="A75" s="502">
        <v>68</v>
      </c>
      <c r="B75" s="495">
        <v>8</v>
      </c>
      <c r="C75" s="512" t="s">
        <v>108</v>
      </c>
      <c r="D75" s="497"/>
      <c r="E75" s="498" t="s">
        <v>23</v>
      </c>
      <c r="F75" s="499">
        <v>291</v>
      </c>
      <c r="G75" s="500">
        <v>341</v>
      </c>
      <c r="H75" s="1399">
        <v>533</v>
      </c>
      <c r="I75" s="1044"/>
      <c r="J75" s="1053"/>
      <c r="K75" s="1536"/>
    </row>
    <row r="76" spans="1:11" ht="18" customHeight="1" x14ac:dyDescent="0.3">
      <c r="A76" s="494">
        <v>69</v>
      </c>
      <c r="B76" s="495"/>
      <c r="C76" s="508">
        <v>1</v>
      </c>
      <c r="D76" s="504" t="s">
        <v>737</v>
      </c>
      <c r="E76" s="498"/>
      <c r="F76" s="505"/>
      <c r="G76" s="506"/>
      <c r="H76" s="1400"/>
      <c r="I76" s="1045">
        <v>307</v>
      </c>
      <c r="J76" s="1052">
        <v>807</v>
      </c>
      <c r="K76" s="1535">
        <v>331</v>
      </c>
    </row>
    <row r="77" spans="1:11" ht="18" customHeight="1" x14ac:dyDescent="0.3">
      <c r="A77" s="494">
        <v>70</v>
      </c>
      <c r="B77" s="495"/>
      <c r="C77" s="508">
        <v>2</v>
      </c>
      <c r="D77" s="509" t="s">
        <v>736</v>
      </c>
      <c r="E77" s="498"/>
      <c r="F77" s="505"/>
      <c r="G77" s="506"/>
      <c r="H77" s="1400"/>
      <c r="I77" s="1045"/>
      <c r="J77" s="1052">
        <v>600</v>
      </c>
      <c r="K77" s="1535">
        <v>95</v>
      </c>
    </row>
    <row r="78" spans="1:11" s="501" customFormat="1" ht="22.5" customHeight="1" x14ac:dyDescent="0.3">
      <c r="A78" s="502">
        <v>71</v>
      </c>
      <c r="B78" s="495">
        <v>9</v>
      </c>
      <c r="C78" s="512" t="s">
        <v>343</v>
      </c>
      <c r="D78" s="497"/>
      <c r="E78" s="498" t="s">
        <v>23</v>
      </c>
      <c r="F78" s="499">
        <v>3230</v>
      </c>
      <c r="G78" s="500">
        <v>9130</v>
      </c>
      <c r="H78" s="1399">
        <v>8186</v>
      </c>
      <c r="I78" s="1044"/>
      <c r="J78" s="1053"/>
      <c r="K78" s="1536"/>
    </row>
    <row r="79" spans="1:11" ht="18" customHeight="1" x14ac:dyDescent="0.3">
      <c r="A79" s="494">
        <v>72</v>
      </c>
      <c r="B79" s="495"/>
      <c r="C79" s="508">
        <v>1</v>
      </c>
      <c r="D79" s="504" t="s">
        <v>663</v>
      </c>
      <c r="E79" s="498"/>
      <c r="F79" s="505"/>
      <c r="G79" s="506"/>
      <c r="H79" s="1400"/>
      <c r="I79" s="1045">
        <v>1653</v>
      </c>
      <c r="J79" s="1052">
        <v>1653</v>
      </c>
      <c r="K79" s="1535">
        <v>399</v>
      </c>
    </row>
    <row r="80" spans="1:11" ht="18" customHeight="1" x14ac:dyDescent="0.3">
      <c r="A80" s="494">
        <v>73</v>
      </c>
      <c r="B80" s="495"/>
      <c r="C80" s="508">
        <v>2</v>
      </c>
      <c r="D80" s="504" t="s">
        <v>664</v>
      </c>
      <c r="E80" s="498"/>
      <c r="F80" s="505"/>
      <c r="G80" s="506"/>
      <c r="H80" s="1400"/>
      <c r="I80" s="1045">
        <v>52</v>
      </c>
      <c r="J80" s="1052">
        <v>52</v>
      </c>
      <c r="K80" s="1535">
        <v>65</v>
      </c>
    </row>
    <row r="81" spans="1:11" ht="30" x14ac:dyDescent="0.3">
      <c r="A81" s="502">
        <v>74</v>
      </c>
      <c r="B81" s="495"/>
      <c r="C81" s="503">
        <v>3</v>
      </c>
      <c r="D81" s="504" t="s">
        <v>638</v>
      </c>
      <c r="E81" s="498"/>
      <c r="F81" s="505"/>
      <c r="G81" s="506"/>
      <c r="H81" s="1400">
        <v>662</v>
      </c>
      <c r="I81" s="1045"/>
      <c r="J81" s="1054">
        <v>10</v>
      </c>
      <c r="K81" s="1537"/>
    </row>
    <row r="82" spans="1:11" ht="90" x14ac:dyDescent="0.3">
      <c r="A82" s="494">
        <v>75</v>
      </c>
      <c r="B82" s="495"/>
      <c r="C82" s="1311">
        <v>4</v>
      </c>
      <c r="D82" s="504" t="s">
        <v>738</v>
      </c>
      <c r="E82" s="498"/>
      <c r="F82" s="505"/>
      <c r="G82" s="506"/>
      <c r="H82" s="1400"/>
      <c r="I82" s="1045"/>
      <c r="J82" s="1054">
        <v>800</v>
      </c>
      <c r="K82" s="1537">
        <v>163</v>
      </c>
    </row>
    <row r="83" spans="1:11" ht="75" x14ac:dyDescent="0.3">
      <c r="A83" s="494">
        <v>76</v>
      </c>
      <c r="B83" s="495"/>
      <c r="C83" s="1311">
        <v>5</v>
      </c>
      <c r="D83" s="504" t="s">
        <v>739</v>
      </c>
      <c r="E83" s="498"/>
      <c r="F83" s="505"/>
      <c r="G83" s="506"/>
      <c r="H83" s="1400"/>
      <c r="I83" s="1045"/>
      <c r="J83" s="1054">
        <v>600</v>
      </c>
      <c r="K83" s="1537"/>
    </row>
    <row r="84" spans="1:11" ht="18" customHeight="1" x14ac:dyDescent="0.3">
      <c r="A84" s="502">
        <v>77</v>
      </c>
      <c r="B84" s="495"/>
      <c r="C84" s="527">
        <v>6</v>
      </c>
      <c r="D84" s="509" t="s">
        <v>740</v>
      </c>
      <c r="E84" s="498"/>
      <c r="F84" s="505"/>
      <c r="G84" s="506"/>
      <c r="H84" s="1400"/>
      <c r="I84" s="1045"/>
      <c r="J84" s="1054">
        <v>1000</v>
      </c>
      <c r="K84" s="1537">
        <v>426</v>
      </c>
    </row>
    <row r="85" spans="1:11" ht="29.25" customHeight="1" x14ac:dyDescent="0.3">
      <c r="A85" s="494">
        <v>78</v>
      </c>
      <c r="B85" s="495"/>
      <c r="C85" s="1311">
        <v>7</v>
      </c>
      <c r="D85" s="504" t="s">
        <v>799</v>
      </c>
      <c r="E85" s="498"/>
      <c r="F85" s="505"/>
      <c r="G85" s="506"/>
      <c r="H85" s="1400"/>
      <c r="I85" s="1045"/>
      <c r="J85" s="1054">
        <v>450</v>
      </c>
      <c r="K85" s="1537">
        <v>392</v>
      </c>
    </row>
    <row r="86" spans="1:11" s="501" customFormat="1" ht="22.5" customHeight="1" x14ac:dyDescent="0.3">
      <c r="A86" s="494">
        <v>79</v>
      </c>
      <c r="B86" s="495">
        <v>10</v>
      </c>
      <c r="C86" s="496" t="s">
        <v>345</v>
      </c>
      <c r="D86" s="497"/>
      <c r="E86" s="498" t="s">
        <v>23</v>
      </c>
      <c r="F86" s="499">
        <v>5225</v>
      </c>
      <c r="G86" s="500">
        <v>3000</v>
      </c>
      <c r="H86" s="1399">
        <v>13749</v>
      </c>
      <c r="I86" s="1044"/>
      <c r="J86" s="1053"/>
      <c r="K86" s="1536"/>
    </row>
    <row r="87" spans="1:11" ht="30" customHeight="1" x14ac:dyDescent="0.3">
      <c r="A87" s="502">
        <v>80</v>
      </c>
      <c r="B87" s="495"/>
      <c r="C87" s="503">
        <v>1</v>
      </c>
      <c r="D87" s="504" t="s">
        <v>745</v>
      </c>
      <c r="E87" s="498"/>
      <c r="F87" s="505"/>
      <c r="G87" s="506"/>
      <c r="H87" s="1400"/>
      <c r="I87" s="1045">
        <v>311</v>
      </c>
      <c r="J87" s="1052">
        <v>3291</v>
      </c>
      <c r="K87" s="1535">
        <v>1610</v>
      </c>
    </row>
    <row r="88" spans="1:11" s="520" customFormat="1" ht="30" x14ac:dyDescent="0.3">
      <c r="A88" s="494">
        <v>81</v>
      </c>
      <c r="B88" s="517"/>
      <c r="C88" s="503">
        <v>2</v>
      </c>
      <c r="D88" s="504" t="s">
        <v>665</v>
      </c>
      <c r="E88" s="518"/>
      <c r="F88" s="499"/>
      <c r="G88" s="519">
        <v>4050</v>
      </c>
      <c r="H88" s="1399"/>
      <c r="I88" s="1045">
        <v>2741</v>
      </c>
      <c r="J88" s="1052">
        <v>2741</v>
      </c>
      <c r="K88" s="1537"/>
    </row>
    <row r="89" spans="1:11" s="520" customFormat="1" ht="30" x14ac:dyDescent="0.3">
      <c r="A89" s="494">
        <v>82</v>
      </c>
      <c r="B89" s="517"/>
      <c r="C89" s="503">
        <v>3</v>
      </c>
      <c r="D89" s="504" t="s">
        <v>666</v>
      </c>
      <c r="E89" s="518"/>
      <c r="F89" s="499"/>
      <c r="G89" s="519"/>
      <c r="H89" s="1399">
        <v>568</v>
      </c>
      <c r="I89" s="1045"/>
      <c r="J89" s="1054"/>
      <c r="K89" s="1537"/>
    </row>
    <row r="90" spans="1:11" s="520" customFormat="1" ht="18" customHeight="1" x14ac:dyDescent="0.3">
      <c r="A90" s="502">
        <v>83</v>
      </c>
      <c r="B90" s="517"/>
      <c r="C90" s="508">
        <v>4</v>
      </c>
      <c r="D90" s="509" t="s">
        <v>746</v>
      </c>
      <c r="E90" s="518"/>
      <c r="F90" s="499"/>
      <c r="G90" s="519"/>
      <c r="H90" s="1399"/>
      <c r="I90" s="1045"/>
      <c r="J90" s="1052">
        <v>5000</v>
      </c>
      <c r="K90" s="1537">
        <v>2659</v>
      </c>
    </row>
    <row r="91" spans="1:11" s="520" customFormat="1" ht="30" customHeight="1" x14ac:dyDescent="0.3">
      <c r="A91" s="494">
        <v>84</v>
      </c>
      <c r="B91" s="517"/>
      <c r="C91" s="503">
        <v>5</v>
      </c>
      <c r="D91" s="509" t="s">
        <v>811</v>
      </c>
      <c r="E91" s="518"/>
      <c r="F91" s="499"/>
      <c r="G91" s="519"/>
      <c r="H91" s="1399"/>
      <c r="I91" s="1045"/>
      <c r="J91" s="1052">
        <v>200</v>
      </c>
      <c r="K91" s="1535"/>
    </row>
    <row r="92" spans="1:11" s="501" customFormat="1" ht="22.5" customHeight="1" x14ac:dyDescent="0.3">
      <c r="A92" s="494">
        <v>85</v>
      </c>
      <c r="B92" s="495">
        <v>11</v>
      </c>
      <c r="C92" s="512" t="s">
        <v>339</v>
      </c>
      <c r="D92" s="497"/>
      <c r="E92" s="498" t="s">
        <v>23</v>
      </c>
      <c r="F92" s="499">
        <v>1580</v>
      </c>
      <c r="G92" s="500">
        <v>8200</v>
      </c>
      <c r="H92" s="1399">
        <v>11043</v>
      </c>
      <c r="I92" s="1044"/>
      <c r="J92" s="1053"/>
      <c r="K92" s="1536"/>
    </row>
    <row r="93" spans="1:11" ht="18" customHeight="1" x14ac:dyDescent="0.3">
      <c r="A93" s="502">
        <v>86</v>
      </c>
      <c r="B93" s="495"/>
      <c r="C93" s="508">
        <v>1</v>
      </c>
      <c r="D93" s="504" t="s">
        <v>667</v>
      </c>
      <c r="E93" s="498"/>
      <c r="F93" s="505"/>
      <c r="G93" s="506"/>
      <c r="H93" s="1400"/>
      <c r="I93" s="1045">
        <v>6350</v>
      </c>
      <c r="J93" s="1052">
        <v>6350</v>
      </c>
      <c r="K93" s="1535">
        <v>2609</v>
      </c>
    </row>
    <row r="94" spans="1:11" ht="18" customHeight="1" x14ac:dyDescent="0.3">
      <c r="A94" s="494">
        <v>87</v>
      </c>
      <c r="B94" s="495"/>
      <c r="C94" s="508">
        <v>2</v>
      </c>
      <c r="D94" s="504" t="s">
        <v>668</v>
      </c>
      <c r="E94" s="498"/>
      <c r="F94" s="505"/>
      <c r="G94" s="506"/>
      <c r="H94" s="1400">
        <v>2598</v>
      </c>
      <c r="I94" s="1045">
        <v>1518</v>
      </c>
      <c r="J94" s="1052">
        <v>1518</v>
      </c>
      <c r="K94" s="1535">
        <v>21</v>
      </c>
    </row>
    <row r="95" spans="1:11" ht="18" customHeight="1" x14ac:dyDescent="0.3">
      <c r="A95" s="494">
        <v>88</v>
      </c>
      <c r="B95" s="495"/>
      <c r="C95" s="508">
        <v>3</v>
      </c>
      <c r="D95" s="509" t="s">
        <v>747</v>
      </c>
      <c r="E95" s="498"/>
      <c r="F95" s="505"/>
      <c r="G95" s="506"/>
      <c r="H95" s="1400"/>
      <c r="I95" s="1045"/>
      <c r="J95" s="1052">
        <v>3166</v>
      </c>
      <c r="K95" s="1535"/>
    </row>
    <row r="96" spans="1:11" ht="18" customHeight="1" x14ac:dyDescent="0.3">
      <c r="A96" s="502">
        <v>89</v>
      </c>
      <c r="B96" s="495"/>
      <c r="C96" s="508">
        <v>4</v>
      </c>
      <c r="D96" s="509" t="s">
        <v>748</v>
      </c>
      <c r="E96" s="498"/>
      <c r="F96" s="505"/>
      <c r="G96" s="506"/>
      <c r="H96" s="1400"/>
      <c r="I96" s="1045"/>
      <c r="J96" s="1052">
        <v>2480</v>
      </c>
      <c r="K96" s="1535">
        <v>2480</v>
      </c>
    </row>
    <row r="97" spans="1:11" ht="18" customHeight="1" x14ac:dyDescent="0.3">
      <c r="A97" s="494">
        <v>90</v>
      </c>
      <c r="B97" s="495"/>
      <c r="C97" s="508">
        <v>5</v>
      </c>
      <c r="D97" s="509" t="s">
        <v>749</v>
      </c>
      <c r="E97" s="498"/>
      <c r="F97" s="505"/>
      <c r="G97" s="506"/>
      <c r="H97" s="1400"/>
      <c r="I97" s="1045"/>
      <c r="J97" s="1052">
        <v>1200</v>
      </c>
      <c r="K97" s="1535"/>
    </row>
    <row r="98" spans="1:11" ht="18" customHeight="1" x14ac:dyDescent="0.3">
      <c r="A98" s="494">
        <v>91</v>
      </c>
      <c r="B98" s="495"/>
      <c r="C98" s="508">
        <v>6</v>
      </c>
      <c r="D98" s="509" t="s">
        <v>834</v>
      </c>
      <c r="E98" s="498"/>
      <c r="F98" s="505"/>
      <c r="G98" s="506"/>
      <c r="H98" s="1400"/>
      <c r="I98" s="1045"/>
      <c r="J98" s="1052">
        <v>9760</v>
      </c>
      <c r="K98" s="1535">
        <v>40</v>
      </c>
    </row>
    <row r="99" spans="1:11" ht="18" customHeight="1" x14ac:dyDescent="0.3">
      <c r="A99" s="502">
        <v>92</v>
      </c>
      <c r="B99" s="495"/>
      <c r="C99" s="508">
        <v>7</v>
      </c>
      <c r="D99" s="509" t="s">
        <v>835</v>
      </c>
      <c r="E99" s="498"/>
      <c r="F99" s="505"/>
      <c r="G99" s="506"/>
      <c r="H99" s="1400"/>
      <c r="I99" s="1045"/>
      <c r="J99" s="1052">
        <v>42951</v>
      </c>
      <c r="K99" s="1535"/>
    </row>
    <row r="100" spans="1:11" ht="18" customHeight="1" x14ac:dyDescent="0.3">
      <c r="A100" s="494">
        <v>93</v>
      </c>
      <c r="B100" s="495"/>
      <c r="C100" s="508">
        <v>8</v>
      </c>
      <c r="D100" s="509" t="s">
        <v>818</v>
      </c>
      <c r="E100" s="498"/>
      <c r="F100" s="505"/>
      <c r="G100" s="506"/>
      <c r="H100" s="1400"/>
      <c r="I100" s="1045"/>
      <c r="J100" s="1052">
        <v>350</v>
      </c>
      <c r="K100" s="1535"/>
    </row>
    <row r="101" spans="1:11" s="501" customFormat="1" ht="22.5" customHeight="1" x14ac:dyDescent="0.3">
      <c r="A101" s="494">
        <v>94</v>
      </c>
      <c r="B101" s="495">
        <v>12</v>
      </c>
      <c r="C101" s="512" t="s">
        <v>25</v>
      </c>
      <c r="D101" s="497"/>
      <c r="E101" s="498" t="s">
        <v>23</v>
      </c>
      <c r="F101" s="499">
        <v>16587</v>
      </c>
      <c r="G101" s="500">
        <v>13454</v>
      </c>
      <c r="H101" s="1399">
        <v>2049</v>
      </c>
      <c r="I101" s="1044"/>
      <c r="J101" s="1053"/>
      <c r="K101" s="1536"/>
    </row>
    <row r="102" spans="1:11" ht="30" x14ac:dyDescent="0.3">
      <c r="A102" s="502">
        <v>95</v>
      </c>
      <c r="B102" s="495"/>
      <c r="C102" s="503">
        <v>1</v>
      </c>
      <c r="D102" s="504" t="s">
        <v>669</v>
      </c>
      <c r="E102" s="498"/>
      <c r="F102" s="499"/>
      <c r="G102" s="519"/>
      <c r="H102" s="1400">
        <v>15759</v>
      </c>
      <c r="I102" s="1045">
        <v>11550</v>
      </c>
      <c r="J102" s="1052">
        <v>15256</v>
      </c>
      <c r="K102" s="1535">
        <v>5155</v>
      </c>
    </row>
    <row r="103" spans="1:11" ht="28.5" customHeight="1" x14ac:dyDescent="0.3">
      <c r="A103" s="494">
        <v>96</v>
      </c>
      <c r="B103" s="495"/>
      <c r="C103" s="503">
        <v>2</v>
      </c>
      <c r="D103" s="504" t="s">
        <v>299</v>
      </c>
      <c r="E103" s="498"/>
      <c r="F103" s="499">
        <v>66716</v>
      </c>
      <c r="G103" s="519">
        <v>16000</v>
      </c>
      <c r="H103" s="1399">
        <v>60518</v>
      </c>
      <c r="I103" s="1045">
        <v>55000</v>
      </c>
      <c r="J103" s="1052">
        <v>70000</v>
      </c>
      <c r="K103" s="1535">
        <v>34521</v>
      </c>
    </row>
    <row r="104" spans="1:11" ht="30" customHeight="1" x14ac:dyDescent="0.3">
      <c r="A104" s="494">
        <v>97</v>
      </c>
      <c r="B104" s="495"/>
      <c r="C104" s="503">
        <v>3</v>
      </c>
      <c r="D104" s="504" t="s">
        <v>429</v>
      </c>
      <c r="E104" s="498"/>
      <c r="F104" s="521">
        <v>0</v>
      </c>
      <c r="G104" s="500">
        <v>2400</v>
      </c>
      <c r="H104" s="1399">
        <v>1628</v>
      </c>
      <c r="I104" s="1045">
        <v>113</v>
      </c>
      <c r="J104" s="1052">
        <v>113</v>
      </c>
      <c r="K104" s="1535"/>
    </row>
    <row r="105" spans="1:11" ht="18" customHeight="1" x14ac:dyDescent="0.3">
      <c r="A105" s="502">
        <v>98</v>
      </c>
      <c r="B105" s="495"/>
      <c r="C105" s="508">
        <v>4</v>
      </c>
      <c r="D105" s="509" t="s">
        <v>751</v>
      </c>
      <c r="E105" s="498"/>
      <c r="F105" s="521"/>
      <c r="G105" s="500"/>
      <c r="H105" s="1399"/>
      <c r="I105" s="1045"/>
      <c r="J105" s="1052">
        <v>378</v>
      </c>
      <c r="K105" s="1535">
        <v>375</v>
      </c>
    </row>
    <row r="106" spans="1:11" ht="30" customHeight="1" x14ac:dyDescent="0.3">
      <c r="A106" s="494">
        <v>99</v>
      </c>
      <c r="B106" s="495"/>
      <c r="C106" s="503">
        <v>5</v>
      </c>
      <c r="D106" s="509" t="s">
        <v>817</v>
      </c>
      <c r="E106" s="498"/>
      <c r="F106" s="521"/>
      <c r="G106" s="500"/>
      <c r="H106" s="1399"/>
      <c r="I106" s="1045"/>
      <c r="J106" s="1052">
        <v>28706</v>
      </c>
      <c r="K106" s="1535"/>
    </row>
    <row r="107" spans="1:11" ht="30" customHeight="1" x14ac:dyDescent="0.3">
      <c r="A107" s="494">
        <v>100</v>
      </c>
      <c r="B107" s="495"/>
      <c r="C107" s="503">
        <v>6</v>
      </c>
      <c r="D107" s="509" t="s">
        <v>815</v>
      </c>
      <c r="E107" s="498"/>
      <c r="F107" s="521"/>
      <c r="G107" s="500"/>
      <c r="H107" s="1399"/>
      <c r="I107" s="1045"/>
      <c r="J107" s="1052">
        <v>2032</v>
      </c>
      <c r="K107" s="1535"/>
    </row>
    <row r="108" spans="1:11" ht="30" customHeight="1" x14ac:dyDescent="0.3">
      <c r="A108" s="502">
        <v>101</v>
      </c>
      <c r="B108" s="495"/>
      <c r="C108" s="503">
        <v>7</v>
      </c>
      <c r="D108" s="509" t="s">
        <v>816</v>
      </c>
      <c r="E108" s="498"/>
      <c r="F108" s="521"/>
      <c r="G108" s="500"/>
      <c r="H108" s="1399"/>
      <c r="I108" s="1045"/>
      <c r="J108" s="1052">
        <v>1622</v>
      </c>
      <c r="K108" s="1535"/>
    </row>
    <row r="109" spans="1:11" s="501" customFormat="1" ht="22.5" customHeight="1" x14ac:dyDescent="0.3">
      <c r="A109" s="494">
        <v>102</v>
      </c>
      <c r="B109" s="495">
        <v>13</v>
      </c>
      <c r="C109" s="512" t="s">
        <v>32</v>
      </c>
      <c r="D109" s="497"/>
      <c r="E109" s="498" t="s">
        <v>23</v>
      </c>
      <c r="F109" s="499">
        <v>5908</v>
      </c>
      <c r="G109" s="500">
        <v>8057</v>
      </c>
      <c r="H109" s="1399">
        <v>32110</v>
      </c>
      <c r="I109" s="1044"/>
      <c r="J109" s="1053"/>
      <c r="K109" s="1536"/>
    </row>
    <row r="110" spans="1:11" ht="18" customHeight="1" x14ac:dyDescent="0.3">
      <c r="A110" s="494">
        <v>103</v>
      </c>
      <c r="B110" s="495"/>
      <c r="C110" s="508">
        <v>1</v>
      </c>
      <c r="D110" s="504" t="s">
        <v>670</v>
      </c>
      <c r="E110" s="498"/>
      <c r="F110" s="505"/>
      <c r="G110" s="506"/>
      <c r="H110" s="1400"/>
      <c r="I110" s="1045">
        <v>9392</v>
      </c>
      <c r="J110" s="1052">
        <v>9392</v>
      </c>
      <c r="K110" s="1535">
        <v>7423</v>
      </c>
    </row>
    <row r="111" spans="1:11" ht="30" x14ac:dyDescent="0.3">
      <c r="A111" s="502">
        <v>104</v>
      </c>
      <c r="B111" s="495"/>
      <c r="C111" s="503">
        <v>2</v>
      </c>
      <c r="D111" s="504" t="s">
        <v>671</v>
      </c>
      <c r="E111" s="498"/>
      <c r="F111" s="505"/>
      <c r="G111" s="506"/>
      <c r="H111" s="1399"/>
      <c r="I111" s="1045">
        <v>25400</v>
      </c>
      <c r="J111" s="1052">
        <v>25400</v>
      </c>
      <c r="K111" s="1535"/>
    </row>
    <row r="112" spans="1:11" ht="18" customHeight="1" x14ac:dyDescent="0.3">
      <c r="A112" s="494">
        <v>105</v>
      </c>
      <c r="B112" s="495"/>
      <c r="C112" s="508">
        <v>3</v>
      </c>
      <c r="D112" s="504" t="s">
        <v>752</v>
      </c>
      <c r="E112" s="504"/>
      <c r="F112" s="504"/>
      <c r="G112" s="504"/>
      <c r="H112" s="1399"/>
      <c r="I112" s="1045"/>
      <c r="J112" s="1052">
        <v>1500</v>
      </c>
      <c r="K112" s="1535">
        <v>38</v>
      </c>
    </row>
    <row r="113" spans="1:11" ht="18" customHeight="1" x14ac:dyDescent="0.3">
      <c r="A113" s="494">
        <v>106</v>
      </c>
      <c r="B113" s="495"/>
      <c r="C113" s="508">
        <v>4</v>
      </c>
      <c r="D113" s="504" t="s">
        <v>753</v>
      </c>
      <c r="E113" s="504"/>
      <c r="F113" s="504"/>
      <c r="G113" s="504"/>
      <c r="H113" s="1399"/>
      <c r="I113" s="1045"/>
      <c r="J113" s="1052">
        <v>140</v>
      </c>
      <c r="K113" s="1535">
        <v>124</v>
      </c>
    </row>
    <row r="114" spans="1:11" ht="30" x14ac:dyDescent="0.3">
      <c r="A114" s="502">
        <v>107</v>
      </c>
      <c r="B114" s="495"/>
      <c r="C114" s="503">
        <v>5</v>
      </c>
      <c r="D114" s="504" t="s">
        <v>754</v>
      </c>
      <c r="E114" s="504"/>
      <c r="F114" s="504"/>
      <c r="G114" s="504"/>
      <c r="H114" s="1399"/>
      <c r="I114" s="1045"/>
      <c r="J114" s="1052">
        <v>5760</v>
      </c>
      <c r="K114" s="1535"/>
    </row>
    <row r="115" spans="1:11" ht="18" customHeight="1" x14ac:dyDescent="0.3">
      <c r="A115" s="494">
        <v>108</v>
      </c>
      <c r="B115" s="495"/>
      <c r="C115" s="508">
        <v>6</v>
      </c>
      <c r="D115" s="504" t="s">
        <v>755</v>
      </c>
      <c r="E115" s="504"/>
      <c r="F115" s="504"/>
      <c r="G115" s="504"/>
      <c r="H115" s="1399"/>
      <c r="I115" s="1045"/>
      <c r="J115" s="1052">
        <v>300</v>
      </c>
      <c r="K115" s="1535">
        <v>286</v>
      </c>
    </row>
    <row r="116" spans="1:11" ht="18" customHeight="1" x14ac:dyDescent="0.3">
      <c r="A116" s="494">
        <v>109</v>
      </c>
      <c r="B116" s="495"/>
      <c r="C116" s="508">
        <v>7</v>
      </c>
      <c r="D116" s="504" t="s">
        <v>756</v>
      </c>
      <c r="E116" s="504"/>
      <c r="F116" s="504"/>
      <c r="G116" s="504"/>
      <c r="H116" s="1399"/>
      <c r="I116" s="1045"/>
      <c r="J116" s="1052">
        <v>14700</v>
      </c>
      <c r="K116" s="1535"/>
    </row>
    <row r="117" spans="1:11" ht="18" customHeight="1" x14ac:dyDescent="0.3">
      <c r="A117" s="502">
        <v>110</v>
      </c>
      <c r="B117" s="495"/>
      <c r="C117" s="508">
        <v>8</v>
      </c>
      <c r="D117" s="504" t="s">
        <v>757</v>
      </c>
      <c r="E117" s="504"/>
      <c r="F117" s="504"/>
      <c r="G117" s="504"/>
      <c r="H117" s="1399"/>
      <c r="I117" s="1045"/>
      <c r="J117" s="1052">
        <v>1500</v>
      </c>
      <c r="K117" s="1535">
        <v>27</v>
      </c>
    </row>
    <row r="118" spans="1:11" ht="18" customHeight="1" x14ac:dyDescent="0.3">
      <c r="A118" s="494">
        <v>111</v>
      </c>
      <c r="B118" s="495"/>
      <c r="C118" s="508">
        <v>9</v>
      </c>
      <c r="D118" s="504" t="s">
        <v>758</v>
      </c>
      <c r="E118" s="504"/>
      <c r="F118" s="504"/>
      <c r="G118" s="504"/>
      <c r="H118" s="1399"/>
      <c r="I118" s="1045"/>
      <c r="J118" s="1052">
        <v>800</v>
      </c>
      <c r="K118" s="1535"/>
    </row>
    <row r="119" spans="1:11" ht="18" customHeight="1" x14ac:dyDescent="0.3">
      <c r="A119" s="494">
        <v>112</v>
      </c>
      <c r="B119" s="495"/>
      <c r="C119" s="508">
        <v>10</v>
      </c>
      <c r="D119" s="504" t="s">
        <v>759</v>
      </c>
      <c r="E119" s="504"/>
      <c r="F119" s="504"/>
      <c r="G119" s="504"/>
      <c r="H119" s="1399"/>
      <c r="I119" s="1045"/>
      <c r="J119" s="1052">
        <v>230</v>
      </c>
      <c r="K119" s="1535"/>
    </row>
    <row r="120" spans="1:11" ht="18" customHeight="1" x14ac:dyDescent="0.3">
      <c r="A120" s="502">
        <v>113</v>
      </c>
      <c r="B120" s="495"/>
      <c r="C120" s="508">
        <v>11</v>
      </c>
      <c r="D120" s="504" t="s">
        <v>760</v>
      </c>
      <c r="E120" s="504"/>
      <c r="F120" s="504"/>
      <c r="G120" s="504"/>
      <c r="H120" s="1399"/>
      <c r="I120" s="1045"/>
      <c r="J120" s="1052">
        <v>300</v>
      </c>
      <c r="K120" s="1535"/>
    </row>
    <row r="121" spans="1:11" ht="18" customHeight="1" x14ac:dyDescent="0.3">
      <c r="A121" s="494">
        <v>114</v>
      </c>
      <c r="B121" s="495"/>
      <c r="C121" s="508">
        <v>12</v>
      </c>
      <c r="D121" s="504" t="s">
        <v>761</v>
      </c>
      <c r="E121" s="504"/>
      <c r="F121" s="504"/>
      <c r="G121" s="504"/>
      <c r="H121" s="1399"/>
      <c r="I121" s="1045"/>
      <c r="J121" s="1052">
        <v>450</v>
      </c>
      <c r="K121" s="1535"/>
    </row>
    <row r="122" spans="1:11" ht="18" customHeight="1" x14ac:dyDescent="0.3">
      <c r="A122" s="494">
        <v>115</v>
      </c>
      <c r="B122" s="495"/>
      <c r="C122" s="508">
        <v>13</v>
      </c>
      <c r="D122" s="504" t="s">
        <v>762</v>
      </c>
      <c r="E122" s="504"/>
      <c r="F122" s="504"/>
      <c r="G122" s="504"/>
      <c r="H122" s="1399"/>
      <c r="I122" s="1045"/>
      <c r="J122" s="1052">
        <v>1150</v>
      </c>
      <c r="K122" s="1535"/>
    </row>
    <row r="123" spans="1:11" ht="18" customHeight="1" x14ac:dyDescent="0.3">
      <c r="A123" s="502">
        <v>116</v>
      </c>
      <c r="B123" s="495"/>
      <c r="C123" s="508">
        <v>14</v>
      </c>
      <c r="D123" s="504" t="s">
        <v>763</v>
      </c>
      <c r="E123" s="504"/>
      <c r="F123" s="504"/>
      <c r="G123" s="504"/>
      <c r="H123" s="1399"/>
      <c r="I123" s="1045"/>
      <c r="J123" s="1052">
        <v>500</v>
      </c>
      <c r="K123" s="1535"/>
    </row>
    <row r="124" spans="1:11" ht="18" customHeight="1" x14ac:dyDescent="0.3">
      <c r="A124" s="494">
        <v>117</v>
      </c>
      <c r="B124" s="495"/>
      <c r="C124" s="508">
        <v>15</v>
      </c>
      <c r="D124" s="504" t="s">
        <v>764</v>
      </c>
      <c r="E124" s="504"/>
      <c r="F124" s="504"/>
      <c r="G124" s="504"/>
      <c r="H124" s="1399"/>
      <c r="I124" s="1045"/>
      <c r="J124" s="1052">
        <v>550</v>
      </c>
      <c r="K124" s="1535"/>
    </row>
    <row r="125" spans="1:11" ht="18" customHeight="1" x14ac:dyDescent="0.3">
      <c r="A125" s="494">
        <v>118</v>
      </c>
      <c r="B125" s="495"/>
      <c r="C125" s="508">
        <v>16</v>
      </c>
      <c r="D125" s="504" t="s">
        <v>765</v>
      </c>
      <c r="E125" s="498"/>
      <c r="F125" s="505"/>
      <c r="G125" s="506"/>
      <c r="H125" s="1399"/>
      <c r="I125" s="1045"/>
      <c r="J125" s="1052">
        <v>240</v>
      </c>
      <c r="K125" s="1535">
        <v>220</v>
      </c>
    </row>
    <row r="126" spans="1:11" ht="18" customHeight="1" x14ac:dyDescent="0.3">
      <c r="A126" s="502">
        <v>119</v>
      </c>
      <c r="B126" s="495"/>
      <c r="C126" s="508">
        <v>17</v>
      </c>
      <c r="D126" s="504" t="s">
        <v>766</v>
      </c>
      <c r="E126" s="498"/>
      <c r="F126" s="505"/>
      <c r="G126" s="506"/>
      <c r="H126" s="1399"/>
      <c r="I126" s="1045"/>
      <c r="J126" s="1052">
        <v>10300</v>
      </c>
      <c r="K126" s="1535"/>
    </row>
    <row r="127" spans="1:11" ht="18" customHeight="1" x14ac:dyDescent="0.3">
      <c r="A127" s="494">
        <v>120</v>
      </c>
      <c r="B127" s="495"/>
      <c r="C127" s="508">
        <v>18</v>
      </c>
      <c r="D127" s="504" t="s">
        <v>767</v>
      </c>
      <c r="E127" s="498"/>
      <c r="F127" s="505"/>
      <c r="G127" s="506"/>
      <c r="H127" s="1399"/>
      <c r="I127" s="1045"/>
      <c r="J127" s="1052">
        <v>1000</v>
      </c>
      <c r="K127" s="1535"/>
    </row>
    <row r="128" spans="1:11" ht="18" customHeight="1" x14ac:dyDescent="0.3">
      <c r="A128" s="494">
        <v>121</v>
      </c>
      <c r="B128" s="495"/>
      <c r="C128" s="508">
        <v>19</v>
      </c>
      <c r="D128" s="504" t="s">
        <v>768</v>
      </c>
      <c r="E128" s="498"/>
      <c r="F128" s="505"/>
      <c r="G128" s="506"/>
      <c r="H128" s="1399"/>
      <c r="I128" s="1045"/>
      <c r="J128" s="1052">
        <v>1000</v>
      </c>
      <c r="K128" s="1535">
        <v>220</v>
      </c>
    </row>
    <row r="129" spans="1:11" ht="18" customHeight="1" x14ac:dyDescent="0.3">
      <c r="A129" s="502">
        <v>122</v>
      </c>
      <c r="B129" s="495"/>
      <c r="C129" s="508">
        <v>20</v>
      </c>
      <c r="D129" s="504" t="s">
        <v>769</v>
      </c>
      <c r="E129" s="498"/>
      <c r="F129" s="505"/>
      <c r="G129" s="506"/>
      <c r="H129" s="1399"/>
      <c r="I129" s="1045"/>
      <c r="J129" s="1052">
        <v>800</v>
      </c>
      <c r="K129" s="1535">
        <v>563</v>
      </c>
    </row>
    <row r="130" spans="1:11" ht="18" customHeight="1" x14ac:dyDescent="0.3">
      <c r="A130" s="494">
        <v>123</v>
      </c>
      <c r="B130" s="495"/>
      <c r="C130" s="508">
        <v>21</v>
      </c>
      <c r="D130" s="504" t="s">
        <v>770</v>
      </c>
      <c r="E130" s="498"/>
      <c r="F130" s="505"/>
      <c r="G130" s="506"/>
      <c r="H130" s="1399"/>
      <c r="I130" s="1045"/>
      <c r="J130" s="1052">
        <v>800</v>
      </c>
      <c r="K130" s="1535">
        <v>323</v>
      </c>
    </row>
    <row r="131" spans="1:11" ht="18" customHeight="1" x14ac:dyDescent="0.3">
      <c r="A131" s="494">
        <v>124</v>
      </c>
      <c r="B131" s="495"/>
      <c r="C131" s="508">
        <v>22</v>
      </c>
      <c r="D131" s="504" t="s">
        <v>771</v>
      </c>
      <c r="E131" s="498"/>
      <c r="F131" s="505"/>
      <c r="G131" s="506"/>
      <c r="H131" s="1399"/>
      <c r="I131" s="1045"/>
      <c r="J131" s="1052">
        <v>210</v>
      </c>
      <c r="K131" s="1535"/>
    </row>
    <row r="132" spans="1:11" ht="18" customHeight="1" x14ac:dyDescent="0.3">
      <c r="A132" s="502">
        <v>125</v>
      </c>
      <c r="B132" s="495"/>
      <c r="C132" s="508">
        <v>23</v>
      </c>
      <c r="D132" s="504" t="s">
        <v>772</v>
      </c>
      <c r="E132" s="498"/>
      <c r="F132" s="505"/>
      <c r="G132" s="506"/>
      <c r="H132" s="1399"/>
      <c r="I132" s="1045"/>
      <c r="J132" s="1052">
        <v>572</v>
      </c>
      <c r="K132" s="1535">
        <v>430</v>
      </c>
    </row>
    <row r="133" spans="1:11" s="501" customFormat="1" ht="22.5" customHeight="1" x14ac:dyDescent="0.3">
      <c r="A133" s="494">
        <v>126</v>
      </c>
      <c r="B133" s="495">
        <v>14</v>
      </c>
      <c r="C133" s="512" t="s">
        <v>340</v>
      </c>
      <c r="D133" s="497"/>
      <c r="E133" s="498" t="s">
        <v>24</v>
      </c>
      <c r="F133" s="499">
        <v>3173</v>
      </c>
      <c r="G133" s="500">
        <v>1000</v>
      </c>
      <c r="H133" s="1399"/>
      <c r="I133" s="1044"/>
      <c r="J133" s="1053"/>
      <c r="K133" s="1536"/>
    </row>
    <row r="134" spans="1:11" ht="30" customHeight="1" x14ac:dyDescent="0.3">
      <c r="A134" s="494">
        <v>127</v>
      </c>
      <c r="B134" s="495"/>
      <c r="C134" s="503">
        <v>1</v>
      </c>
      <c r="D134" s="504" t="s">
        <v>821</v>
      </c>
      <c r="E134" s="498"/>
      <c r="F134" s="505"/>
      <c r="G134" s="506"/>
      <c r="H134" s="1400">
        <v>16187</v>
      </c>
      <c r="I134" s="1045">
        <v>414</v>
      </c>
      <c r="J134" s="1052">
        <v>810</v>
      </c>
      <c r="K134" s="1535">
        <v>432</v>
      </c>
    </row>
    <row r="135" spans="1:11" ht="45" x14ac:dyDescent="0.3">
      <c r="A135" s="502">
        <v>128</v>
      </c>
      <c r="B135" s="495"/>
      <c r="C135" s="503">
        <v>2</v>
      </c>
      <c r="D135" s="509" t="s">
        <v>672</v>
      </c>
      <c r="E135" s="498"/>
      <c r="F135" s="521"/>
      <c r="G135" s="519"/>
      <c r="H135" s="1399">
        <v>6172</v>
      </c>
      <c r="I135" s="1045"/>
      <c r="J135" s="1052">
        <v>0</v>
      </c>
      <c r="K135" s="1535"/>
    </row>
    <row r="136" spans="1:11" ht="30" x14ac:dyDescent="0.3">
      <c r="A136" s="494">
        <v>129</v>
      </c>
      <c r="B136" s="495"/>
      <c r="C136" s="503">
        <v>3</v>
      </c>
      <c r="D136" s="509" t="s">
        <v>430</v>
      </c>
      <c r="E136" s="498"/>
      <c r="F136" s="521">
        <v>868</v>
      </c>
      <c r="G136" s="519"/>
      <c r="H136" s="1400"/>
      <c r="I136" s="1045"/>
      <c r="J136" s="1052">
        <v>0</v>
      </c>
      <c r="K136" s="1535"/>
    </row>
    <row r="137" spans="1:11" ht="18" customHeight="1" x14ac:dyDescent="0.3">
      <c r="A137" s="494">
        <v>130</v>
      </c>
      <c r="B137" s="495"/>
      <c r="C137" s="508">
        <v>4</v>
      </c>
      <c r="D137" s="509" t="s">
        <v>819</v>
      </c>
      <c r="E137" s="498"/>
      <c r="F137" s="521"/>
      <c r="G137" s="519"/>
      <c r="H137" s="1400"/>
      <c r="I137" s="1045"/>
      <c r="J137" s="1052">
        <v>280</v>
      </c>
      <c r="K137" s="1535"/>
    </row>
    <row r="138" spans="1:11" ht="30" customHeight="1" x14ac:dyDescent="0.3">
      <c r="A138" s="502">
        <v>131</v>
      </c>
      <c r="B138" s="495"/>
      <c r="C138" s="503">
        <v>5</v>
      </c>
      <c r="D138" s="509" t="s">
        <v>820</v>
      </c>
      <c r="E138" s="498"/>
      <c r="F138" s="521"/>
      <c r="G138" s="519"/>
      <c r="H138" s="1400"/>
      <c r="I138" s="1045"/>
      <c r="J138" s="1052">
        <v>700</v>
      </c>
      <c r="K138" s="1535"/>
    </row>
    <row r="139" spans="1:11" s="501" customFormat="1" ht="22.5" customHeight="1" x14ac:dyDescent="0.3">
      <c r="A139" s="494">
        <v>132</v>
      </c>
      <c r="B139" s="495">
        <v>15</v>
      </c>
      <c r="C139" s="512" t="s">
        <v>132</v>
      </c>
      <c r="D139" s="497"/>
      <c r="E139" s="498" t="s">
        <v>24</v>
      </c>
      <c r="F139" s="499">
        <v>25055</v>
      </c>
      <c r="G139" s="500">
        <v>3000</v>
      </c>
      <c r="H139" s="1399">
        <v>63052</v>
      </c>
      <c r="I139" s="1044"/>
      <c r="J139" s="1053"/>
      <c r="K139" s="1536"/>
    </row>
    <row r="140" spans="1:11" ht="18" customHeight="1" x14ac:dyDescent="0.3">
      <c r="A140" s="494">
        <v>133</v>
      </c>
      <c r="B140" s="495"/>
      <c r="C140" s="508">
        <v>1</v>
      </c>
      <c r="D140" s="504" t="s">
        <v>773</v>
      </c>
      <c r="E140" s="498"/>
      <c r="F140" s="505"/>
      <c r="G140" s="506"/>
      <c r="H140" s="1400"/>
      <c r="I140" s="1045"/>
      <c r="J140" s="1052">
        <v>1666</v>
      </c>
      <c r="K140" s="1535">
        <v>1209</v>
      </c>
    </row>
    <row r="141" spans="1:11" ht="18" customHeight="1" x14ac:dyDescent="0.3">
      <c r="A141" s="502">
        <v>134</v>
      </c>
      <c r="B141" s="495"/>
      <c r="C141" s="527">
        <v>2</v>
      </c>
      <c r="D141" s="509" t="s">
        <v>780</v>
      </c>
      <c r="E141" s="498"/>
      <c r="F141" s="505"/>
      <c r="G141" s="506"/>
      <c r="H141" s="1400"/>
      <c r="I141" s="1045"/>
      <c r="J141" s="1052">
        <v>12955</v>
      </c>
      <c r="K141" s="1535">
        <v>14176</v>
      </c>
    </row>
    <row r="142" spans="1:11" ht="18" customHeight="1" x14ac:dyDescent="0.3">
      <c r="A142" s="494">
        <v>135</v>
      </c>
      <c r="B142" s="495"/>
      <c r="C142" s="527">
        <v>3</v>
      </c>
      <c r="D142" s="509" t="s">
        <v>774</v>
      </c>
      <c r="E142" s="498"/>
      <c r="F142" s="505"/>
      <c r="G142" s="506"/>
      <c r="H142" s="1400"/>
      <c r="I142" s="1045"/>
      <c r="J142" s="1052">
        <v>10552</v>
      </c>
      <c r="K142" s="1535"/>
    </row>
    <row r="143" spans="1:11" ht="18" customHeight="1" x14ac:dyDescent="0.3">
      <c r="A143" s="494">
        <v>136</v>
      </c>
      <c r="B143" s="495"/>
      <c r="C143" s="508">
        <v>4</v>
      </c>
      <c r="D143" s="509" t="s">
        <v>775</v>
      </c>
      <c r="E143" s="498"/>
      <c r="F143" s="505"/>
      <c r="G143" s="506"/>
      <c r="H143" s="1400"/>
      <c r="I143" s="1045"/>
      <c r="J143" s="1052">
        <v>9650</v>
      </c>
      <c r="K143" s="1535">
        <v>12518</v>
      </c>
    </row>
    <row r="144" spans="1:11" ht="18" customHeight="1" x14ac:dyDescent="0.3">
      <c r="A144" s="502">
        <v>137</v>
      </c>
      <c r="B144" s="495"/>
      <c r="C144" s="527">
        <v>5</v>
      </c>
      <c r="D144" s="509" t="s">
        <v>776</v>
      </c>
      <c r="E144" s="498"/>
      <c r="F144" s="505"/>
      <c r="G144" s="506"/>
      <c r="H144" s="1400"/>
      <c r="I144" s="1045"/>
      <c r="J144" s="1052">
        <v>850</v>
      </c>
      <c r="K144" s="1535">
        <v>1049</v>
      </c>
    </row>
    <row r="145" spans="1:11" ht="18" customHeight="1" x14ac:dyDescent="0.3">
      <c r="A145" s="494">
        <v>138</v>
      </c>
      <c r="B145" s="495"/>
      <c r="C145" s="527">
        <v>6</v>
      </c>
      <c r="D145" s="509" t="s">
        <v>777</v>
      </c>
      <c r="E145" s="498"/>
      <c r="F145" s="505"/>
      <c r="G145" s="506"/>
      <c r="H145" s="1400"/>
      <c r="I145" s="1045"/>
      <c r="J145" s="1052">
        <v>210</v>
      </c>
      <c r="K145" s="1535">
        <v>362</v>
      </c>
    </row>
    <row r="146" spans="1:11" ht="18" customHeight="1" x14ac:dyDescent="0.3">
      <c r="A146" s="494">
        <v>139</v>
      </c>
      <c r="B146" s="495"/>
      <c r="C146" s="508">
        <v>7</v>
      </c>
      <c r="D146" s="509" t="s">
        <v>778</v>
      </c>
      <c r="E146" s="498"/>
      <c r="F146" s="505"/>
      <c r="G146" s="506"/>
      <c r="H146" s="1400"/>
      <c r="I146" s="1045"/>
      <c r="J146" s="1052">
        <v>150</v>
      </c>
      <c r="K146" s="1535">
        <v>601</v>
      </c>
    </row>
    <row r="147" spans="1:11" ht="18" customHeight="1" x14ac:dyDescent="0.3">
      <c r="A147" s="502">
        <v>140</v>
      </c>
      <c r="B147" s="495"/>
      <c r="C147" s="527">
        <v>8</v>
      </c>
      <c r="D147" s="509" t="s">
        <v>779</v>
      </c>
      <c r="E147" s="498"/>
      <c r="F147" s="505"/>
      <c r="G147" s="506"/>
      <c r="H147" s="1400"/>
      <c r="I147" s="1045"/>
      <c r="J147" s="1052">
        <v>3540</v>
      </c>
      <c r="K147" s="1535">
        <v>4282</v>
      </c>
    </row>
    <row r="148" spans="1:11" s="501" customFormat="1" ht="22.5" customHeight="1" x14ac:dyDescent="0.3">
      <c r="A148" s="494">
        <v>141</v>
      </c>
      <c r="B148" s="495">
        <v>16</v>
      </c>
      <c r="C148" s="522" t="s">
        <v>237</v>
      </c>
      <c r="D148" s="497"/>
      <c r="E148" s="498" t="s">
        <v>23</v>
      </c>
      <c r="F148" s="499">
        <v>4398</v>
      </c>
      <c r="G148" s="500">
        <v>2820</v>
      </c>
      <c r="H148" s="1399">
        <v>5092</v>
      </c>
      <c r="I148" s="1044"/>
      <c r="J148" s="1053"/>
      <c r="K148" s="1536"/>
    </row>
    <row r="149" spans="1:11" ht="18" customHeight="1" x14ac:dyDescent="0.3">
      <c r="A149" s="494">
        <v>142</v>
      </c>
      <c r="B149" s="1312"/>
      <c r="C149" s="1313">
        <v>1</v>
      </c>
      <c r="D149" s="1314" t="s">
        <v>744</v>
      </c>
      <c r="E149" s="1315"/>
      <c r="F149" s="1316"/>
      <c r="G149" s="1317"/>
      <c r="H149" s="1402"/>
      <c r="I149" s="1318">
        <v>73</v>
      </c>
      <c r="J149" s="1055">
        <v>573</v>
      </c>
      <c r="K149" s="1538"/>
    </row>
    <row r="150" spans="1:11" ht="18" customHeight="1" x14ac:dyDescent="0.3">
      <c r="A150" s="502">
        <v>143</v>
      </c>
      <c r="B150" s="1319"/>
      <c r="C150" s="508">
        <v>2</v>
      </c>
      <c r="D150" s="1320" t="s">
        <v>741</v>
      </c>
      <c r="E150" s="523"/>
      <c r="F150" s="524"/>
      <c r="G150" s="525"/>
      <c r="H150" s="1403"/>
      <c r="I150" s="1046"/>
      <c r="J150" s="1052">
        <v>9000</v>
      </c>
      <c r="K150" s="1535">
        <v>7955</v>
      </c>
    </row>
    <row r="151" spans="1:11" ht="18" customHeight="1" x14ac:dyDescent="0.3">
      <c r="A151" s="494">
        <v>144</v>
      </c>
      <c r="B151" s="1319"/>
      <c r="C151" s="508">
        <v>3</v>
      </c>
      <c r="D151" s="1320" t="s">
        <v>742</v>
      </c>
      <c r="E151" s="523"/>
      <c r="F151" s="524"/>
      <c r="G151" s="525"/>
      <c r="H151" s="1403"/>
      <c r="I151" s="1046"/>
      <c r="J151" s="1052">
        <v>1500</v>
      </c>
      <c r="K151" s="1535"/>
    </row>
    <row r="152" spans="1:11" ht="18" customHeight="1" thickBot="1" x14ac:dyDescent="0.35">
      <c r="A152" s="494">
        <v>145</v>
      </c>
      <c r="B152" s="1319"/>
      <c r="C152" s="508">
        <v>4</v>
      </c>
      <c r="D152" s="1320" t="s">
        <v>743</v>
      </c>
      <c r="E152" s="523"/>
      <c r="F152" s="524"/>
      <c r="G152" s="525"/>
      <c r="H152" s="1403"/>
      <c r="I152" s="1046"/>
      <c r="J152" s="1052">
        <v>1000</v>
      </c>
      <c r="K152" s="1535"/>
    </row>
    <row r="153" spans="1:11" s="927" customFormat="1" ht="36" customHeight="1" thickTop="1" thickBot="1" x14ac:dyDescent="0.25">
      <c r="A153" s="502">
        <v>146</v>
      </c>
      <c r="B153" s="1684" t="s">
        <v>392</v>
      </c>
      <c r="C153" s="1685"/>
      <c r="D153" s="1686"/>
      <c r="E153" s="924"/>
      <c r="F153" s="925">
        <f>SUM(F8:F149)</f>
        <v>154154</v>
      </c>
      <c r="G153" s="926">
        <f>SUM(G8:G149)</f>
        <v>112203</v>
      </c>
      <c r="H153" s="1404">
        <f>SUM(H8:H149)</f>
        <v>288387</v>
      </c>
      <c r="I153" s="1047">
        <f>SUM(I8:I149)</f>
        <v>126457</v>
      </c>
      <c r="J153" s="1049">
        <f>SUM(J8:J152)</f>
        <v>380894</v>
      </c>
      <c r="K153" s="1539">
        <f>SUM(K8:K152)</f>
        <v>110917</v>
      </c>
    </row>
    <row r="154" spans="1:11" s="501" customFormat="1" ht="22.5" customHeight="1" x14ac:dyDescent="0.3">
      <c r="A154" s="494">
        <v>147</v>
      </c>
      <c r="B154" s="495">
        <v>17</v>
      </c>
      <c r="C154" s="526" t="s">
        <v>26</v>
      </c>
      <c r="D154" s="497"/>
      <c r="E154" s="498" t="s">
        <v>23</v>
      </c>
      <c r="F154" s="499"/>
      <c r="G154" s="500"/>
      <c r="H154" s="1399"/>
      <c r="I154" s="1044"/>
      <c r="J154" s="1056"/>
      <c r="K154" s="1540"/>
    </row>
    <row r="155" spans="1:11" s="501" customFormat="1" ht="22.5" customHeight="1" x14ac:dyDescent="0.3">
      <c r="A155" s="494">
        <v>148</v>
      </c>
      <c r="B155" s="495"/>
      <c r="C155" s="513"/>
      <c r="D155" s="497" t="s">
        <v>141</v>
      </c>
      <c r="E155" s="498"/>
      <c r="F155" s="499">
        <v>2257</v>
      </c>
      <c r="G155" s="500">
        <v>13906</v>
      </c>
      <c r="H155" s="1399">
        <v>3194</v>
      </c>
      <c r="I155" s="1044"/>
      <c r="J155" s="1053"/>
      <c r="K155" s="1536"/>
    </row>
    <row r="156" spans="1:11" ht="18" customHeight="1" x14ac:dyDescent="0.3">
      <c r="A156" s="502">
        <v>149</v>
      </c>
      <c r="B156" s="495"/>
      <c r="C156" s="527">
        <v>1</v>
      </c>
      <c r="D156" s="504" t="s">
        <v>673</v>
      </c>
      <c r="E156" s="498"/>
      <c r="F156" s="505"/>
      <c r="G156" s="506"/>
      <c r="H156" s="1400"/>
      <c r="I156" s="1045">
        <v>2000</v>
      </c>
      <c r="J156" s="1052">
        <v>2000</v>
      </c>
      <c r="K156" s="1535"/>
    </row>
    <row r="157" spans="1:11" ht="18" customHeight="1" x14ac:dyDescent="0.3">
      <c r="A157" s="494">
        <v>150</v>
      </c>
      <c r="B157" s="495"/>
      <c r="C157" s="527">
        <v>2</v>
      </c>
      <c r="D157" s="504" t="s">
        <v>674</v>
      </c>
      <c r="E157" s="498"/>
      <c r="F157" s="505"/>
      <c r="G157" s="506"/>
      <c r="H157" s="1400"/>
      <c r="I157" s="1045">
        <v>20000</v>
      </c>
      <c r="J157" s="1052">
        <v>20000</v>
      </c>
      <c r="K157" s="1535"/>
    </row>
    <row r="158" spans="1:11" ht="18" customHeight="1" x14ac:dyDescent="0.3">
      <c r="A158" s="494">
        <v>151</v>
      </c>
      <c r="B158" s="495"/>
      <c r="C158" s="527">
        <v>3</v>
      </c>
      <c r="D158" s="504" t="s">
        <v>675</v>
      </c>
      <c r="E158" s="498"/>
      <c r="F158" s="505"/>
      <c r="G158" s="506"/>
      <c r="H158" s="1400"/>
      <c r="I158" s="1045">
        <v>5000</v>
      </c>
      <c r="J158" s="1052">
        <v>5000</v>
      </c>
      <c r="K158" s="1535"/>
    </row>
    <row r="159" spans="1:11" ht="18" customHeight="1" x14ac:dyDescent="0.3">
      <c r="A159" s="502">
        <v>152</v>
      </c>
      <c r="B159" s="495"/>
      <c r="C159" s="527">
        <v>4</v>
      </c>
      <c r="D159" s="504" t="s">
        <v>676</v>
      </c>
      <c r="E159" s="498"/>
      <c r="F159" s="505"/>
      <c r="G159" s="506"/>
      <c r="H159" s="1400"/>
      <c r="I159" s="1045">
        <v>3000</v>
      </c>
      <c r="J159" s="1052">
        <v>3000</v>
      </c>
      <c r="K159" s="1535"/>
    </row>
    <row r="160" spans="1:11" ht="18" customHeight="1" x14ac:dyDescent="0.3">
      <c r="A160" s="494">
        <v>153</v>
      </c>
      <c r="B160" s="495"/>
      <c r="C160" s="527">
        <v>5</v>
      </c>
      <c r="D160" s="504" t="s">
        <v>677</v>
      </c>
      <c r="E160" s="498"/>
      <c r="F160" s="505"/>
      <c r="G160" s="506"/>
      <c r="H160" s="1400"/>
      <c r="I160" s="1045">
        <v>3000</v>
      </c>
      <c r="J160" s="1052">
        <v>3000</v>
      </c>
      <c r="K160" s="1535"/>
    </row>
    <row r="161" spans="1:246" ht="18" customHeight="1" x14ac:dyDescent="0.3">
      <c r="A161" s="494">
        <v>154</v>
      </c>
      <c r="B161" s="495"/>
      <c r="C161" s="527">
        <v>6</v>
      </c>
      <c r="D161" s="504" t="s">
        <v>678</v>
      </c>
      <c r="E161" s="498"/>
      <c r="F161" s="505"/>
      <c r="G161" s="506"/>
      <c r="H161" s="1400"/>
      <c r="I161" s="1045">
        <v>3500</v>
      </c>
      <c r="J161" s="1052">
        <v>3500</v>
      </c>
      <c r="K161" s="1535"/>
    </row>
    <row r="162" spans="1:246" ht="18" customHeight="1" x14ac:dyDescent="0.3">
      <c r="A162" s="502">
        <v>155</v>
      </c>
      <c r="B162" s="495"/>
      <c r="C162" s="527">
        <v>7</v>
      </c>
      <c r="D162" s="504" t="s">
        <v>679</v>
      </c>
      <c r="E162" s="498"/>
      <c r="F162" s="505"/>
      <c r="G162" s="506"/>
      <c r="H162" s="1400"/>
      <c r="I162" s="1045">
        <v>600</v>
      </c>
      <c r="J162" s="1052">
        <v>600</v>
      </c>
      <c r="K162" s="1535"/>
    </row>
    <row r="163" spans="1:246" ht="18" customHeight="1" x14ac:dyDescent="0.3">
      <c r="A163" s="494">
        <v>156</v>
      </c>
      <c r="B163" s="495"/>
      <c r="C163" s="527">
        <v>8</v>
      </c>
      <c r="D163" s="504" t="s">
        <v>782</v>
      </c>
      <c r="E163" s="498"/>
      <c r="F163" s="505"/>
      <c r="G163" s="506"/>
      <c r="H163" s="1400"/>
      <c r="I163" s="1045">
        <v>7000</v>
      </c>
      <c r="J163" s="1052">
        <v>18000</v>
      </c>
      <c r="K163" s="1535"/>
    </row>
    <row r="164" spans="1:246" ht="18" customHeight="1" x14ac:dyDescent="0.3">
      <c r="A164" s="494">
        <v>157</v>
      </c>
      <c r="B164" s="495"/>
      <c r="C164" s="527">
        <v>9</v>
      </c>
      <c r="D164" s="504" t="s">
        <v>680</v>
      </c>
      <c r="E164" s="498"/>
      <c r="F164" s="505"/>
      <c r="G164" s="506"/>
      <c r="H164" s="1400"/>
      <c r="I164" s="1045">
        <v>300</v>
      </c>
      <c r="J164" s="1052">
        <v>300</v>
      </c>
      <c r="K164" s="1535"/>
    </row>
    <row r="165" spans="1:246" ht="18" customHeight="1" x14ac:dyDescent="0.3">
      <c r="A165" s="502">
        <v>158</v>
      </c>
      <c r="B165" s="495"/>
      <c r="C165" s="527">
        <v>10</v>
      </c>
      <c r="D165" s="504" t="s">
        <v>681</v>
      </c>
      <c r="E165" s="498"/>
      <c r="F165" s="505"/>
      <c r="G165" s="506"/>
      <c r="H165" s="1400"/>
      <c r="I165" s="1045">
        <v>300</v>
      </c>
      <c r="J165" s="1052">
        <v>300</v>
      </c>
      <c r="K165" s="1535">
        <v>77</v>
      </c>
    </row>
    <row r="166" spans="1:246" ht="18" customHeight="1" x14ac:dyDescent="0.3">
      <c r="A166" s="494">
        <v>159</v>
      </c>
      <c r="B166" s="495"/>
      <c r="C166" s="527">
        <v>11</v>
      </c>
      <c r="D166" s="504" t="s">
        <v>682</v>
      </c>
      <c r="E166" s="498"/>
      <c r="F166" s="505"/>
      <c r="G166" s="506"/>
      <c r="H166" s="1400"/>
      <c r="I166" s="1045">
        <v>3000</v>
      </c>
      <c r="J166" s="1052">
        <v>3000</v>
      </c>
      <c r="K166" s="1535"/>
    </row>
    <row r="167" spans="1:246" ht="18" customHeight="1" x14ac:dyDescent="0.3">
      <c r="A167" s="494">
        <v>160</v>
      </c>
      <c r="B167" s="495"/>
      <c r="C167" s="527">
        <v>12</v>
      </c>
      <c r="D167" s="504" t="s">
        <v>683</v>
      </c>
      <c r="E167" s="498"/>
      <c r="F167" s="505"/>
      <c r="G167" s="506"/>
      <c r="H167" s="1400"/>
      <c r="I167" s="1045">
        <v>3500</v>
      </c>
      <c r="J167" s="1052">
        <v>17530</v>
      </c>
      <c r="K167" s="1535">
        <f>2841-77</f>
        <v>2764</v>
      </c>
    </row>
    <row r="168" spans="1:246" ht="22.5" customHeight="1" x14ac:dyDescent="0.3">
      <c r="A168" s="502">
        <v>161</v>
      </c>
      <c r="B168" s="495"/>
      <c r="C168" s="527"/>
      <c r="D168" s="497" t="s">
        <v>463</v>
      </c>
      <c r="E168" s="498"/>
      <c r="F168" s="505">
        <v>14849</v>
      </c>
      <c r="G168" s="506">
        <v>20100</v>
      </c>
      <c r="H168" s="1400">
        <v>10644</v>
      </c>
      <c r="I168" s="1045"/>
      <c r="J168" s="1052"/>
      <c r="K168" s="1535"/>
    </row>
    <row r="169" spans="1:246" ht="18" customHeight="1" x14ac:dyDescent="0.3">
      <c r="A169" s="494">
        <v>162</v>
      </c>
      <c r="B169" s="495"/>
      <c r="C169" s="498">
        <v>13</v>
      </c>
      <c r="D169" s="504" t="s">
        <v>33</v>
      </c>
      <c r="E169" s="498"/>
      <c r="F169" s="505"/>
      <c r="G169" s="506"/>
      <c r="H169" s="1400"/>
      <c r="I169" s="1045">
        <v>16900</v>
      </c>
      <c r="J169" s="1052">
        <v>35581</v>
      </c>
      <c r="K169" s="1535">
        <v>7456</v>
      </c>
    </row>
    <row r="170" spans="1:246" ht="22.5" customHeight="1" x14ac:dyDescent="0.3">
      <c r="A170" s="494">
        <v>163</v>
      </c>
      <c r="B170" s="495"/>
      <c r="C170" s="527"/>
      <c r="D170" s="497" t="s">
        <v>684</v>
      </c>
      <c r="E170" s="498"/>
      <c r="F170" s="505"/>
      <c r="G170" s="506"/>
      <c r="H170" s="1400">
        <v>462</v>
      </c>
      <c r="I170" s="1045"/>
      <c r="J170" s="1052"/>
      <c r="K170" s="1535"/>
    </row>
    <row r="171" spans="1:246" ht="22.5" customHeight="1" x14ac:dyDescent="0.3">
      <c r="A171" s="502">
        <v>164</v>
      </c>
      <c r="B171" s="495"/>
      <c r="C171" s="527"/>
      <c r="D171" s="497" t="s">
        <v>647</v>
      </c>
      <c r="E171" s="498"/>
      <c r="F171" s="505"/>
      <c r="G171" s="506"/>
      <c r="H171" s="1400"/>
      <c r="I171" s="1045"/>
      <c r="J171" s="1052"/>
      <c r="K171" s="1535"/>
    </row>
    <row r="172" spans="1:246" ht="18" customHeight="1" thickBot="1" x14ac:dyDescent="0.35">
      <c r="A172" s="494">
        <v>165</v>
      </c>
      <c r="B172" s="495"/>
      <c r="C172" s="498">
        <v>14</v>
      </c>
      <c r="D172" s="504" t="s">
        <v>685</v>
      </c>
      <c r="E172" s="498"/>
      <c r="F172" s="505"/>
      <c r="G172" s="506"/>
      <c r="H172" s="1400"/>
      <c r="I172" s="1045">
        <v>6840</v>
      </c>
      <c r="J172" s="1057">
        <v>6723</v>
      </c>
      <c r="K172" s="1541">
        <v>6723</v>
      </c>
    </row>
    <row r="173" spans="1:246" s="927" customFormat="1" ht="36" customHeight="1" thickTop="1" thickBot="1" x14ac:dyDescent="0.25">
      <c r="A173" s="494">
        <v>166</v>
      </c>
      <c r="B173" s="1684" t="s">
        <v>393</v>
      </c>
      <c r="C173" s="1685"/>
      <c r="D173" s="1686"/>
      <c r="E173" s="924"/>
      <c r="F173" s="925">
        <f t="shared" ref="F173:H173" si="0">SUM(F154:F172)</f>
        <v>17106</v>
      </c>
      <c r="G173" s="926">
        <f t="shared" si="0"/>
        <v>34006</v>
      </c>
      <c r="H173" s="1404">
        <f t="shared" si="0"/>
        <v>14300</v>
      </c>
      <c r="I173" s="1047">
        <f>SUM(I154:I172)</f>
        <v>74940</v>
      </c>
      <c r="J173" s="1049">
        <f t="shared" ref="J173:K173" si="1">SUM(J154:J172)</f>
        <v>118534</v>
      </c>
      <c r="K173" s="1539">
        <f t="shared" si="1"/>
        <v>17020</v>
      </c>
    </row>
    <row r="174" spans="1:246" s="927" customFormat="1" ht="36" customHeight="1" thickBot="1" x14ac:dyDescent="0.25">
      <c r="A174" s="502">
        <v>167</v>
      </c>
      <c r="B174" s="1681" t="s">
        <v>394</v>
      </c>
      <c r="C174" s="1682"/>
      <c r="D174" s="1683"/>
      <c r="E174" s="928"/>
      <c r="F174" s="929">
        <f>SUM(F173,F153)</f>
        <v>171260</v>
      </c>
      <c r="G174" s="930">
        <f>SUM(G173,G153)</f>
        <v>146209</v>
      </c>
      <c r="H174" s="1405">
        <f>SUM(H173,H153)</f>
        <v>302687</v>
      </c>
      <c r="I174" s="1048">
        <f>SUM(I173,I153)</f>
        <v>201397</v>
      </c>
      <c r="J174" s="1050">
        <f t="shared" ref="J174:K174" si="2">SUM(J173,J153)</f>
        <v>499428</v>
      </c>
      <c r="K174" s="1542">
        <f t="shared" si="2"/>
        <v>127937</v>
      </c>
    </row>
    <row r="175" spans="1:246" ht="18" customHeight="1" x14ac:dyDescent="0.3">
      <c r="B175" s="931"/>
      <c r="C175" s="932" t="s">
        <v>27</v>
      </c>
      <c r="D175" s="931"/>
      <c r="E175" s="933"/>
      <c r="F175" s="934"/>
      <c r="G175" s="935"/>
      <c r="H175" s="936"/>
      <c r="I175" s="936"/>
    </row>
    <row r="176" spans="1:246" s="938" customFormat="1" ht="18" customHeight="1" x14ac:dyDescent="0.3">
      <c r="A176" s="923"/>
      <c r="B176" s="931" t="s">
        <v>28</v>
      </c>
      <c r="C176" s="931"/>
      <c r="D176" s="931"/>
      <c r="E176" s="933"/>
      <c r="F176" s="937"/>
      <c r="G176" s="935"/>
      <c r="H176" s="936"/>
      <c r="I176" s="936"/>
      <c r="J176" s="507"/>
      <c r="K176" s="1430"/>
      <c r="L176" s="507"/>
      <c r="M176" s="507"/>
      <c r="N176" s="507"/>
      <c r="O176" s="507"/>
      <c r="P176" s="507"/>
      <c r="Q176" s="507"/>
      <c r="R176" s="507"/>
      <c r="S176" s="507"/>
      <c r="T176" s="507"/>
      <c r="U176" s="507"/>
      <c r="V176" s="507"/>
      <c r="W176" s="507"/>
      <c r="X176" s="507"/>
      <c r="Y176" s="507"/>
      <c r="Z176" s="507"/>
      <c r="AA176" s="507"/>
      <c r="AB176" s="507"/>
      <c r="AC176" s="507"/>
      <c r="AD176" s="507"/>
      <c r="AE176" s="507"/>
      <c r="AF176" s="507"/>
      <c r="AG176" s="507"/>
      <c r="AH176" s="507"/>
      <c r="AI176" s="507"/>
      <c r="AJ176" s="507"/>
      <c r="AK176" s="507"/>
      <c r="AL176" s="507"/>
      <c r="AM176" s="507"/>
      <c r="AN176" s="507"/>
      <c r="AO176" s="507"/>
      <c r="AP176" s="507"/>
      <c r="AQ176" s="507"/>
      <c r="AR176" s="507"/>
      <c r="AS176" s="507"/>
      <c r="AT176" s="507"/>
      <c r="AU176" s="507"/>
      <c r="AV176" s="507"/>
      <c r="AW176" s="507"/>
      <c r="AX176" s="507"/>
      <c r="AY176" s="507"/>
      <c r="AZ176" s="507"/>
      <c r="BA176" s="507"/>
      <c r="BB176" s="507"/>
      <c r="BC176" s="507"/>
      <c r="BD176" s="507"/>
      <c r="BE176" s="507"/>
      <c r="BF176" s="507"/>
      <c r="BG176" s="507"/>
      <c r="BH176" s="507"/>
      <c r="BI176" s="507"/>
      <c r="BJ176" s="507"/>
      <c r="BK176" s="507"/>
      <c r="BL176" s="507"/>
      <c r="BM176" s="507"/>
      <c r="BN176" s="507"/>
      <c r="BO176" s="507"/>
      <c r="BP176" s="507"/>
      <c r="BQ176" s="507"/>
      <c r="BR176" s="507"/>
      <c r="BS176" s="507"/>
      <c r="BT176" s="507"/>
      <c r="BU176" s="507"/>
      <c r="BV176" s="507"/>
      <c r="BW176" s="507"/>
      <c r="BX176" s="507"/>
      <c r="BY176" s="507"/>
      <c r="BZ176" s="507"/>
      <c r="CA176" s="507"/>
      <c r="CB176" s="507"/>
      <c r="CC176" s="507"/>
      <c r="CD176" s="507"/>
      <c r="CE176" s="507"/>
      <c r="CF176" s="507"/>
      <c r="CG176" s="507"/>
      <c r="CH176" s="507"/>
      <c r="CI176" s="507"/>
      <c r="CJ176" s="507"/>
      <c r="CK176" s="507"/>
      <c r="CL176" s="507"/>
      <c r="CM176" s="507"/>
      <c r="CN176" s="507"/>
      <c r="CO176" s="507"/>
      <c r="CP176" s="507"/>
      <c r="CQ176" s="507"/>
      <c r="CR176" s="507"/>
      <c r="CS176" s="507"/>
      <c r="CT176" s="507"/>
      <c r="CU176" s="507"/>
      <c r="CV176" s="507"/>
      <c r="CW176" s="507"/>
      <c r="CX176" s="507"/>
      <c r="CY176" s="507"/>
      <c r="CZ176" s="507"/>
      <c r="DA176" s="507"/>
      <c r="DB176" s="507"/>
      <c r="DC176" s="507"/>
      <c r="DD176" s="507"/>
      <c r="DE176" s="507"/>
      <c r="DF176" s="507"/>
      <c r="DG176" s="507"/>
      <c r="DH176" s="507"/>
      <c r="DI176" s="507"/>
      <c r="DJ176" s="507"/>
      <c r="DK176" s="507"/>
      <c r="DL176" s="507"/>
      <c r="DM176" s="507"/>
      <c r="DN176" s="507"/>
      <c r="DO176" s="507"/>
      <c r="DP176" s="507"/>
      <c r="DQ176" s="507"/>
      <c r="DR176" s="507"/>
      <c r="DS176" s="507"/>
      <c r="DT176" s="507"/>
      <c r="DU176" s="507"/>
      <c r="DV176" s="507"/>
      <c r="DW176" s="507"/>
      <c r="DX176" s="507"/>
      <c r="DY176" s="507"/>
      <c r="DZ176" s="507"/>
      <c r="EA176" s="507"/>
      <c r="EB176" s="507"/>
      <c r="EC176" s="507"/>
      <c r="ED176" s="507"/>
      <c r="EE176" s="507"/>
      <c r="EF176" s="507"/>
      <c r="EG176" s="507"/>
      <c r="EH176" s="507"/>
      <c r="EI176" s="507"/>
      <c r="EJ176" s="507"/>
      <c r="EK176" s="507"/>
      <c r="EL176" s="507"/>
      <c r="EM176" s="507"/>
      <c r="EN176" s="507"/>
      <c r="EO176" s="507"/>
      <c r="EP176" s="507"/>
      <c r="EQ176" s="507"/>
      <c r="ER176" s="507"/>
      <c r="ES176" s="507"/>
      <c r="ET176" s="507"/>
      <c r="EU176" s="507"/>
      <c r="EV176" s="507"/>
      <c r="EW176" s="507"/>
      <c r="EX176" s="507"/>
      <c r="EY176" s="507"/>
      <c r="EZ176" s="507"/>
      <c r="FA176" s="507"/>
      <c r="FB176" s="507"/>
      <c r="FC176" s="507"/>
      <c r="FD176" s="507"/>
      <c r="FE176" s="507"/>
      <c r="FF176" s="507"/>
      <c r="FG176" s="507"/>
      <c r="FH176" s="507"/>
      <c r="FI176" s="507"/>
      <c r="FJ176" s="507"/>
      <c r="FK176" s="507"/>
      <c r="FL176" s="507"/>
      <c r="FM176" s="507"/>
      <c r="FN176" s="507"/>
      <c r="FO176" s="507"/>
      <c r="FP176" s="507"/>
      <c r="FQ176" s="507"/>
      <c r="FR176" s="507"/>
      <c r="FS176" s="507"/>
      <c r="FT176" s="507"/>
      <c r="FU176" s="507"/>
      <c r="FV176" s="507"/>
      <c r="FW176" s="507"/>
      <c r="FX176" s="507"/>
      <c r="FY176" s="507"/>
      <c r="FZ176" s="507"/>
      <c r="GA176" s="507"/>
      <c r="GB176" s="507"/>
      <c r="GC176" s="507"/>
      <c r="GD176" s="507"/>
      <c r="GE176" s="507"/>
      <c r="GF176" s="507"/>
      <c r="GG176" s="507"/>
      <c r="GH176" s="507"/>
      <c r="GI176" s="507"/>
      <c r="GJ176" s="507"/>
      <c r="GK176" s="507"/>
      <c r="GL176" s="507"/>
      <c r="GM176" s="507"/>
      <c r="GN176" s="507"/>
      <c r="GO176" s="507"/>
      <c r="GP176" s="507"/>
      <c r="GQ176" s="507"/>
      <c r="GR176" s="507"/>
      <c r="GS176" s="507"/>
      <c r="GT176" s="507"/>
      <c r="GU176" s="507"/>
      <c r="GV176" s="507"/>
      <c r="GW176" s="507"/>
      <c r="GX176" s="507"/>
      <c r="GY176" s="507"/>
      <c r="GZ176" s="507"/>
      <c r="HA176" s="507"/>
      <c r="HB176" s="507"/>
      <c r="HC176" s="507"/>
      <c r="HD176" s="507"/>
      <c r="HE176" s="507"/>
      <c r="HF176" s="507"/>
      <c r="HG176" s="507"/>
      <c r="HH176" s="507"/>
      <c r="HI176" s="507"/>
      <c r="HJ176" s="507"/>
      <c r="HK176" s="507"/>
      <c r="HL176" s="507"/>
      <c r="HM176" s="507"/>
      <c r="HN176" s="507"/>
      <c r="HO176" s="507"/>
      <c r="HP176" s="507"/>
      <c r="HQ176" s="507"/>
      <c r="HR176" s="507"/>
      <c r="HS176" s="507"/>
      <c r="HT176" s="507"/>
      <c r="HU176" s="507"/>
      <c r="HV176" s="507"/>
      <c r="HW176" s="507"/>
      <c r="HX176" s="507"/>
      <c r="HY176" s="507"/>
      <c r="HZ176" s="507"/>
      <c r="IA176" s="507"/>
      <c r="IB176" s="507"/>
      <c r="IC176" s="507"/>
      <c r="ID176" s="507"/>
      <c r="IE176" s="507"/>
      <c r="IF176" s="507"/>
      <c r="IG176" s="507"/>
      <c r="IH176" s="507"/>
      <c r="II176" s="507"/>
      <c r="IJ176" s="507"/>
      <c r="IK176" s="507"/>
      <c r="IL176" s="507"/>
    </row>
    <row r="177" spans="1:246" s="938" customFormat="1" ht="18" customHeight="1" x14ac:dyDescent="0.3">
      <c r="A177" s="923"/>
      <c r="B177" s="931" t="s">
        <v>29</v>
      </c>
      <c r="C177" s="931"/>
      <c r="D177" s="931"/>
      <c r="E177" s="933"/>
      <c r="F177" s="937"/>
      <c r="G177" s="935"/>
      <c r="H177" s="936"/>
      <c r="I177" s="936"/>
      <c r="J177" s="507"/>
      <c r="K177" s="1430"/>
      <c r="L177" s="507"/>
      <c r="M177" s="507"/>
      <c r="N177" s="507"/>
      <c r="O177" s="507"/>
      <c r="P177" s="507"/>
      <c r="Q177" s="507"/>
      <c r="R177" s="507"/>
      <c r="S177" s="507"/>
      <c r="T177" s="507"/>
      <c r="U177" s="507"/>
      <c r="V177" s="507"/>
      <c r="W177" s="507"/>
      <c r="X177" s="507"/>
      <c r="Y177" s="507"/>
      <c r="Z177" s="507"/>
      <c r="AA177" s="507"/>
      <c r="AB177" s="507"/>
      <c r="AC177" s="507"/>
      <c r="AD177" s="507"/>
      <c r="AE177" s="507"/>
      <c r="AF177" s="507"/>
      <c r="AG177" s="507"/>
      <c r="AH177" s="507"/>
      <c r="AI177" s="507"/>
      <c r="AJ177" s="507"/>
      <c r="AK177" s="507"/>
      <c r="AL177" s="507"/>
      <c r="AM177" s="507"/>
      <c r="AN177" s="507"/>
      <c r="AO177" s="507"/>
      <c r="AP177" s="507"/>
      <c r="AQ177" s="507"/>
      <c r="AR177" s="507"/>
      <c r="AS177" s="507"/>
      <c r="AT177" s="507"/>
      <c r="AU177" s="507"/>
      <c r="AV177" s="507"/>
      <c r="AW177" s="507"/>
      <c r="AX177" s="507"/>
      <c r="AY177" s="507"/>
      <c r="AZ177" s="507"/>
      <c r="BA177" s="507"/>
      <c r="BB177" s="507"/>
      <c r="BC177" s="507"/>
      <c r="BD177" s="507"/>
      <c r="BE177" s="507"/>
      <c r="BF177" s="507"/>
      <c r="BG177" s="507"/>
      <c r="BH177" s="507"/>
      <c r="BI177" s="507"/>
      <c r="BJ177" s="507"/>
      <c r="BK177" s="507"/>
      <c r="BL177" s="507"/>
      <c r="BM177" s="507"/>
      <c r="BN177" s="507"/>
      <c r="BO177" s="507"/>
      <c r="BP177" s="507"/>
      <c r="BQ177" s="507"/>
      <c r="BR177" s="507"/>
      <c r="BS177" s="507"/>
      <c r="BT177" s="507"/>
      <c r="BU177" s="507"/>
      <c r="BV177" s="507"/>
      <c r="BW177" s="507"/>
      <c r="BX177" s="507"/>
      <c r="BY177" s="507"/>
      <c r="BZ177" s="507"/>
      <c r="CA177" s="507"/>
      <c r="CB177" s="507"/>
      <c r="CC177" s="507"/>
      <c r="CD177" s="507"/>
      <c r="CE177" s="507"/>
      <c r="CF177" s="507"/>
      <c r="CG177" s="507"/>
      <c r="CH177" s="507"/>
      <c r="CI177" s="507"/>
      <c r="CJ177" s="507"/>
      <c r="CK177" s="507"/>
      <c r="CL177" s="507"/>
      <c r="CM177" s="507"/>
      <c r="CN177" s="507"/>
      <c r="CO177" s="507"/>
      <c r="CP177" s="507"/>
      <c r="CQ177" s="507"/>
      <c r="CR177" s="507"/>
      <c r="CS177" s="507"/>
      <c r="CT177" s="507"/>
      <c r="CU177" s="507"/>
      <c r="CV177" s="507"/>
      <c r="CW177" s="507"/>
      <c r="CX177" s="507"/>
      <c r="CY177" s="507"/>
      <c r="CZ177" s="507"/>
      <c r="DA177" s="507"/>
      <c r="DB177" s="507"/>
      <c r="DC177" s="507"/>
      <c r="DD177" s="507"/>
      <c r="DE177" s="507"/>
      <c r="DF177" s="507"/>
      <c r="DG177" s="507"/>
      <c r="DH177" s="507"/>
      <c r="DI177" s="507"/>
      <c r="DJ177" s="507"/>
      <c r="DK177" s="507"/>
      <c r="DL177" s="507"/>
      <c r="DM177" s="507"/>
      <c r="DN177" s="507"/>
      <c r="DO177" s="507"/>
      <c r="DP177" s="507"/>
      <c r="DQ177" s="507"/>
      <c r="DR177" s="507"/>
      <c r="DS177" s="507"/>
      <c r="DT177" s="507"/>
      <c r="DU177" s="507"/>
      <c r="DV177" s="507"/>
      <c r="DW177" s="507"/>
      <c r="DX177" s="507"/>
      <c r="DY177" s="507"/>
      <c r="DZ177" s="507"/>
      <c r="EA177" s="507"/>
      <c r="EB177" s="507"/>
      <c r="EC177" s="507"/>
      <c r="ED177" s="507"/>
      <c r="EE177" s="507"/>
      <c r="EF177" s="507"/>
      <c r="EG177" s="507"/>
      <c r="EH177" s="507"/>
      <c r="EI177" s="507"/>
      <c r="EJ177" s="507"/>
      <c r="EK177" s="507"/>
      <c r="EL177" s="507"/>
      <c r="EM177" s="507"/>
      <c r="EN177" s="507"/>
      <c r="EO177" s="507"/>
      <c r="EP177" s="507"/>
      <c r="EQ177" s="507"/>
      <c r="ER177" s="507"/>
      <c r="ES177" s="507"/>
      <c r="ET177" s="507"/>
      <c r="EU177" s="507"/>
      <c r="EV177" s="507"/>
      <c r="EW177" s="507"/>
      <c r="EX177" s="507"/>
      <c r="EY177" s="507"/>
      <c r="EZ177" s="507"/>
      <c r="FA177" s="507"/>
      <c r="FB177" s="507"/>
      <c r="FC177" s="507"/>
      <c r="FD177" s="507"/>
      <c r="FE177" s="507"/>
      <c r="FF177" s="507"/>
      <c r="FG177" s="507"/>
      <c r="FH177" s="507"/>
      <c r="FI177" s="507"/>
      <c r="FJ177" s="507"/>
      <c r="FK177" s="507"/>
      <c r="FL177" s="507"/>
      <c r="FM177" s="507"/>
      <c r="FN177" s="507"/>
      <c r="FO177" s="507"/>
      <c r="FP177" s="507"/>
      <c r="FQ177" s="507"/>
      <c r="FR177" s="507"/>
      <c r="FS177" s="507"/>
      <c r="FT177" s="507"/>
      <c r="FU177" s="507"/>
      <c r="FV177" s="507"/>
      <c r="FW177" s="507"/>
      <c r="FX177" s="507"/>
      <c r="FY177" s="507"/>
      <c r="FZ177" s="507"/>
      <c r="GA177" s="507"/>
      <c r="GB177" s="507"/>
      <c r="GC177" s="507"/>
      <c r="GD177" s="507"/>
      <c r="GE177" s="507"/>
      <c r="GF177" s="507"/>
      <c r="GG177" s="507"/>
      <c r="GH177" s="507"/>
      <c r="GI177" s="507"/>
      <c r="GJ177" s="507"/>
      <c r="GK177" s="507"/>
      <c r="GL177" s="507"/>
      <c r="GM177" s="507"/>
      <c r="GN177" s="507"/>
      <c r="GO177" s="507"/>
      <c r="GP177" s="507"/>
      <c r="GQ177" s="507"/>
      <c r="GR177" s="507"/>
      <c r="GS177" s="507"/>
      <c r="GT177" s="507"/>
      <c r="GU177" s="507"/>
      <c r="GV177" s="507"/>
      <c r="GW177" s="507"/>
      <c r="GX177" s="507"/>
      <c r="GY177" s="507"/>
      <c r="GZ177" s="507"/>
      <c r="HA177" s="507"/>
      <c r="HB177" s="507"/>
      <c r="HC177" s="507"/>
      <c r="HD177" s="507"/>
      <c r="HE177" s="507"/>
      <c r="HF177" s="507"/>
      <c r="HG177" s="507"/>
      <c r="HH177" s="507"/>
      <c r="HI177" s="507"/>
      <c r="HJ177" s="507"/>
      <c r="HK177" s="507"/>
      <c r="HL177" s="507"/>
      <c r="HM177" s="507"/>
      <c r="HN177" s="507"/>
      <c r="HO177" s="507"/>
      <c r="HP177" s="507"/>
      <c r="HQ177" s="507"/>
      <c r="HR177" s="507"/>
      <c r="HS177" s="507"/>
      <c r="HT177" s="507"/>
      <c r="HU177" s="507"/>
      <c r="HV177" s="507"/>
      <c r="HW177" s="507"/>
      <c r="HX177" s="507"/>
      <c r="HY177" s="507"/>
      <c r="HZ177" s="507"/>
      <c r="IA177" s="507"/>
      <c r="IB177" s="507"/>
      <c r="IC177" s="507"/>
      <c r="ID177" s="507"/>
      <c r="IE177" s="507"/>
      <c r="IF177" s="507"/>
      <c r="IG177" s="507"/>
      <c r="IH177" s="507"/>
      <c r="II177" s="507"/>
      <c r="IJ177" s="507"/>
      <c r="IK177" s="507"/>
      <c r="IL177" s="507"/>
    </row>
    <row r="178" spans="1:246" s="938" customFormat="1" x14ac:dyDescent="0.3">
      <c r="A178" s="923"/>
      <c r="B178" s="502"/>
      <c r="C178" s="913"/>
      <c r="D178" s="914"/>
      <c r="E178" s="915"/>
      <c r="F178" s="916"/>
      <c r="G178" s="916"/>
      <c r="H178" s="917"/>
      <c r="I178" s="917"/>
      <c r="J178" s="507"/>
      <c r="K178" s="1430"/>
      <c r="L178" s="507"/>
      <c r="M178" s="507"/>
      <c r="N178" s="507"/>
      <c r="O178" s="507"/>
      <c r="P178" s="507"/>
      <c r="Q178" s="507"/>
      <c r="R178" s="507"/>
      <c r="S178" s="507"/>
      <c r="T178" s="507"/>
      <c r="U178" s="507"/>
      <c r="V178" s="507"/>
      <c r="W178" s="507"/>
      <c r="X178" s="507"/>
      <c r="Y178" s="507"/>
      <c r="Z178" s="507"/>
      <c r="AA178" s="507"/>
      <c r="AB178" s="507"/>
      <c r="AC178" s="507"/>
      <c r="AD178" s="507"/>
      <c r="AE178" s="507"/>
      <c r="AF178" s="507"/>
      <c r="AG178" s="507"/>
      <c r="AH178" s="507"/>
      <c r="AI178" s="507"/>
      <c r="AJ178" s="507"/>
      <c r="AK178" s="507"/>
      <c r="AL178" s="507"/>
      <c r="AM178" s="507"/>
      <c r="AN178" s="507"/>
      <c r="AO178" s="507"/>
      <c r="AP178" s="507"/>
      <c r="AQ178" s="507"/>
      <c r="AR178" s="507"/>
      <c r="AS178" s="507"/>
      <c r="AT178" s="507"/>
      <c r="AU178" s="507"/>
      <c r="AV178" s="507"/>
      <c r="AW178" s="507"/>
      <c r="AX178" s="507"/>
      <c r="AY178" s="507"/>
      <c r="AZ178" s="507"/>
      <c r="BA178" s="507"/>
      <c r="BB178" s="507"/>
      <c r="BC178" s="507"/>
      <c r="BD178" s="507"/>
      <c r="BE178" s="507"/>
      <c r="BF178" s="507"/>
      <c r="BG178" s="507"/>
      <c r="BH178" s="507"/>
      <c r="BI178" s="507"/>
      <c r="BJ178" s="507"/>
      <c r="BK178" s="507"/>
      <c r="BL178" s="507"/>
      <c r="BM178" s="507"/>
      <c r="BN178" s="507"/>
      <c r="BO178" s="507"/>
      <c r="BP178" s="507"/>
      <c r="BQ178" s="507"/>
      <c r="BR178" s="507"/>
      <c r="BS178" s="507"/>
      <c r="BT178" s="507"/>
      <c r="BU178" s="507"/>
      <c r="BV178" s="507"/>
      <c r="BW178" s="507"/>
      <c r="BX178" s="507"/>
      <c r="BY178" s="507"/>
      <c r="BZ178" s="507"/>
      <c r="CA178" s="507"/>
      <c r="CB178" s="507"/>
      <c r="CC178" s="507"/>
      <c r="CD178" s="507"/>
      <c r="CE178" s="507"/>
      <c r="CF178" s="507"/>
      <c r="CG178" s="507"/>
      <c r="CH178" s="507"/>
      <c r="CI178" s="507"/>
      <c r="CJ178" s="507"/>
      <c r="CK178" s="507"/>
      <c r="CL178" s="507"/>
      <c r="CM178" s="507"/>
      <c r="CN178" s="507"/>
      <c r="CO178" s="507"/>
      <c r="CP178" s="507"/>
      <c r="CQ178" s="507"/>
      <c r="CR178" s="507"/>
      <c r="CS178" s="507"/>
      <c r="CT178" s="507"/>
      <c r="CU178" s="507"/>
      <c r="CV178" s="507"/>
      <c r="CW178" s="507"/>
      <c r="CX178" s="507"/>
      <c r="CY178" s="507"/>
      <c r="CZ178" s="507"/>
      <c r="DA178" s="507"/>
      <c r="DB178" s="507"/>
      <c r="DC178" s="507"/>
      <c r="DD178" s="507"/>
      <c r="DE178" s="507"/>
      <c r="DF178" s="507"/>
      <c r="DG178" s="507"/>
      <c r="DH178" s="507"/>
      <c r="DI178" s="507"/>
      <c r="DJ178" s="507"/>
      <c r="DK178" s="507"/>
      <c r="DL178" s="507"/>
      <c r="DM178" s="507"/>
      <c r="DN178" s="507"/>
      <c r="DO178" s="507"/>
      <c r="DP178" s="507"/>
      <c r="DQ178" s="507"/>
      <c r="DR178" s="507"/>
      <c r="DS178" s="507"/>
      <c r="DT178" s="507"/>
      <c r="DU178" s="507"/>
      <c r="DV178" s="507"/>
      <c r="DW178" s="507"/>
      <c r="DX178" s="507"/>
      <c r="DY178" s="507"/>
      <c r="DZ178" s="507"/>
      <c r="EA178" s="507"/>
      <c r="EB178" s="507"/>
      <c r="EC178" s="507"/>
      <c r="ED178" s="507"/>
      <c r="EE178" s="507"/>
      <c r="EF178" s="507"/>
      <c r="EG178" s="507"/>
      <c r="EH178" s="507"/>
      <c r="EI178" s="507"/>
      <c r="EJ178" s="507"/>
      <c r="EK178" s="507"/>
      <c r="EL178" s="507"/>
      <c r="EM178" s="507"/>
      <c r="EN178" s="507"/>
      <c r="EO178" s="507"/>
      <c r="EP178" s="507"/>
      <c r="EQ178" s="507"/>
      <c r="ER178" s="507"/>
      <c r="ES178" s="507"/>
      <c r="ET178" s="507"/>
      <c r="EU178" s="507"/>
      <c r="EV178" s="507"/>
      <c r="EW178" s="507"/>
      <c r="EX178" s="507"/>
      <c r="EY178" s="507"/>
      <c r="EZ178" s="507"/>
      <c r="FA178" s="507"/>
      <c r="FB178" s="507"/>
      <c r="FC178" s="507"/>
      <c r="FD178" s="507"/>
      <c r="FE178" s="507"/>
      <c r="FF178" s="507"/>
      <c r="FG178" s="507"/>
      <c r="FH178" s="507"/>
      <c r="FI178" s="507"/>
      <c r="FJ178" s="507"/>
      <c r="FK178" s="507"/>
      <c r="FL178" s="507"/>
      <c r="FM178" s="507"/>
      <c r="FN178" s="507"/>
      <c r="FO178" s="507"/>
      <c r="FP178" s="507"/>
      <c r="FQ178" s="507"/>
      <c r="FR178" s="507"/>
      <c r="FS178" s="507"/>
      <c r="FT178" s="507"/>
      <c r="FU178" s="507"/>
      <c r="FV178" s="507"/>
      <c r="FW178" s="507"/>
      <c r="FX178" s="507"/>
      <c r="FY178" s="507"/>
      <c r="FZ178" s="507"/>
      <c r="GA178" s="507"/>
      <c r="GB178" s="507"/>
      <c r="GC178" s="507"/>
      <c r="GD178" s="507"/>
      <c r="GE178" s="507"/>
      <c r="GF178" s="507"/>
      <c r="GG178" s="507"/>
      <c r="GH178" s="507"/>
      <c r="GI178" s="507"/>
      <c r="GJ178" s="507"/>
      <c r="GK178" s="507"/>
      <c r="GL178" s="507"/>
      <c r="GM178" s="507"/>
      <c r="GN178" s="507"/>
      <c r="GO178" s="507"/>
      <c r="GP178" s="507"/>
      <c r="GQ178" s="507"/>
      <c r="GR178" s="507"/>
      <c r="GS178" s="507"/>
      <c r="GT178" s="507"/>
      <c r="GU178" s="507"/>
      <c r="GV178" s="507"/>
      <c r="GW178" s="507"/>
      <c r="GX178" s="507"/>
      <c r="GY178" s="507"/>
      <c r="GZ178" s="507"/>
      <c r="HA178" s="507"/>
      <c r="HB178" s="507"/>
      <c r="HC178" s="507"/>
      <c r="HD178" s="507"/>
      <c r="HE178" s="507"/>
      <c r="HF178" s="507"/>
      <c r="HG178" s="507"/>
      <c r="HH178" s="507"/>
      <c r="HI178" s="507"/>
      <c r="HJ178" s="507"/>
      <c r="HK178" s="507"/>
      <c r="HL178" s="507"/>
      <c r="HM178" s="507"/>
      <c r="HN178" s="507"/>
      <c r="HO178" s="507"/>
      <c r="HP178" s="507"/>
      <c r="HQ178" s="507"/>
      <c r="HR178" s="507"/>
      <c r="HS178" s="507"/>
      <c r="HT178" s="507"/>
      <c r="HU178" s="507"/>
      <c r="HV178" s="507"/>
      <c r="HW178" s="507"/>
      <c r="HX178" s="507"/>
      <c r="HY178" s="507"/>
      <c r="HZ178" s="507"/>
      <c r="IA178" s="507"/>
      <c r="IB178" s="507"/>
      <c r="IC178" s="507"/>
      <c r="ID178" s="507"/>
      <c r="IE178" s="507"/>
      <c r="IF178" s="507"/>
      <c r="IG178" s="507"/>
      <c r="IH178" s="507"/>
      <c r="II178" s="507"/>
      <c r="IJ178" s="507"/>
      <c r="IK178" s="507"/>
      <c r="IL178" s="507"/>
    </row>
  </sheetData>
  <mergeCells count="16">
    <mergeCell ref="B174:D174"/>
    <mergeCell ref="B153:D153"/>
    <mergeCell ref="B1:F1"/>
    <mergeCell ref="F6:F7"/>
    <mergeCell ref="B173:D173"/>
    <mergeCell ref="G6:G7"/>
    <mergeCell ref="B2:K2"/>
    <mergeCell ref="B3:K3"/>
    <mergeCell ref="J6:J7"/>
    <mergeCell ref="K6:K7"/>
    <mergeCell ref="I6:I7"/>
    <mergeCell ref="H6:H7"/>
    <mergeCell ref="B6:B7"/>
    <mergeCell ref="C6:C7"/>
    <mergeCell ref="D6:D7"/>
    <mergeCell ref="E6:E7"/>
  </mergeCells>
  <printOptions horizontalCentered="1"/>
  <pageMargins left="0.19685039370078741" right="0.19685039370078741" top="0.59055118110236227" bottom="0.39370078740157483" header="0.51181102362204722" footer="0.31496062992125984"/>
  <pageSetup paperSize="9" scale="55" fitToHeight="0" orientation="portrait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93"/>
  <sheetViews>
    <sheetView view="pageBreakPreview" topLeftCell="A656" zoomScale="75" zoomScaleNormal="75" zoomScaleSheetLayoutView="75" workbookViewId="0">
      <selection activeCell="D435" sqref="D435"/>
    </sheetView>
  </sheetViews>
  <sheetFormatPr defaultRowHeight="17.25" x14ac:dyDescent="0.35"/>
  <cols>
    <col min="1" max="1" width="3.7109375" style="229" customWidth="1"/>
    <col min="2" max="2" width="5.7109375" style="3" customWidth="1"/>
    <col min="3" max="3" width="5.7109375" style="7" customWidth="1"/>
    <col min="4" max="4" width="87.7109375" style="11" customWidth="1"/>
    <col min="5" max="7" width="11.7109375" style="4" customWidth="1"/>
    <col min="8" max="8" width="6.7109375" style="3" customWidth="1"/>
    <col min="9" max="9" width="12.7109375" style="5" customWidth="1"/>
    <col min="10" max="14" width="12.7109375" style="4" customWidth="1"/>
    <col min="15" max="15" width="9.28515625" style="4" bestFit="1" customWidth="1"/>
    <col min="16" max="16384" width="9.140625" style="4"/>
  </cols>
  <sheetData>
    <row r="1" spans="1:16" ht="16.5" x14ac:dyDescent="0.3">
      <c r="A1" s="322"/>
      <c r="B1" s="1585" t="s">
        <v>882</v>
      </c>
      <c r="C1" s="1585"/>
      <c r="D1" s="1585"/>
      <c r="E1" s="1585"/>
      <c r="F1" s="1585"/>
      <c r="G1" s="62"/>
      <c r="H1" s="62"/>
      <c r="I1" s="62"/>
      <c r="J1" s="136"/>
      <c r="K1" s="966"/>
      <c r="L1" s="966"/>
      <c r="M1" s="966"/>
      <c r="N1" s="966"/>
    </row>
    <row r="2" spans="1:16" ht="24.75" customHeight="1" x14ac:dyDescent="0.35">
      <c r="A2" s="322"/>
      <c r="B2" s="1687" t="s">
        <v>14</v>
      </c>
      <c r="C2" s="1687"/>
      <c r="D2" s="1687"/>
      <c r="E2" s="1687"/>
      <c r="F2" s="1687"/>
      <c r="G2" s="1687"/>
      <c r="H2" s="1687"/>
      <c r="I2" s="1687"/>
      <c r="J2" s="1687"/>
      <c r="K2" s="1687"/>
      <c r="L2" s="1687"/>
      <c r="M2" s="1687"/>
      <c r="N2" s="1687"/>
    </row>
    <row r="3" spans="1:16" s="6" customFormat="1" ht="24.75" customHeight="1" x14ac:dyDescent="0.2">
      <c r="A3" s="322"/>
      <c r="B3" s="1688" t="s">
        <v>859</v>
      </c>
      <c r="C3" s="1688"/>
      <c r="D3" s="1688"/>
      <c r="E3" s="1688"/>
      <c r="F3" s="1688"/>
      <c r="G3" s="1688"/>
      <c r="H3" s="1688"/>
      <c r="I3" s="1688"/>
      <c r="J3" s="1688"/>
      <c r="K3" s="1688"/>
      <c r="L3" s="1688"/>
      <c r="M3" s="1688"/>
      <c r="N3" s="1688"/>
    </row>
    <row r="4" spans="1:16" s="142" customFormat="1" ht="15" x14ac:dyDescent="0.3">
      <c r="A4" s="321"/>
      <c r="B4" s="323"/>
      <c r="C4" s="324"/>
      <c r="D4" s="325"/>
      <c r="H4" s="326"/>
      <c r="I4" s="327"/>
      <c r="J4" s="316"/>
      <c r="K4" s="316"/>
      <c r="L4" s="316"/>
      <c r="M4" s="1689" t="s">
        <v>0</v>
      </c>
      <c r="N4" s="1689"/>
    </row>
    <row r="5" spans="1:16" s="56" customFormat="1" ht="15" thickBot="1" x14ac:dyDescent="0.35">
      <c r="A5" s="328"/>
      <c r="B5" s="56" t="s">
        <v>1</v>
      </c>
      <c r="C5" s="56" t="s">
        <v>3</v>
      </c>
      <c r="D5" s="329" t="s">
        <v>2</v>
      </c>
      <c r="E5" s="56" t="s">
        <v>4</v>
      </c>
      <c r="F5" s="56" t="s">
        <v>5</v>
      </c>
      <c r="G5" s="56" t="s">
        <v>15</v>
      </c>
      <c r="H5" s="330" t="s">
        <v>16</v>
      </c>
      <c r="I5" s="56" t="s">
        <v>17</v>
      </c>
      <c r="J5" s="56" t="s">
        <v>34</v>
      </c>
      <c r="K5" s="56" t="s">
        <v>30</v>
      </c>
      <c r="L5" s="56" t="s">
        <v>23</v>
      </c>
      <c r="M5" s="56" t="s">
        <v>35</v>
      </c>
      <c r="N5" s="56" t="s">
        <v>36</v>
      </c>
    </row>
    <row r="6" spans="1:16" s="1435" customFormat="1" ht="34.5" customHeight="1" x14ac:dyDescent="0.2">
      <c r="A6" s="229"/>
      <c r="B6" s="1697" t="s">
        <v>18</v>
      </c>
      <c r="C6" s="1699" t="s">
        <v>19</v>
      </c>
      <c r="D6" s="1703" t="s">
        <v>6</v>
      </c>
      <c r="E6" s="1695" t="s">
        <v>471</v>
      </c>
      <c r="F6" s="1695" t="s">
        <v>504</v>
      </c>
      <c r="G6" s="1701" t="s">
        <v>707</v>
      </c>
      <c r="H6" s="1708" t="s">
        <v>20</v>
      </c>
      <c r="I6" s="1691" t="s">
        <v>518</v>
      </c>
      <c r="J6" s="1693" t="s">
        <v>37</v>
      </c>
      <c r="K6" s="1693"/>
      <c r="L6" s="1693"/>
      <c r="M6" s="1693"/>
      <c r="N6" s="1694"/>
    </row>
    <row r="7" spans="1:16" s="1435" customFormat="1" ht="45.75" thickBot="1" x14ac:dyDescent="0.25">
      <c r="A7" s="229"/>
      <c r="B7" s="1698"/>
      <c r="C7" s="1700"/>
      <c r="D7" s="1704"/>
      <c r="E7" s="1696"/>
      <c r="F7" s="1696"/>
      <c r="G7" s="1702"/>
      <c r="H7" s="1709"/>
      <c r="I7" s="1692"/>
      <c r="J7" s="653" t="s">
        <v>38</v>
      </c>
      <c r="K7" s="653" t="s">
        <v>39</v>
      </c>
      <c r="L7" s="653" t="s">
        <v>40</v>
      </c>
      <c r="M7" s="653" t="s">
        <v>195</v>
      </c>
      <c r="N7" s="320" t="s">
        <v>41</v>
      </c>
    </row>
    <row r="8" spans="1:16" s="1435" customFormat="1" ht="23.25" customHeight="1" x14ac:dyDescent="0.3">
      <c r="A8" s="229">
        <v>1</v>
      </c>
      <c r="B8" s="331">
        <v>18</v>
      </c>
      <c r="C8" s="332" t="s">
        <v>391</v>
      </c>
      <c r="D8" s="333"/>
      <c r="E8" s="334"/>
      <c r="F8" s="334"/>
      <c r="G8" s="1378"/>
      <c r="H8" s="338"/>
      <c r="I8" s="335"/>
      <c r="J8" s="336"/>
      <c r="K8" s="336"/>
      <c r="L8" s="336"/>
      <c r="M8" s="336"/>
      <c r="N8" s="337"/>
    </row>
    <row r="9" spans="1:16" s="3" customFormat="1" ht="22.5" customHeight="1" x14ac:dyDescent="0.3">
      <c r="A9" s="229">
        <v>2</v>
      </c>
      <c r="B9" s="92"/>
      <c r="C9" s="319">
        <v>1</v>
      </c>
      <c r="D9" s="224" t="s">
        <v>42</v>
      </c>
      <c r="E9" s="94">
        <v>239</v>
      </c>
      <c r="F9" s="94">
        <v>500</v>
      </c>
      <c r="G9" s="1379">
        <v>127</v>
      </c>
      <c r="H9" s="233" t="s">
        <v>23</v>
      </c>
      <c r="I9" s="220"/>
      <c r="J9" s="93"/>
      <c r="K9" s="93"/>
      <c r="L9" s="93"/>
      <c r="M9" s="93"/>
      <c r="N9" s="95"/>
    </row>
    <row r="10" spans="1:16" s="8" customFormat="1" ht="18" customHeight="1" x14ac:dyDescent="0.3">
      <c r="A10" s="229">
        <v>3</v>
      </c>
      <c r="B10" s="77"/>
      <c r="C10" s="78"/>
      <c r="D10" s="459" t="s">
        <v>268</v>
      </c>
      <c r="E10" s="76"/>
      <c r="F10" s="76"/>
      <c r="G10" s="1380"/>
      <c r="H10" s="231"/>
      <c r="I10" s="452">
        <f>SUM(J10:N10)</f>
        <v>500</v>
      </c>
      <c r="J10" s="570"/>
      <c r="K10" s="570"/>
      <c r="L10" s="453">
        <v>500</v>
      </c>
      <c r="M10" s="570"/>
      <c r="N10" s="571"/>
    </row>
    <row r="11" spans="1:16" s="8" customFormat="1" ht="18" customHeight="1" x14ac:dyDescent="0.3">
      <c r="A11" s="229">
        <v>4</v>
      </c>
      <c r="B11" s="77"/>
      <c r="C11" s="78"/>
      <c r="D11" s="224" t="s">
        <v>796</v>
      </c>
      <c r="E11" s="76"/>
      <c r="F11" s="76"/>
      <c r="G11" s="1380"/>
      <c r="H11" s="231"/>
      <c r="I11" s="977">
        <f>SUM(J11:N11)</f>
        <v>630</v>
      </c>
      <c r="J11" s="93"/>
      <c r="K11" s="93"/>
      <c r="L11" s="975">
        <v>630</v>
      </c>
      <c r="M11" s="93"/>
      <c r="N11" s="95"/>
    </row>
    <row r="12" spans="1:16" s="8" customFormat="1" ht="18" customHeight="1" x14ac:dyDescent="0.3">
      <c r="A12" s="229">
        <v>5</v>
      </c>
      <c r="B12" s="77"/>
      <c r="C12" s="78"/>
      <c r="D12" s="976" t="s">
        <v>860</v>
      </c>
      <c r="E12" s="76"/>
      <c r="F12" s="76"/>
      <c r="G12" s="1380"/>
      <c r="H12" s="231"/>
      <c r="I12" s="980">
        <f>SUM(J12:N12)</f>
        <v>8</v>
      </c>
      <c r="J12" s="978"/>
      <c r="K12" s="978"/>
      <c r="L12" s="978">
        <v>8</v>
      </c>
      <c r="M12" s="978"/>
      <c r="N12" s="979"/>
    </row>
    <row r="13" spans="1:16" s="3" customFormat="1" ht="22.5" customHeight="1" x14ac:dyDescent="0.3">
      <c r="A13" s="229">
        <v>6</v>
      </c>
      <c r="B13" s="73"/>
      <c r="C13" s="74">
        <v>2</v>
      </c>
      <c r="D13" s="225" t="s">
        <v>826</v>
      </c>
      <c r="E13" s="76">
        <v>1719</v>
      </c>
      <c r="F13" s="76">
        <v>1700</v>
      </c>
      <c r="G13" s="1380">
        <v>504</v>
      </c>
      <c r="H13" s="231" t="s">
        <v>24</v>
      </c>
      <c r="I13" s="572"/>
      <c r="J13" s="573"/>
      <c r="K13" s="573"/>
      <c r="L13" s="573"/>
      <c r="M13" s="573"/>
      <c r="N13" s="574"/>
      <c r="P13" s="8"/>
    </row>
    <row r="14" spans="1:16" s="8" customFormat="1" ht="18" customHeight="1" x14ac:dyDescent="0.3">
      <c r="A14" s="229">
        <v>7</v>
      </c>
      <c r="B14" s="77"/>
      <c r="C14" s="78"/>
      <c r="D14" s="459" t="s">
        <v>268</v>
      </c>
      <c r="E14" s="76"/>
      <c r="F14" s="76"/>
      <c r="G14" s="1380"/>
      <c r="H14" s="231"/>
      <c r="I14" s="452">
        <f>SUM(J14:N14)</f>
        <v>1000</v>
      </c>
      <c r="J14" s="570"/>
      <c r="K14" s="570"/>
      <c r="L14" s="453">
        <v>1000</v>
      </c>
      <c r="M14" s="570"/>
      <c r="N14" s="571"/>
    </row>
    <row r="15" spans="1:16" s="8" customFormat="1" ht="18" customHeight="1" x14ac:dyDescent="0.3">
      <c r="A15" s="229">
        <v>8</v>
      </c>
      <c r="B15" s="77"/>
      <c r="C15" s="78"/>
      <c r="D15" s="224" t="s">
        <v>796</v>
      </c>
      <c r="E15" s="76"/>
      <c r="F15" s="76"/>
      <c r="G15" s="1380"/>
      <c r="H15" s="231"/>
      <c r="I15" s="977">
        <f>SUM(J15:N15)</f>
        <v>600</v>
      </c>
      <c r="J15" s="570"/>
      <c r="K15" s="570"/>
      <c r="L15" s="982">
        <v>600</v>
      </c>
      <c r="M15" s="570"/>
      <c r="N15" s="571"/>
    </row>
    <row r="16" spans="1:16" s="8" customFormat="1" ht="18" customHeight="1" x14ac:dyDescent="0.3">
      <c r="A16" s="229">
        <v>9</v>
      </c>
      <c r="B16" s="77"/>
      <c r="C16" s="78"/>
      <c r="D16" s="976" t="s">
        <v>861</v>
      </c>
      <c r="E16" s="76"/>
      <c r="F16" s="76"/>
      <c r="G16" s="1380"/>
      <c r="H16" s="231"/>
      <c r="I16" s="980">
        <f>SUM(J16:N16)</f>
        <v>0</v>
      </c>
      <c r="J16" s="570"/>
      <c r="K16" s="570"/>
      <c r="L16" s="985"/>
      <c r="M16" s="570"/>
      <c r="N16" s="571"/>
    </row>
    <row r="17" spans="1:16" s="3" customFormat="1" ht="22.5" customHeight="1" x14ac:dyDescent="0.3">
      <c r="A17" s="229">
        <v>10</v>
      </c>
      <c r="B17" s="73"/>
      <c r="C17" s="74">
        <v>3</v>
      </c>
      <c r="D17" s="225" t="s">
        <v>43</v>
      </c>
      <c r="E17" s="76">
        <v>1449</v>
      </c>
      <c r="F17" s="76"/>
      <c r="G17" s="1380"/>
      <c r="H17" s="231" t="s">
        <v>24</v>
      </c>
      <c r="I17" s="575"/>
      <c r="J17" s="576"/>
      <c r="K17" s="576"/>
      <c r="L17" s="576"/>
      <c r="M17" s="576"/>
      <c r="N17" s="577"/>
      <c r="P17" s="8"/>
    </row>
    <row r="18" spans="1:16" s="3" customFormat="1" ht="18" customHeight="1" x14ac:dyDescent="0.3">
      <c r="A18" s="229">
        <v>11</v>
      </c>
      <c r="B18" s="73"/>
      <c r="C18" s="74"/>
      <c r="D18" s="459" t="s">
        <v>268</v>
      </c>
      <c r="E18" s="76"/>
      <c r="F18" s="76"/>
      <c r="G18" s="1380"/>
      <c r="H18" s="231"/>
      <c r="I18" s="452">
        <f>SUM(J18:N18)</f>
        <v>1423</v>
      </c>
      <c r="J18" s="576"/>
      <c r="K18" s="576"/>
      <c r="L18" s="456">
        <v>1423</v>
      </c>
      <c r="M18" s="576"/>
      <c r="N18" s="577"/>
      <c r="P18" s="8"/>
    </row>
    <row r="19" spans="1:16" s="3" customFormat="1" ht="18" customHeight="1" x14ac:dyDescent="0.3">
      <c r="A19" s="229">
        <v>12</v>
      </c>
      <c r="B19" s="73"/>
      <c r="C19" s="74"/>
      <c r="D19" s="224" t="s">
        <v>796</v>
      </c>
      <c r="E19" s="76"/>
      <c r="F19" s="76"/>
      <c r="G19" s="1380"/>
      <c r="H19" s="231"/>
      <c r="I19" s="977">
        <f>SUM(J19:N19)</f>
        <v>6345</v>
      </c>
      <c r="J19" s="990"/>
      <c r="K19" s="990"/>
      <c r="L19" s="991">
        <v>6345</v>
      </c>
      <c r="M19" s="990"/>
      <c r="N19" s="577"/>
      <c r="P19" s="8"/>
    </row>
    <row r="20" spans="1:16" s="3" customFormat="1" ht="18" customHeight="1" x14ac:dyDescent="0.3">
      <c r="A20" s="229">
        <v>13</v>
      </c>
      <c r="B20" s="73"/>
      <c r="C20" s="74"/>
      <c r="D20" s="976" t="s">
        <v>861</v>
      </c>
      <c r="E20" s="76"/>
      <c r="F20" s="76"/>
      <c r="G20" s="1380"/>
      <c r="H20" s="231"/>
      <c r="I20" s="980">
        <f>SUM(J20:N20)</f>
        <v>60</v>
      </c>
      <c r="J20" s="990"/>
      <c r="K20" s="990"/>
      <c r="L20" s="997">
        <v>60</v>
      </c>
      <c r="M20" s="990"/>
      <c r="N20" s="577"/>
      <c r="P20" s="8"/>
    </row>
    <row r="21" spans="1:16" s="3" customFormat="1" ht="22.5" customHeight="1" x14ac:dyDescent="0.3">
      <c r="A21" s="229">
        <v>14</v>
      </c>
      <c r="B21" s="73"/>
      <c r="C21" s="74">
        <v>4</v>
      </c>
      <c r="D21" s="225" t="s">
        <v>44</v>
      </c>
      <c r="E21" s="76">
        <v>3555</v>
      </c>
      <c r="F21" s="76">
        <v>7500</v>
      </c>
      <c r="G21" s="1380">
        <v>7175</v>
      </c>
      <c r="H21" s="231" t="s">
        <v>24</v>
      </c>
      <c r="I21" s="452"/>
      <c r="J21" s="570"/>
      <c r="K21" s="570"/>
      <c r="L21" s="570"/>
      <c r="M21" s="570"/>
      <c r="N21" s="571"/>
      <c r="P21" s="8"/>
    </row>
    <row r="22" spans="1:16" s="8" customFormat="1" ht="18" customHeight="1" x14ac:dyDescent="0.3">
      <c r="A22" s="229">
        <v>15</v>
      </c>
      <c r="B22" s="77"/>
      <c r="C22" s="78"/>
      <c r="D22" s="459" t="s">
        <v>268</v>
      </c>
      <c r="E22" s="425"/>
      <c r="F22" s="425"/>
      <c r="G22" s="1381"/>
      <c r="H22" s="231"/>
      <c r="I22" s="452">
        <f>SUM(J22:N22)</f>
        <v>4500</v>
      </c>
      <c r="J22" s="570"/>
      <c r="K22" s="570"/>
      <c r="L22" s="453">
        <v>4500</v>
      </c>
      <c r="M22" s="570"/>
      <c r="N22" s="571"/>
    </row>
    <row r="23" spans="1:16" s="8" customFormat="1" ht="18" customHeight="1" x14ac:dyDescent="0.3">
      <c r="A23" s="229">
        <v>16</v>
      </c>
      <c r="B23" s="77"/>
      <c r="C23" s="78"/>
      <c r="D23" s="224" t="s">
        <v>796</v>
      </c>
      <c r="E23" s="425"/>
      <c r="F23" s="425"/>
      <c r="G23" s="1381"/>
      <c r="H23" s="231"/>
      <c r="I23" s="977">
        <f>SUM(J23:N23)</f>
        <v>8348</v>
      </c>
      <c r="J23" s="570"/>
      <c r="K23" s="570"/>
      <c r="L23" s="982">
        <v>8348</v>
      </c>
      <c r="M23" s="570"/>
      <c r="N23" s="571"/>
    </row>
    <row r="24" spans="1:16" s="8" customFormat="1" ht="18" customHeight="1" x14ac:dyDescent="0.3">
      <c r="A24" s="229">
        <v>17</v>
      </c>
      <c r="B24" s="77"/>
      <c r="C24" s="78"/>
      <c r="D24" s="976" t="s">
        <v>861</v>
      </c>
      <c r="E24" s="425"/>
      <c r="F24" s="425"/>
      <c r="G24" s="1381"/>
      <c r="H24" s="231"/>
      <c r="I24" s="980">
        <f>SUM(J24:N24)</f>
        <v>1005</v>
      </c>
      <c r="J24" s="570"/>
      <c r="K24" s="570"/>
      <c r="L24" s="985">
        <v>1005</v>
      </c>
      <c r="M24" s="570"/>
      <c r="N24" s="571"/>
    </row>
    <row r="25" spans="1:16" s="3" customFormat="1" ht="22.5" customHeight="1" x14ac:dyDescent="0.3">
      <c r="A25" s="229">
        <v>18</v>
      </c>
      <c r="B25" s="73"/>
      <c r="C25" s="74">
        <v>5</v>
      </c>
      <c r="D25" s="225" t="s">
        <v>12</v>
      </c>
      <c r="E25" s="76">
        <v>7724</v>
      </c>
      <c r="F25" s="76">
        <v>1000</v>
      </c>
      <c r="G25" s="1380">
        <v>5730</v>
      </c>
      <c r="H25" s="231" t="s">
        <v>24</v>
      </c>
      <c r="I25" s="575"/>
      <c r="J25" s="576"/>
      <c r="K25" s="576"/>
      <c r="L25" s="576"/>
      <c r="M25" s="576"/>
      <c r="N25" s="577"/>
      <c r="O25" s="8"/>
      <c r="P25" s="8"/>
    </row>
    <row r="26" spans="1:16" s="462" customFormat="1" ht="18" customHeight="1" x14ac:dyDescent="0.3">
      <c r="A26" s="229">
        <v>19</v>
      </c>
      <c r="B26" s="457"/>
      <c r="C26" s="458"/>
      <c r="D26" s="459" t="s">
        <v>268</v>
      </c>
      <c r="E26" s="460"/>
      <c r="F26" s="460"/>
      <c r="G26" s="1382"/>
      <c r="H26" s="461"/>
      <c r="I26" s="452">
        <f>SUM(J26:N26)</f>
        <v>11100</v>
      </c>
      <c r="J26" s="453">
        <v>3414</v>
      </c>
      <c r="K26" s="453">
        <v>517</v>
      </c>
      <c r="L26" s="453">
        <v>6819</v>
      </c>
      <c r="M26" s="453"/>
      <c r="N26" s="454">
        <v>350</v>
      </c>
    </row>
    <row r="27" spans="1:16" s="462" customFormat="1" ht="18" customHeight="1" x14ac:dyDescent="0.3">
      <c r="A27" s="229">
        <v>20</v>
      </c>
      <c r="B27" s="457"/>
      <c r="C27" s="458"/>
      <c r="D27" s="224" t="s">
        <v>796</v>
      </c>
      <c r="E27" s="460"/>
      <c r="F27" s="460"/>
      <c r="G27" s="1382"/>
      <c r="H27" s="461"/>
      <c r="I27" s="977">
        <f>SUM(J27:N27)</f>
        <v>11522</v>
      </c>
      <c r="J27" s="982">
        <v>3414</v>
      </c>
      <c r="K27" s="982">
        <v>517</v>
      </c>
      <c r="L27" s="982">
        <v>7241</v>
      </c>
      <c r="M27" s="982"/>
      <c r="N27" s="983">
        <v>350</v>
      </c>
    </row>
    <row r="28" spans="1:16" s="462" customFormat="1" ht="18" customHeight="1" x14ac:dyDescent="0.3">
      <c r="A28" s="229">
        <v>21</v>
      </c>
      <c r="B28" s="457"/>
      <c r="C28" s="458"/>
      <c r="D28" s="976" t="s">
        <v>861</v>
      </c>
      <c r="E28" s="460"/>
      <c r="F28" s="460"/>
      <c r="G28" s="1382"/>
      <c r="H28" s="461"/>
      <c r="I28" s="980">
        <f>SUM(J28:N28)</f>
        <v>9880</v>
      </c>
      <c r="J28" s="985">
        <v>2434</v>
      </c>
      <c r="K28" s="985">
        <v>804</v>
      </c>
      <c r="L28" s="985">
        <v>6303</v>
      </c>
      <c r="M28" s="982"/>
      <c r="N28" s="983">
        <v>339</v>
      </c>
    </row>
    <row r="29" spans="1:16" s="462" customFormat="1" ht="22.5" customHeight="1" x14ac:dyDescent="0.3">
      <c r="A29" s="229">
        <v>22</v>
      </c>
      <c r="B29" s="457"/>
      <c r="C29" s="74">
        <v>6</v>
      </c>
      <c r="D29" s="225" t="s">
        <v>628</v>
      </c>
      <c r="E29" s="76">
        <f>SUM(E32:E36)</f>
        <v>0</v>
      </c>
      <c r="F29" s="76">
        <f>SUM(F32:F36)</f>
        <v>15000</v>
      </c>
      <c r="G29" s="76">
        <f>SUM(G32:G36)</f>
        <v>7500</v>
      </c>
      <c r="H29" s="231" t="s">
        <v>24</v>
      </c>
      <c r="I29" s="452"/>
      <c r="J29" s="453"/>
      <c r="K29" s="453"/>
      <c r="L29" s="453"/>
      <c r="M29" s="453"/>
      <c r="N29" s="454"/>
    </row>
    <row r="30" spans="1:16" s="462" customFormat="1" ht="17.100000000000001" customHeight="1" x14ac:dyDescent="0.3">
      <c r="A30" s="229">
        <v>23</v>
      </c>
      <c r="B30" s="457"/>
      <c r="C30" s="74"/>
      <c r="D30" s="224" t="s">
        <v>796</v>
      </c>
      <c r="E30" s="76"/>
      <c r="F30" s="76"/>
      <c r="G30" s="1380"/>
      <c r="H30" s="231"/>
      <c r="I30" s="977">
        <f>SUM(J30:N30)</f>
        <v>20000</v>
      </c>
      <c r="J30" s="985">
        <f>J37</f>
        <v>0</v>
      </c>
      <c r="K30" s="985">
        <f t="shared" ref="K30:N31" si="0">K37</f>
        <v>0</v>
      </c>
      <c r="L30" s="1323">
        <f t="shared" si="0"/>
        <v>20000</v>
      </c>
      <c r="M30" s="985">
        <f t="shared" si="0"/>
        <v>0</v>
      </c>
      <c r="N30" s="986">
        <f t="shared" si="0"/>
        <v>0</v>
      </c>
    </row>
    <row r="31" spans="1:16" s="462" customFormat="1" ht="17.100000000000001" customHeight="1" x14ac:dyDescent="0.3">
      <c r="A31" s="229">
        <v>24</v>
      </c>
      <c r="B31" s="457"/>
      <c r="C31" s="74"/>
      <c r="D31" s="976" t="s">
        <v>860</v>
      </c>
      <c r="E31" s="76"/>
      <c r="F31" s="76"/>
      <c r="G31" s="1380"/>
      <c r="H31" s="461"/>
      <c r="I31" s="980">
        <f>SUM(J31:N31)</f>
        <v>20000</v>
      </c>
      <c r="J31" s="985">
        <f>J38</f>
        <v>0</v>
      </c>
      <c r="K31" s="985">
        <f t="shared" si="0"/>
        <v>0</v>
      </c>
      <c r="L31" s="985">
        <f t="shared" si="0"/>
        <v>20000</v>
      </c>
      <c r="M31" s="985">
        <f t="shared" si="0"/>
        <v>0</v>
      </c>
      <c r="N31" s="986">
        <f t="shared" si="0"/>
        <v>0</v>
      </c>
    </row>
    <row r="32" spans="1:16" s="462" customFormat="1" ht="18" customHeight="1" x14ac:dyDescent="0.3">
      <c r="A32" s="229">
        <v>25</v>
      </c>
      <c r="B32" s="457"/>
      <c r="C32" s="458"/>
      <c r="D32" s="187" t="s">
        <v>629</v>
      </c>
      <c r="E32" s="460"/>
      <c r="F32" s="82">
        <v>1150</v>
      </c>
      <c r="G32" s="1383">
        <v>1150</v>
      </c>
      <c r="H32" s="461"/>
      <c r="I32" s="452"/>
      <c r="J32" s="453"/>
      <c r="K32" s="453"/>
      <c r="L32" s="453"/>
      <c r="M32" s="453"/>
      <c r="N32" s="454"/>
    </row>
    <row r="33" spans="1:16" s="462" customFormat="1" ht="18" customHeight="1" x14ac:dyDescent="0.3">
      <c r="A33" s="229">
        <v>26</v>
      </c>
      <c r="B33" s="457"/>
      <c r="C33" s="458"/>
      <c r="D33" s="187" t="s">
        <v>630</v>
      </c>
      <c r="E33" s="460"/>
      <c r="F33" s="82">
        <v>4000</v>
      </c>
      <c r="G33" s="1383">
        <v>4000</v>
      </c>
      <c r="H33" s="461"/>
      <c r="I33" s="452"/>
      <c r="J33" s="453"/>
      <c r="K33" s="453"/>
      <c r="L33" s="453"/>
      <c r="M33" s="453"/>
      <c r="N33" s="454"/>
    </row>
    <row r="34" spans="1:16" s="462" customFormat="1" ht="18" customHeight="1" x14ac:dyDescent="0.3">
      <c r="A34" s="229">
        <v>27</v>
      </c>
      <c r="B34" s="457"/>
      <c r="C34" s="458"/>
      <c r="D34" s="187" t="s">
        <v>632</v>
      </c>
      <c r="E34" s="460"/>
      <c r="F34" s="82">
        <v>2000</v>
      </c>
      <c r="G34" s="1383">
        <v>2000</v>
      </c>
      <c r="H34" s="461"/>
      <c r="I34" s="452"/>
      <c r="J34" s="453"/>
      <c r="K34" s="453"/>
      <c r="L34" s="453"/>
      <c r="M34" s="453"/>
      <c r="N34" s="454"/>
    </row>
    <row r="35" spans="1:16" s="462" customFormat="1" ht="18" customHeight="1" x14ac:dyDescent="0.3">
      <c r="A35" s="229">
        <v>28</v>
      </c>
      <c r="B35" s="457"/>
      <c r="C35" s="458"/>
      <c r="D35" s="187" t="s">
        <v>631</v>
      </c>
      <c r="E35" s="460"/>
      <c r="F35" s="82">
        <v>350</v>
      </c>
      <c r="G35" s="1383">
        <v>350</v>
      </c>
      <c r="H35" s="461"/>
      <c r="I35" s="452"/>
      <c r="J35" s="453"/>
      <c r="K35" s="453"/>
      <c r="L35" s="453"/>
      <c r="M35" s="453"/>
      <c r="N35" s="454"/>
    </row>
    <row r="36" spans="1:16" s="462" customFormat="1" ht="18" customHeight="1" x14ac:dyDescent="0.3">
      <c r="A36" s="229">
        <v>29</v>
      </c>
      <c r="B36" s="457"/>
      <c r="C36" s="458"/>
      <c r="D36" s="187" t="s">
        <v>46</v>
      </c>
      <c r="E36" s="460"/>
      <c r="F36" s="82">
        <v>7500</v>
      </c>
      <c r="G36" s="1383"/>
      <c r="H36" s="461"/>
      <c r="I36" s="452"/>
      <c r="J36" s="453"/>
      <c r="K36" s="453"/>
      <c r="L36" s="453"/>
      <c r="M36" s="453"/>
      <c r="N36" s="454"/>
    </row>
    <row r="37" spans="1:16" s="462" customFormat="1" ht="18" customHeight="1" x14ac:dyDescent="0.3">
      <c r="A37" s="229">
        <v>30</v>
      </c>
      <c r="B37" s="457"/>
      <c r="C37" s="458"/>
      <c r="D37" s="981" t="s">
        <v>796</v>
      </c>
      <c r="E37" s="460"/>
      <c r="F37" s="82"/>
      <c r="G37" s="1383"/>
      <c r="H37" s="461"/>
      <c r="I37" s="980">
        <f>SUM(J37:N37)</f>
        <v>20000</v>
      </c>
      <c r="J37" s="453"/>
      <c r="K37" s="453"/>
      <c r="L37" s="985">
        <v>20000</v>
      </c>
      <c r="M37" s="453"/>
      <c r="N37" s="454"/>
    </row>
    <row r="38" spans="1:16" s="462" customFormat="1" ht="18" customHeight="1" x14ac:dyDescent="0.3">
      <c r="A38" s="229">
        <v>31</v>
      </c>
      <c r="B38" s="457"/>
      <c r="C38" s="458"/>
      <c r="D38" s="981" t="s">
        <v>860</v>
      </c>
      <c r="E38" s="460"/>
      <c r="F38" s="82"/>
      <c r="G38" s="1383"/>
      <c r="H38" s="461"/>
      <c r="I38" s="980">
        <f>SUM(J38:N38)</f>
        <v>20000</v>
      </c>
      <c r="J38" s="985"/>
      <c r="K38" s="985"/>
      <c r="L38" s="985">
        <v>20000</v>
      </c>
      <c r="M38" s="985"/>
      <c r="N38" s="986"/>
    </row>
    <row r="39" spans="1:16" s="3" customFormat="1" ht="22.5" customHeight="1" x14ac:dyDescent="0.3">
      <c r="A39" s="229">
        <v>32</v>
      </c>
      <c r="B39" s="73"/>
      <c r="C39" s="74">
        <v>7</v>
      </c>
      <c r="D39" s="225" t="s">
        <v>10</v>
      </c>
      <c r="E39" s="76">
        <f>SUM(E43,E47,E51,E67,E55)</f>
        <v>0</v>
      </c>
      <c r="F39" s="76">
        <f>SUM(F43,F47,F51,F67,F55)</f>
        <v>28500</v>
      </c>
      <c r="G39" s="76">
        <f>SUM(G43,G47,G51,G67,G55)</f>
        <v>28500</v>
      </c>
      <c r="H39" s="231" t="s">
        <v>24</v>
      </c>
      <c r="I39" s="575"/>
      <c r="J39" s="576"/>
      <c r="K39" s="576"/>
      <c r="L39" s="576"/>
      <c r="M39" s="576"/>
      <c r="N39" s="577"/>
      <c r="O39" s="8"/>
      <c r="P39" s="8"/>
    </row>
    <row r="40" spans="1:16" s="8" customFormat="1" ht="18" customHeight="1" x14ac:dyDescent="0.3">
      <c r="A40" s="229">
        <v>33</v>
      </c>
      <c r="B40" s="77"/>
      <c r="C40" s="78"/>
      <c r="D40" s="459" t="s">
        <v>268</v>
      </c>
      <c r="E40" s="76"/>
      <c r="F40" s="76"/>
      <c r="G40" s="1380"/>
      <c r="H40" s="231"/>
      <c r="I40" s="452">
        <f>SUM(J40:N40)</f>
        <v>58500</v>
      </c>
      <c r="J40" s="982">
        <f t="shared" ref="J40:N42" si="1">SUM(J44,J48,J52,J56,J60,J64)</f>
        <v>0</v>
      </c>
      <c r="K40" s="982">
        <f t="shared" si="1"/>
        <v>0</v>
      </c>
      <c r="L40" s="982">
        <f t="shared" si="1"/>
        <v>10000</v>
      </c>
      <c r="M40" s="982">
        <f t="shared" si="1"/>
        <v>0</v>
      </c>
      <c r="N40" s="454">
        <f t="shared" si="1"/>
        <v>48500</v>
      </c>
    </row>
    <row r="41" spans="1:16" s="8" customFormat="1" ht="18" customHeight="1" x14ac:dyDescent="0.3">
      <c r="A41" s="229">
        <v>34</v>
      </c>
      <c r="B41" s="77"/>
      <c r="C41" s="78"/>
      <c r="D41" s="224" t="s">
        <v>796</v>
      </c>
      <c r="E41" s="76"/>
      <c r="F41" s="76"/>
      <c r="G41" s="1380"/>
      <c r="H41" s="231"/>
      <c r="I41" s="977">
        <f>SUM(J41:N41)</f>
        <v>58500</v>
      </c>
      <c r="J41" s="982">
        <f t="shared" si="1"/>
        <v>0</v>
      </c>
      <c r="K41" s="982">
        <f t="shared" si="1"/>
        <v>0</v>
      </c>
      <c r="L41" s="982">
        <f t="shared" si="1"/>
        <v>0</v>
      </c>
      <c r="M41" s="982">
        <f t="shared" si="1"/>
        <v>0</v>
      </c>
      <c r="N41" s="983">
        <f t="shared" si="1"/>
        <v>58500</v>
      </c>
    </row>
    <row r="42" spans="1:16" s="8" customFormat="1" ht="18" customHeight="1" x14ac:dyDescent="0.3">
      <c r="A42" s="229">
        <v>35</v>
      </c>
      <c r="B42" s="77"/>
      <c r="C42" s="78"/>
      <c r="D42" s="976" t="s">
        <v>860</v>
      </c>
      <c r="E42" s="76"/>
      <c r="F42" s="76"/>
      <c r="G42" s="1380"/>
      <c r="H42" s="231"/>
      <c r="I42" s="980">
        <f>SUM(J42:N42)</f>
        <v>58500</v>
      </c>
      <c r="J42" s="985">
        <f t="shared" si="1"/>
        <v>0</v>
      </c>
      <c r="K42" s="985">
        <f t="shared" si="1"/>
        <v>0</v>
      </c>
      <c r="L42" s="985">
        <f t="shared" si="1"/>
        <v>0</v>
      </c>
      <c r="M42" s="985">
        <f t="shared" si="1"/>
        <v>0</v>
      </c>
      <c r="N42" s="986">
        <f t="shared" si="1"/>
        <v>58500</v>
      </c>
    </row>
    <row r="43" spans="1:16" s="9" customFormat="1" ht="18" customHeight="1" x14ac:dyDescent="0.3">
      <c r="A43" s="229">
        <v>36</v>
      </c>
      <c r="B43" s="81"/>
      <c r="C43" s="219"/>
      <c r="D43" s="187" t="s">
        <v>45</v>
      </c>
      <c r="E43" s="82">
        <v>0</v>
      </c>
      <c r="F43" s="82">
        <v>15000</v>
      </c>
      <c r="G43" s="1383">
        <v>15000</v>
      </c>
      <c r="H43" s="232"/>
      <c r="I43" s="455"/>
      <c r="J43" s="578"/>
      <c r="K43" s="578"/>
      <c r="L43" s="578"/>
      <c r="M43" s="578"/>
      <c r="N43" s="579"/>
      <c r="P43" s="8"/>
    </row>
    <row r="44" spans="1:16" s="9" customFormat="1" ht="18" customHeight="1" x14ac:dyDescent="0.3">
      <c r="A44" s="229">
        <v>37</v>
      </c>
      <c r="B44" s="81"/>
      <c r="C44" s="78"/>
      <c r="D44" s="981" t="s">
        <v>268</v>
      </c>
      <c r="E44" s="82"/>
      <c r="F44" s="82"/>
      <c r="G44" s="1383"/>
      <c r="H44" s="232"/>
      <c r="I44" s="455">
        <f>SUM(J44:N44)</f>
        <v>15000</v>
      </c>
      <c r="J44" s="578"/>
      <c r="K44" s="578"/>
      <c r="L44" s="578"/>
      <c r="M44" s="578"/>
      <c r="N44" s="579">
        <v>15000</v>
      </c>
      <c r="P44" s="8"/>
    </row>
    <row r="45" spans="1:16" s="9" customFormat="1" ht="18" customHeight="1" x14ac:dyDescent="0.3">
      <c r="A45" s="229">
        <v>38</v>
      </c>
      <c r="B45" s="81"/>
      <c r="C45" s="78"/>
      <c r="D45" s="981" t="s">
        <v>796</v>
      </c>
      <c r="E45" s="82"/>
      <c r="F45" s="82"/>
      <c r="G45" s="1383"/>
      <c r="H45" s="232"/>
      <c r="I45" s="980">
        <f>SUM(J45:N45)</f>
        <v>15000</v>
      </c>
      <c r="J45" s="578"/>
      <c r="K45" s="578"/>
      <c r="L45" s="578"/>
      <c r="M45" s="578"/>
      <c r="N45" s="986">
        <v>15000</v>
      </c>
      <c r="P45" s="8"/>
    </row>
    <row r="46" spans="1:16" s="9" customFormat="1" ht="18" customHeight="1" x14ac:dyDescent="0.3">
      <c r="A46" s="229">
        <v>39</v>
      </c>
      <c r="B46" s="81"/>
      <c r="C46" s="78"/>
      <c r="D46" s="981" t="s">
        <v>860</v>
      </c>
      <c r="E46" s="82"/>
      <c r="F46" s="82"/>
      <c r="G46" s="1383"/>
      <c r="H46" s="232"/>
      <c r="I46" s="980">
        <f>SUM(J46:N46)</f>
        <v>15000</v>
      </c>
      <c r="J46" s="578"/>
      <c r="K46" s="578"/>
      <c r="L46" s="578"/>
      <c r="M46" s="578"/>
      <c r="N46" s="986">
        <v>15000</v>
      </c>
      <c r="P46" s="8"/>
    </row>
    <row r="47" spans="1:16" s="9" customFormat="1" ht="18" customHeight="1" x14ac:dyDescent="0.3">
      <c r="A47" s="229">
        <v>40</v>
      </c>
      <c r="B47" s="81"/>
      <c r="C47" s="219"/>
      <c r="D47" s="187" t="s">
        <v>47</v>
      </c>
      <c r="E47" s="82">
        <v>0</v>
      </c>
      <c r="F47" s="82">
        <v>1000</v>
      </c>
      <c r="G47" s="1383">
        <v>1000</v>
      </c>
      <c r="H47" s="232"/>
      <c r="I47" s="580"/>
      <c r="J47" s="581"/>
      <c r="K47" s="581"/>
      <c r="L47" s="581"/>
      <c r="M47" s="581"/>
      <c r="N47" s="582"/>
      <c r="P47" s="8"/>
    </row>
    <row r="48" spans="1:16" s="9" customFormat="1" ht="18" customHeight="1" x14ac:dyDescent="0.3">
      <c r="A48" s="229">
        <v>41</v>
      </c>
      <c r="B48" s="81"/>
      <c r="C48" s="78"/>
      <c r="D48" s="597" t="s">
        <v>268</v>
      </c>
      <c r="E48" s="82"/>
      <c r="F48" s="82"/>
      <c r="G48" s="1383"/>
      <c r="H48" s="232"/>
      <c r="I48" s="455">
        <f>SUM(J48:N48)</f>
        <v>1000</v>
      </c>
      <c r="J48" s="578"/>
      <c r="K48" s="578"/>
      <c r="L48" s="578"/>
      <c r="M48" s="578"/>
      <c r="N48" s="579">
        <v>1000</v>
      </c>
      <c r="P48" s="8"/>
    </row>
    <row r="49" spans="1:16" s="9" customFormat="1" ht="18" customHeight="1" x14ac:dyDescent="0.3">
      <c r="A49" s="229">
        <v>42</v>
      </c>
      <c r="B49" s="81"/>
      <c r="C49" s="78"/>
      <c r="D49" s="981" t="s">
        <v>796</v>
      </c>
      <c r="E49" s="82"/>
      <c r="F49" s="82"/>
      <c r="G49" s="1383"/>
      <c r="H49" s="232"/>
      <c r="I49" s="980">
        <f>SUM(J49:N49)</f>
        <v>1000</v>
      </c>
      <c r="J49" s="578"/>
      <c r="K49" s="578"/>
      <c r="L49" s="578"/>
      <c r="M49" s="578"/>
      <c r="N49" s="986">
        <v>1000</v>
      </c>
      <c r="P49" s="8"/>
    </row>
    <row r="50" spans="1:16" s="9" customFormat="1" ht="18" customHeight="1" x14ac:dyDescent="0.3">
      <c r="A50" s="229">
        <v>43</v>
      </c>
      <c r="B50" s="81"/>
      <c r="C50" s="78"/>
      <c r="D50" s="981" t="s">
        <v>860</v>
      </c>
      <c r="E50" s="82"/>
      <c r="F50" s="82"/>
      <c r="G50" s="1383"/>
      <c r="H50" s="232"/>
      <c r="I50" s="980">
        <f>SUM(J50:N50)</f>
        <v>1000</v>
      </c>
      <c r="J50" s="578"/>
      <c r="K50" s="578"/>
      <c r="L50" s="578"/>
      <c r="M50" s="578"/>
      <c r="N50" s="986">
        <v>1000</v>
      </c>
      <c r="P50" s="8"/>
    </row>
    <row r="51" spans="1:16" s="9" customFormat="1" ht="18" customHeight="1" x14ac:dyDescent="0.3">
      <c r="A51" s="229">
        <v>44</v>
      </c>
      <c r="B51" s="81"/>
      <c r="C51" s="219"/>
      <c r="D51" s="187" t="s">
        <v>48</v>
      </c>
      <c r="E51" s="82">
        <v>0</v>
      </c>
      <c r="F51" s="82">
        <v>7500</v>
      </c>
      <c r="G51" s="1383">
        <v>7500</v>
      </c>
      <c r="H51" s="232"/>
      <c r="I51" s="580"/>
      <c r="J51" s="581"/>
      <c r="K51" s="581"/>
      <c r="L51" s="581"/>
      <c r="M51" s="581"/>
      <c r="N51" s="582"/>
      <c r="P51" s="8"/>
    </row>
    <row r="52" spans="1:16" s="9" customFormat="1" ht="18" customHeight="1" x14ac:dyDescent="0.3">
      <c r="A52" s="229">
        <v>45</v>
      </c>
      <c r="B52" s="81"/>
      <c r="C52" s="78"/>
      <c r="D52" s="597" t="s">
        <v>268</v>
      </c>
      <c r="E52" s="82"/>
      <c r="F52" s="82"/>
      <c r="G52" s="1383"/>
      <c r="H52" s="232"/>
      <c r="I52" s="455">
        <f>SUM(J52:N52)</f>
        <v>7500</v>
      </c>
      <c r="J52" s="578"/>
      <c r="K52" s="578"/>
      <c r="L52" s="578"/>
      <c r="M52" s="578"/>
      <c r="N52" s="579">
        <v>7500</v>
      </c>
      <c r="P52" s="8"/>
    </row>
    <row r="53" spans="1:16" s="9" customFormat="1" ht="18" customHeight="1" x14ac:dyDescent="0.3">
      <c r="A53" s="229">
        <v>46</v>
      </c>
      <c r="B53" s="81"/>
      <c r="C53" s="78"/>
      <c r="D53" s="981" t="s">
        <v>796</v>
      </c>
      <c r="E53" s="82"/>
      <c r="F53" s="82"/>
      <c r="G53" s="1383"/>
      <c r="H53" s="232"/>
      <c r="I53" s="980">
        <f>SUM(J53:N53)</f>
        <v>7500</v>
      </c>
      <c r="J53" s="578"/>
      <c r="K53" s="578"/>
      <c r="L53" s="578"/>
      <c r="M53" s="578"/>
      <c r="N53" s="986">
        <v>7500</v>
      </c>
      <c r="P53" s="8"/>
    </row>
    <row r="54" spans="1:16" s="9" customFormat="1" ht="18" customHeight="1" x14ac:dyDescent="0.3">
      <c r="A54" s="229">
        <v>47</v>
      </c>
      <c r="B54" s="81"/>
      <c r="C54" s="78"/>
      <c r="D54" s="981" t="s">
        <v>860</v>
      </c>
      <c r="E54" s="82"/>
      <c r="F54" s="82"/>
      <c r="G54" s="1383"/>
      <c r="H54" s="232"/>
      <c r="I54" s="980">
        <f>SUM(J54:N54)</f>
        <v>7500</v>
      </c>
      <c r="J54" s="578"/>
      <c r="K54" s="578"/>
      <c r="L54" s="578"/>
      <c r="M54" s="578"/>
      <c r="N54" s="986">
        <v>7500</v>
      </c>
      <c r="P54" s="8"/>
    </row>
    <row r="55" spans="1:16" s="9" customFormat="1" ht="18" customHeight="1" x14ac:dyDescent="0.3">
      <c r="A55" s="229">
        <v>48</v>
      </c>
      <c r="B55" s="81"/>
      <c r="C55" s="78"/>
      <c r="D55" s="187" t="s">
        <v>49</v>
      </c>
      <c r="E55" s="82">
        <v>0</v>
      </c>
      <c r="F55" s="82">
        <v>5000</v>
      </c>
      <c r="G55" s="1383">
        <v>5000</v>
      </c>
      <c r="H55" s="232"/>
      <c r="I55" s="580"/>
      <c r="J55" s="581"/>
      <c r="K55" s="581"/>
      <c r="L55" s="581"/>
      <c r="M55" s="581"/>
      <c r="N55" s="582"/>
    </row>
    <row r="56" spans="1:16" s="9" customFormat="1" ht="18" customHeight="1" x14ac:dyDescent="0.3">
      <c r="A56" s="229">
        <v>49</v>
      </c>
      <c r="B56" s="81"/>
      <c r="C56" s="78"/>
      <c r="D56" s="597" t="s">
        <v>268</v>
      </c>
      <c r="E56" s="82"/>
      <c r="F56" s="82"/>
      <c r="G56" s="1383"/>
      <c r="H56" s="232"/>
      <c r="I56" s="455">
        <f>SUM(J56:N56)</f>
        <v>5000</v>
      </c>
      <c r="J56" s="581"/>
      <c r="K56" s="581"/>
      <c r="L56" s="581"/>
      <c r="M56" s="581"/>
      <c r="N56" s="582">
        <v>5000</v>
      </c>
    </row>
    <row r="57" spans="1:16" s="9" customFormat="1" ht="18" customHeight="1" x14ac:dyDescent="0.3">
      <c r="A57" s="229">
        <v>50</v>
      </c>
      <c r="B57" s="81"/>
      <c r="C57" s="78"/>
      <c r="D57" s="981" t="s">
        <v>796</v>
      </c>
      <c r="E57" s="82"/>
      <c r="F57" s="82"/>
      <c r="G57" s="1383"/>
      <c r="H57" s="232"/>
      <c r="I57" s="980">
        <f>SUM(J57:N57)</f>
        <v>5000</v>
      </c>
      <c r="J57" s="581"/>
      <c r="K57" s="581"/>
      <c r="L57" s="581"/>
      <c r="M57" s="581"/>
      <c r="N57" s="998">
        <v>5000</v>
      </c>
    </row>
    <row r="58" spans="1:16" s="9" customFormat="1" ht="18" customHeight="1" x14ac:dyDescent="0.3">
      <c r="A58" s="229">
        <v>51</v>
      </c>
      <c r="B58" s="81"/>
      <c r="C58" s="78"/>
      <c r="D58" s="981" t="s">
        <v>860</v>
      </c>
      <c r="E58" s="82"/>
      <c r="F58" s="82"/>
      <c r="G58" s="1383"/>
      <c r="H58" s="232"/>
      <c r="I58" s="980">
        <f>SUM(J58:N58)</f>
        <v>5000</v>
      </c>
      <c r="J58" s="581"/>
      <c r="K58" s="581"/>
      <c r="L58" s="581"/>
      <c r="M58" s="581"/>
      <c r="N58" s="998">
        <v>5000</v>
      </c>
    </row>
    <row r="59" spans="1:16" s="9" customFormat="1" ht="18" customHeight="1" x14ac:dyDescent="0.3">
      <c r="A59" s="229">
        <v>52</v>
      </c>
      <c r="B59" s="81"/>
      <c r="C59" s="78"/>
      <c r="D59" s="187" t="s">
        <v>615</v>
      </c>
      <c r="E59" s="82"/>
      <c r="F59" s="82"/>
      <c r="G59" s="1383"/>
      <c r="H59" s="232"/>
      <c r="I59" s="455"/>
      <c r="J59" s="578"/>
      <c r="K59" s="578"/>
      <c r="L59" s="578"/>
      <c r="M59" s="578"/>
      <c r="N59" s="579"/>
    </row>
    <row r="60" spans="1:16" s="9" customFormat="1" ht="18" customHeight="1" x14ac:dyDescent="0.3">
      <c r="A60" s="229">
        <v>53</v>
      </c>
      <c r="B60" s="81"/>
      <c r="C60" s="78"/>
      <c r="D60" s="597" t="s">
        <v>268</v>
      </c>
      <c r="E60" s="82"/>
      <c r="F60" s="82"/>
      <c r="G60" s="1383"/>
      <c r="H60" s="232"/>
      <c r="I60" s="455">
        <f>SUM(J60:N60)</f>
        <v>20000</v>
      </c>
      <c r="J60" s="578"/>
      <c r="K60" s="578"/>
      <c r="L60" s="578"/>
      <c r="M60" s="578"/>
      <c r="N60" s="579">
        <v>20000</v>
      </c>
    </row>
    <row r="61" spans="1:16" s="9" customFormat="1" ht="18" customHeight="1" x14ac:dyDescent="0.3">
      <c r="A61" s="229">
        <v>54</v>
      </c>
      <c r="B61" s="81"/>
      <c r="C61" s="78"/>
      <c r="D61" s="981" t="s">
        <v>796</v>
      </c>
      <c r="E61" s="82"/>
      <c r="F61" s="82"/>
      <c r="G61" s="1383"/>
      <c r="H61" s="232"/>
      <c r="I61" s="980">
        <f>SUM(J61:N61)</f>
        <v>20000</v>
      </c>
      <c r="J61" s="578"/>
      <c r="K61" s="578"/>
      <c r="L61" s="578"/>
      <c r="M61" s="578"/>
      <c r="N61" s="986">
        <v>20000</v>
      </c>
    </row>
    <row r="62" spans="1:16" s="9" customFormat="1" ht="18" customHeight="1" x14ac:dyDescent="0.3">
      <c r="A62" s="229">
        <v>55</v>
      </c>
      <c r="B62" s="81"/>
      <c r="C62" s="78"/>
      <c r="D62" s="981" t="s">
        <v>860</v>
      </c>
      <c r="E62" s="82"/>
      <c r="F62" s="82"/>
      <c r="G62" s="1383"/>
      <c r="H62" s="232"/>
      <c r="I62" s="980">
        <f>SUM(J62:N62)</f>
        <v>20000</v>
      </c>
      <c r="J62" s="578"/>
      <c r="K62" s="578"/>
      <c r="L62" s="578"/>
      <c r="M62" s="578"/>
      <c r="N62" s="986">
        <v>20000</v>
      </c>
    </row>
    <row r="63" spans="1:16" s="9" customFormat="1" ht="18" customHeight="1" x14ac:dyDescent="0.3">
      <c r="A63" s="229">
        <v>56</v>
      </c>
      <c r="B63" s="81"/>
      <c r="C63" s="78"/>
      <c r="D63" s="187" t="s">
        <v>616</v>
      </c>
      <c r="E63" s="82"/>
      <c r="F63" s="82"/>
      <c r="G63" s="1383"/>
      <c r="H63" s="232"/>
      <c r="I63" s="455"/>
      <c r="J63" s="578"/>
      <c r="K63" s="578"/>
      <c r="L63" s="578"/>
      <c r="M63" s="578"/>
      <c r="N63" s="579"/>
    </row>
    <row r="64" spans="1:16" s="9" customFormat="1" ht="18" customHeight="1" x14ac:dyDescent="0.3">
      <c r="A64" s="229">
        <v>57</v>
      </c>
      <c r="B64" s="81"/>
      <c r="C64" s="78"/>
      <c r="D64" s="597" t="s">
        <v>268</v>
      </c>
      <c r="E64" s="82"/>
      <c r="F64" s="82"/>
      <c r="G64" s="1383"/>
      <c r="H64" s="232"/>
      <c r="I64" s="455">
        <f>SUM(J64:N64)</f>
        <v>10000</v>
      </c>
      <c r="J64" s="578"/>
      <c r="K64" s="578"/>
      <c r="L64" s="578">
        <v>10000</v>
      </c>
      <c r="M64" s="578"/>
      <c r="N64" s="579"/>
    </row>
    <row r="65" spans="1:16" s="9" customFormat="1" ht="18" customHeight="1" x14ac:dyDescent="0.3">
      <c r="A65" s="229">
        <v>58</v>
      </c>
      <c r="B65" s="81"/>
      <c r="C65" s="78"/>
      <c r="D65" s="981" t="s">
        <v>796</v>
      </c>
      <c r="E65" s="82"/>
      <c r="F65" s="82"/>
      <c r="G65" s="1383"/>
      <c r="H65" s="232"/>
      <c r="I65" s="980">
        <f>SUM(J65:N65)</f>
        <v>10000</v>
      </c>
      <c r="J65" s="578"/>
      <c r="K65" s="578"/>
      <c r="L65" s="985">
        <v>0</v>
      </c>
      <c r="M65" s="578"/>
      <c r="N65" s="986">
        <v>10000</v>
      </c>
    </row>
    <row r="66" spans="1:16" s="9" customFormat="1" ht="18" customHeight="1" x14ac:dyDescent="0.3">
      <c r="A66" s="229">
        <v>59</v>
      </c>
      <c r="B66" s="81"/>
      <c r="C66" s="78"/>
      <c r="D66" s="981" t="s">
        <v>861</v>
      </c>
      <c r="E66" s="82"/>
      <c r="F66" s="82"/>
      <c r="G66" s="1383"/>
      <c r="H66" s="232"/>
      <c r="I66" s="980">
        <f>SUM(J66:N66)</f>
        <v>10000</v>
      </c>
      <c r="J66" s="578"/>
      <c r="K66" s="578"/>
      <c r="L66" s="985"/>
      <c r="M66" s="985"/>
      <c r="N66" s="986">
        <v>10000</v>
      </c>
    </row>
    <row r="67" spans="1:16" s="9" customFormat="1" ht="18" customHeight="1" x14ac:dyDescent="0.3">
      <c r="A67" s="229">
        <v>60</v>
      </c>
      <c r="B67" s="81"/>
      <c r="C67" s="78">
        <v>8</v>
      </c>
      <c r="D67" s="225" t="s">
        <v>419</v>
      </c>
      <c r="E67" s="76">
        <v>0</v>
      </c>
      <c r="F67" s="82">
        <v>0</v>
      </c>
      <c r="G67" s="1383">
        <v>0</v>
      </c>
      <c r="H67" s="231" t="s">
        <v>24</v>
      </c>
      <c r="I67" s="455"/>
      <c r="J67" s="578"/>
      <c r="K67" s="578"/>
      <c r="L67" s="578"/>
      <c r="M67" s="578"/>
      <c r="N67" s="579"/>
      <c r="P67" s="8"/>
    </row>
    <row r="68" spans="1:16" s="3" customFormat="1" ht="22.5" customHeight="1" x14ac:dyDescent="0.3">
      <c r="A68" s="229">
        <v>61</v>
      </c>
      <c r="B68" s="73"/>
      <c r="C68" s="74">
        <v>9</v>
      </c>
      <c r="D68" s="225" t="s">
        <v>242</v>
      </c>
      <c r="E68" s="76">
        <v>5175</v>
      </c>
      <c r="F68" s="76">
        <v>1000</v>
      </c>
      <c r="G68" s="1380">
        <v>6482</v>
      </c>
      <c r="H68" s="231" t="s">
        <v>24</v>
      </c>
      <c r="I68" s="452"/>
      <c r="J68" s="570"/>
      <c r="K68" s="570"/>
      <c r="L68" s="570"/>
      <c r="M68" s="570"/>
      <c r="N68" s="571"/>
      <c r="P68" s="8"/>
    </row>
    <row r="69" spans="1:16" s="8" customFormat="1" ht="18" customHeight="1" x14ac:dyDescent="0.3">
      <c r="A69" s="229">
        <v>62</v>
      </c>
      <c r="B69" s="77"/>
      <c r="C69" s="78"/>
      <c r="D69" s="459" t="s">
        <v>268</v>
      </c>
      <c r="F69" s="988"/>
      <c r="H69" s="231"/>
      <c r="I69" s="452">
        <f>SUM(J69:N69)</f>
        <v>7300</v>
      </c>
      <c r="J69" s="570"/>
      <c r="K69" s="570"/>
      <c r="L69" s="570">
        <v>7300</v>
      </c>
      <c r="M69" s="570"/>
      <c r="N69" s="571"/>
    </row>
    <row r="70" spans="1:16" s="8" customFormat="1" ht="18" customHeight="1" x14ac:dyDescent="0.3">
      <c r="A70" s="229">
        <v>63</v>
      </c>
      <c r="B70" s="77"/>
      <c r="C70" s="78"/>
      <c r="D70" s="224" t="s">
        <v>796</v>
      </c>
      <c r="E70" s="989"/>
      <c r="F70" s="425"/>
      <c r="G70" s="1384"/>
      <c r="H70" s="231"/>
      <c r="I70" s="977">
        <f>SUM(J70:N70)</f>
        <v>7300</v>
      </c>
      <c r="J70" s="984"/>
      <c r="K70" s="984"/>
      <c r="L70" s="982">
        <v>7300</v>
      </c>
      <c r="M70" s="570"/>
      <c r="N70" s="571"/>
    </row>
    <row r="71" spans="1:16" s="8" customFormat="1" ht="18" customHeight="1" x14ac:dyDescent="0.3">
      <c r="A71" s="229">
        <v>64</v>
      </c>
      <c r="B71" s="77"/>
      <c r="C71" s="78"/>
      <c r="D71" s="976" t="s">
        <v>860</v>
      </c>
      <c r="F71" s="992"/>
      <c r="H71" s="231"/>
      <c r="I71" s="980">
        <f>SUM(J71:N71)</f>
        <v>0</v>
      </c>
      <c r="J71" s="984"/>
      <c r="K71" s="984"/>
      <c r="L71" s="984"/>
      <c r="M71" s="570"/>
      <c r="N71" s="571"/>
    </row>
    <row r="72" spans="1:16" s="3" customFormat="1" ht="22.5" customHeight="1" x14ac:dyDescent="0.3">
      <c r="A72" s="229">
        <v>65</v>
      </c>
      <c r="B72" s="73"/>
      <c r="C72" s="74">
        <v>10</v>
      </c>
      <c r="D72" s="225" t="s">
        <v>50</v>
      </c>
      <c r="E72" s="76">
        <v>1313</v>
      </c>
      <c r="F72" s="76">
        <v>2000</v>
      </c>
      <c r="G72" s="1380">
        <v>7590</v>
      </c>
      <c r="H72" s="231" t="s">
        <v>24</v>
      </c>
      <c r="I72" s="452"/>
      <c r="J72" s="570"/>
      <c r="K72" s="570"/>
      <c r="L72" s="570"/>
      <c r="M72" s="570"/>
      <c r="N72" s="571"/>
      <c r="P72" s="8"/>
    </row>
    <row r="73" spans="1:16" s="8" customFormat="1" ht="18" customHeight="1" x14ac:dyDescent="0.3">
      <c r="A73" s="229">
        <v>66</v>
      </c>
      <c r="B73" s="77"/>
      <c r="C73" s="78"/>
      <c r="D73" s="459" t="s">
        <v>268</v>
      </c>
      <c r="E73" s="76"/>
      <c r="F73" s="76"/>
      <c r="G73" s="1380"/>
      <c r="H73" s="231"/>
      <c r="I73" s="452">
        <f>SUM(J73:N73)</f>
        <v>9000</v>
      </c>
      <c r="J73" s="570"/>
      <c r="K73" s="570"/>
      <c r="L73" s="570">
        <v>9000</v>
      </c>
      <c r="M73" s="570"/>
      <c r="N73" s="571"/>
    </row>
    <row r="74" spans="1:16" s="8" customFormat="1" ht="18" customHeight="1" x14ac:dyDescent="0.3">
      <c r="A74" s="229">
        <v>67</v>
      </c>
      <c r="B74" s="77"/>
      <c r="C74" s="78"/>
      <c r="D74" s="224" t="s">
        <v>796</v>
      </c>
      <c r="E74" s="76"/>
      <c r="F74" s="76"/>
      <c r="G74" s="1380"/>
      <c r="H74" s="233"/>
      <c r="I74" s="977">
        <f>SUM(J74:N74)</f>
        <v>14725</v>
      </c>
      <c r="J74" s="982">
        <v>116</v>
      </c>
      <c r="K74" s="982">
        <v>8</v>
      </c>
      <c r="L74" s="982">
        <v>14601</v>
      </c>
      <c r="M74" s="570"/>
      <c r="N74" s="571"/>
    </row>
    <row r="75" spans="1:16" s="8" customFormat="1" ht="18" customHeight="1" x14ac:dyDescent="0.3">
      <c r="A75" s="229">
        <v>68</v>
      </c>
      <c r="B75" s="77"/>
      <c r="C75" s="78"/>
      <c r="D75" s="976" t="s">
        <v>861</v>
      </c>
      <c r="E75" s="76"/>
      <c r="F75" s="76"/>
      <c r="G75" s="1380"/>
      <c r="H75" s="233"/>
      <c r="I75" s="980">
        <f>SUM(J75:N75)</f>
        <v>8175</v>
      </c>
      <c r="J75" s="985">
        <v>138</v>
      </c>
      <c r="K75" s="985">
        <v>55</v>
      </c>
      <c r="L75" s="985">
        <v>7982</v>
      </c>
      <c r="M75" s="570"/>
      <c r="N75" s="571"/>
    </row>
    <row r="76" spans="1:16" s="3" customFormat="1" ht="22.5" customHeight="1" x14ac:dyDescent="0.3">
      <c r="A76" s="229">
        <v>69</v>
      </c>
      <c r="B76" s="73"/>
      <c r="C76" s="74">
        <v>11</v>
      </c>
      <c r="D76" s="225" t="s">
        <v>51</v>
      </c>
      <c r="E76" s="76">
        <v>186</v>
      </c>
      <c r="F76" s="76">
        <v>508</v>
      </c>
      <c r="G76" s="1380">
        <v>127</v>
      </c>
      <c r="H76" s="233" t="s">
        <v>24</v>
      </c>
      <c r="I76" s="452"/>
      <c r="J76" s="570"/>
      <c r="K76" s="570"/>
      <c r="L76" s="570"/>
      <c r="M76" s="570"/>
      <c r="N76" s="571"/>
      <c r="P76" s="8"/>
    </row>
    <row r="77" spans="1:16" s="3" customFormat="1" ht="18" customHeight="1" x14ac:dyDescent="0.3">
      <c r="A77" s="229">
        <v>70</v>
      </c>
      <c r="B77" s="73"/>
      <c r="C77" s="74"/>
      <c r="D77" s="459" t="s">
        <v>268</v>
      </c>
      <c r="E77" s="76"/>
      <c r="F77" s="76"/>
      <c r="G77" s="1380"/>
      <c r="H77" s="233"/>
      <c r="I77" s="452">
        <f>SUM(J77:N77)</f>
        <v>1000</v>
      </c>
      <c r="J77" s="570"/>
      <c r="K77" s="570"/>
      <c r="L77" s="570">
        <v>1000</v>
      </c>
      <c r="M77" s="570"/>
      <c r="N77" s="571"/>
      <c r="P77" s="8"/>
    </row>
    <row r="78" spans="1:16" s="3" customFormat="1" ht="18" customHeight="1" x14ac:dyDescent="0.3">
      <c r="A78" s="229">
        <v>71</v>
      </c>
      <c r="B78" s="73"/>
      <c r="C78" s="74"/>
      <c r="D78" s="224" t="s">
        <v>796</v>
      </c>
      <c r="E78" s="76"/>
      <c r="F78" s="76"/>
      <c r="G78" s="1380"/>
      <c r="H78" s="233"/>
      <c r="I78" s="977">
        <f>SUM(J78:N78)</f>
        <v>1381</v>
      </c>
      <c r="J78" s="984"/>
      <c r="K78" s="984"/>
      <c r="L78" s="982">
        <v>1381</v>
      </c>
      <c r="M78" s="570"/>
      <c r="N78" s="571"/>
      <c r="P78" s="8"/>
    </row>
    <row r="79" spans="1:16" s="3" customFormat="1" ht="18" customHeight="1" x14ac:dyDescent="0.3">
      <c r="A79" s="229">
        <v>72</v>
      </c>
      <c r="B79" s="73"/>
      <c r="C79" s="74"/>
      <c r="D79" s="976" t="s">
        <v>861</v>
      </c>
      <c r="E79" s="76"/>
      <c r="F79" s="76"/>
      <c r="G79" s="1380"/>
      <c r="H79" s="233"/>
      <c r="I79" s="980">
        <f>SUM(J79:N79)</f>
        <v>127</v>
      </c>
      <c r="J79" s="984"/>
      <c r="K79" s="984"/>
      <c r="L79" s="985">
        <v>127</v>
      </c>
      <c r="M79" s="570"/>
      <c r="N79" s="571"/>
      <c r="P79" s="8"/>
    </row>
    <row r="80" spans="1:16" s="3" customFormat="1" ht="22.5" customHeight="1" x14ac:dyDescent="0.3">
      <c r="A80" s="229">
        <v>73</v>
      </c>
      <c r="B80" s="73"/>
      <c r="C80" s="74">
        <v>12</v>
      </c>
      <c r="D80" s="225" t="s">
        <v>52</v>
      </c>
      <c r="E80" s="76">
        <v>0</v>
      </c>
      <c r="F80" s="76">
        <v>0</v>
      </c>
      <c r="G80" s="1380">
        <v>0</v>
      </c>
      <c r="H80" s="231" t="s">
        <v>24</v>
      </c>
      <c r="I80" s="452"/>
      <c r="J80" s="570"/>
      <c r="K80" s="570"/>
      <c r="L80" s="570"/>
      <c r="M80" s="570"/>
      <c r="N80" s="571"/>
      <c r="P80" s="8"/>
    </row>
    <row r="81" spans="1:16" s="3" customFormat="1" ht="22.5" customHeight="1" x14ac:dyDescent="0.3">
      <c r="A81" s="229">
        <v>74</v>
      </c>
      <c r="B81" s="73"/>
      <c r="C81" s="74">
        <v>13</v>
      </c>
      <c r="D81" s="225" t="s">
        <v>53</v>
      </c>
      <c r="E81" s="76">
        <f>SUM(E84,E87,E90,E93)+E96</f>
        <v>6475</v>
      </c>
      <c r="F81" s="76">
        <f>SUM(F84,F87,F90,F93)</f>
        <v>0</v>
      </c>
      <c r="G81" s="1380">
        <f>SUM(G84,G87,G90,G93)</f>
        <v>0</v>
      </c>
      <c r="H81" s="231" t="s">
        <v>24</v>
      </c>
      <c r="I81" s="452"/>
      <c r="J81" s="570"/>
      <c r="K81" s="570"/>
      <c r="L81" s="570"/>
      <c r="M81" s="570"/>
      <c r="N81" s="571"/>
      <c r="P81" s="8"/>
    </row>
    <row r="82" spans="1:16" s="3" customFormat="1" ht="17.100000000000001" customHeight="1" x14ac:dyDescent="0.3">
      <c r="A82" s="229">
        <v>75</v>
      </c>
      <c r="B82" s="73"/>
      <c r="C82" s="74"/>
      <c r="D82" s="224" t="s">
        <v>796</v>
      </c>
      <c r="E82" s="76"/>
      <c r="F82" s="76"/>
      <c r="G82" s="1380"/>
      <c r="H82" s="231"/>
      <c r="I82" s="977">
        <f>SUM(J82:N82)</f>
        <v>9500</v>
      </c>
      <c r="J82" s="982">
        <f t="shared" ref="J82:N83" si="2">J98+J85+J88+J91+J94</f>
        <v>0</v>
      </c>
      <c r="K82" s="982">
        <f t="shared" si="2"/>
        <v>0</v>
      </c>
      <c r="L82" s="982">
        <f t="shared" si="2"/>
        <v>6000</v>
      </c>
      <c r="M82" s="982">
        <f t="shared" si="2"/>
        <v>0</v>
      </c>
      <c r="N82" s="983">
        <f t="shared" si="2"/>
        <v>3500</v>
      </c>
      <c r="P82" s="8"/>
    </row>
    <row r="83" spans="1:16" s="3" customFormat="1" ht="17.100000000000001" customHeight="1" x14ac:dyDescent="0.3">
      <c r="A83" s="229">
        <v>76</v>
      </c>
      <c r="B83" s="73"/>
      <c r="C83" s="74"/>
      <c r="D83" s="976" t="s">
        <v>861</v>
      </c>
      <c r="E83" s="76"/>
      <c r="F83" s="76"/>
      <c r="G83" s="1380"/>
      <c r="H83" s="231"/>
      <c r="I83" s="980">
        <f>SUM(J83:N83)</f>
        <v>2000</v>
      </c>
      <c r="J83" s="985">
        <f t="shared" si="2"/>
        <v>0</v>
      </c>
      <c r="K83" s="985">
        <f t="shared" si="2"/>
        <v>0</v>
      </c>
      <c r="L83" s="985">
        <f t="shared" si="2"/>
        <v>0</v>
      </c>
      <c r="M83" s="985">
        <f t="shared" si="2"/>
        <v>0</v>
      </c>
      <c r="N83" s="986">
        <f t="shared" si="2"/>
        <v>2000</v>
      </c>
      <c r="P83" s="8"/>
    </row>
    <row r="84" spans="1:16" s="9" customFormat="1" ht="18" customHeight="1" x14ac:dyDescent="0.3">
      <c r="A84" s="229">
        <v>77</v>
      </c>
      <c r="B84" s="81"/>
      <c r="C84" s="78"/>
      <c r="D84" s="83" t="s">
        <v>251</v>
      </c>
      <c r="E84" s="82">
        <v>0</v>
      </c>
      <c r="F84" s="82">
        <v>0</v>
      </c>
      <c r="G84" s="1383">
        <v>0</v>
      </c>
      <c r="H84" s="232"/>
      <c r="I84" s="455"/>
      <c r="J84" s="578"/>
      <c r="K84" s="578"/>
      <c r="L84" s="578"/>
      <c r="M84" s="578"/>
      <c r="N84" s="579"/>
    </row>
    <row r="85" spans="1:16" s="9" customFormat="1" ht="18" customHeight="1" x14ac:dyDescent="0.3">
      <c r="A85" s="229">
        <v>78</v>
      </c>
      <c r="B85" s="81"/>
      <c r="C85" s="78"/>
      <c r="D85" s="981" t="s">
        <v>796</v>
      </c>
      <c r="E85" s="82"/>
      <c r="F85" s="82"/>
      <c r="G85" s="1383"/>
      <c r="H85" s="232"/>
      <c r="I85" s="980">
        <f>SUM(J85:N85)</f>
        <v>0</v>
      </c>
      <c r="J85" s="578"/>
      <c r="K85" s="578"/>
      <c r="L85" s="578"/>
      <c r="M85" s="578"/>
      <c r="N85" s="986">
        <v>0</v>
      </c>
    </row>
    <row r="86" spans="1:16" s="9" customFormat="1" ht="18" customHeight="1" x14ac:dyDescent="0.3">
      <c r="A86" s="229">
        <v>79</v>
      </c>
      <c r="B86" s="81"/>
      <c r="C86" s="78"/>
      <c r="D86" s="981" t="s">
        <v>861</v>
      </c>
      <c r="E86" s="82"/>
      <c r="F86" s="82"/>
      <c r="G86" s="1383"/>
      <c r="H86" s="232"/>
      <c r="I86" s="980">
        <f>SUM(J86:N86)</f>
        <v>0</v>
      </c>
      <c r="J86" s="578"/>
      <c r="K86" s="578"/>
      <c r="L86" s="578"/>
      <c r="M86" s="578"/>
      <c r="N86" s="986"/>
    </row>
    <row r="87" spans="1:16" s="9" customFormat="1" ht="18" customHeight="1" x14ac:dyDescent="0.3">
      <c r="A87" s="229">
        <v>80</v>
      </c>
      <c r="B87" s="81"/>
      <c r="C87" s="78"/>
      <c r="D87" s="83" t="s">
        <v>252</v>
      </c>
      <c r="E87" s="82">
        <v>1500</v>
      </c>
      <c r="F87" s="82">
        <v>0</v>
      </c>
      <c r="G87" s="1383">
        <v>0</v>
      </c>
      <c r="H87" s="232"/>
      <c r="I87" s="580"/>
      <c r="J87" s="581"/>
      <c r="K87" s="581"/>
      <c r="L87" s="581"/>
      <c r="M87" s="581"/>
      <c r="N87" s="998"/>
    </row>
    <row r="88" spans="1:16" s="9" customFormat="1" ht="18" customHeight="1" x14ac:dyDescent="0.3">
      <c r="A88" s="229">
        <v>81</v>
      </c>
      <c r="B88" s="81"/>
      <c r="C88" s="78"/>
      <c r="D88" s="981" t="s">
        <v>796</v>
      </c>
      <c r="E88" s="82"/>
      <c r="F88" s="82"/>
      <c r="G88" s="1383"/>
      <c r="H88" s="232"/>
      <c r="I88" s="980">
        <f>SUM(J88:N88)</f>
        <v>2000</v>
      </c>
      <c r="J88" s="581"/>
      <c r="K88" s="581"/>
      <c r="L88" s="581"/>
      <c r="M88" s="581"/>
      <c r="N88" s="998">
        <v>2000</v>
      </c>
    </row>
    <row r="89" spans="1:16" s="9" customFormat="1" ht="18" customHeight="1" x14ac:dyDescent="0.3">
      <c r="A89" s="229">
        <v>82</v>
      </c>
      <c r="B89" s="81"/>
      <c r="C89" s="78"/>
      <c r="D89" s="981" t="s">
        <v>861</v>
      </c>
      <c r="E89" s="82"/>
      <c r="F89" s="82"/>
      <c r="G89" s="1383"/>
      <c r="H89" s="232"/>
      <c r="I89" s="980">
        <f>SUM(J89:N89)</f>
        <v>2000</v>
      </c>
      <c r="J89" s="581"/>
      <c r="K89" s="581"/>
      <c r="L89" s="581"/>
      <c r="M89" s="581"/>
      <c r="N89" s="998">
        <v>2000</v>
      </c>
    </row>
    <row r="90" spans="1:16" s="9" customFormat="1" ht="18" customHeight="1" x14ac:dyDescent="0.3">
      <c r="A90" s="229">
        <v>83</v>
      </c>
      <c r="B90" s="81"/>
      <c r="C90" s="78"/>
      <c r="D90" s="83" t="s">
        <v>457</v>
      </c>
      <c r="E90" s="82">
        <v>600</v>
      </c>
      <c r="F90" s="82">
        <v>0</v>
      </c>
      <c r="G90" s="1383">
        <v>0</v>
      </c>
      <c r="H90" s="232"/>
      <c r="I90" s="455"/>
      <c r="J90" s="578"/>
      <c r="K90" s="578"/>
      <c r="L90" s="578"/>
      <c r="M90" s="578"/>
      <c r="N90" s="986"/>
    </row>
    <row r="91" spans="1:16" s="9" customFormat="1" ht="18" customHeight="1" x14ac:dyDescent="0.3">
      <c r="A91" s="229">
        <v>84</v>
      </c>
      <c r="B91" s="81"/>
      <c r="C91" s="78"/>
      <c r="D91" s="981" t="s">
        <v>796</v>
      </c>
      <c r="E91" s="82"/>
      <c r="F91" s="82"/>
      <c r="G91" s="1383"/>
      <c r="H91" s="232"/>
      <c r="I91" s="980">
        <f>SUM(J91:N91)</f>
        <v>500</v>
      </c>
      <c r="J91" s="578"/>
      <c r="K91" s="578"/>
      <c r="L91" s="578"/>
      <c r="M91" s="578"/>
      <c r="N91" s="986">
        <v>500</v>
      </c>
    </row>
    <row r="92" spans="1:16" s="9" customFormat="1" ht="18" customHeight="1" x14ac:dyDescent="0.3">
      <c r="A92" s="229">
        <v>85</v>
      </c>
      <c r="B92" s="81"/>
      <c r="C92" s="78"/>
      <c r="D92" s="981" t="s">
        <v>861</v>
      </c>
      <c r="E92" s="82"/>
      <c r="F92" s="82"/>
      <c r="G92" s="1383"/>
      <c r="H92" s="232"/>
      <c r="I92" s="980">
        <f>SUM(J92:N92)</f>
        <v>0</v>
      </c>
      <c r="J92" s="578"/>
      <c r="K92" s="578"/>
      <c r="L92" s="578"/>
      <c r="M92" s="578"/>
      <c r="N92" s="986"/>
    </row>
    <row r="93" spans="1:16" s="9" customFormat="1" ht="18" customHeight="1" x14ac:dyDescent="0.3">
      <c r="A93" s="229">
        <v>86</v>
      </c>
      <c r="B93" s="81"/>
      <c r="C93" s="78"/>
      <c r="D93" s="83" t="s">
        <v>503</v>
      </c>
      <c r="E93" s="82">
        <v>4375</v>
      </c>
      <c r="F93" s="82">
        <v>0</v>
      </c>
      <c r="G93" s="1383">
        <v>0</v>
      </c>
      <c r="H93" s="232"/>
      <c r="I93" s="455"/>
      <c r="J93" s="578"/>
      <c r="K93" s="578"/>
      <c r="L93" s="578"/>
      <c r="M93" s="578"/>
      <c r="N93" s="986"/>
    </row>
    <row r="94" spans="1:16" s="9" customFormat="1" ht="18" customHeight="1" x14ac:dyDescent="0.3">
      <c r="A94" s="229">
        <v>87</v>
      </c>
      <c r="B94" s="81"/>
      <c r="C94" s="78"/>
      <c r="D94" s="981" t="s">
        <v>796</v>
      </c>
      <c r="E94" s="82"/>
      <c r="F94" s="82"/>
      <c r="G94" s="1383"/>
      <c r="H94" s="232"/>
      <c r="I94" s="980">
        <f>SUM(J94:N94)</f>
        <v>1000</v>
      </c>
      <c r="J94" s="578"/>
      <c r="K94" s="578"/>
      <c r="L94" s="578"/>
      <c r="M94" s="578"/>
      <c r="N94" s="986">
        <v>1000</v>
      </c>
    </row>
    <row r="95" spans="1:16" s="9" customFormat="1" ht="18" customHeight="1" x14ac:dyDescent="0.3">
      <c r="A95" s="229">
        <v>88</v>
      </c>
      <c r="B95" s="81"/>
      <c r="C95" s="78"/>
      <c r="D95" s="981" t="s">
        <v>861</v>
      </c>
      <c r="E95" s="82"/>
      <c r="F95" s="82"/>
      <c r="G95" s="1383"/>
      <c r="H95" s="232"/>
      <c r="I95" s="980">
        <f>SUM(J95:N95)</f>
        <v>0</v>
      </c>
      <c r="J95" s="578"/>
      <c r="K95" s="578"/>
      <c r="L95" s="578"/>
      <c r="M95" s="578"/>
      <c r="N95" s="986"/>
    </row>
    <row r="96" spans="1:16" s="9" customFormat="1" ht="18" customHeight="1" x14ac:dyDescent="0.3">
      <c r="A96" s="229">
        <v>89</v>
      </c>
      <c r="B96" s="81"/>
      <c r="C96" s="78"/>
      <c r="D96" s="83" t="s">
        <v>502</v>
      </c>
      <c r="E96" s="82">
        <v>0</v>
      </c>
      <c r="F96" s="82">
        <v>0</v>
      </c>
      <c r="G96" s="1383">
        <v>0</v>
      </c>
      <c r="H96" s="232"/>
      <c r="I96" s="455"/>
      <c r="J96" s="578"/>
      <c r="K96" s="578"/>
      <c r="L96" s="578"/>
      <c r="M96" s="578"/>
      <c r="N96" s="579"/>
    </row>
    <row r="97" spans="1:14" s="9" customFormat="1" ht="18" customHeight="1" x14ac:dyDescent="0.3">
      <c r="A97" s="229">
        <v>90</v>
      </c>
      <c r="B97" s="81"/>
      <c r="C97" s="78"/>
      <c r="D97" s="83" t="s">
        <v>790</v>
      </c>
      <c r="E97" s="82"/>
      <c r="F97" s="82"/>
      <c r="G97" s="1383"/>
      <c r="H97" s="232"/>
      <c r="I97" s="455"/>
      <c r="J97" s="578"/>
      <c r="K97" s="578"/>
      <c r="L97" s="578"/>
      <c r="M97" s="578"/>
      <c r="N97" s="579"/>
    </row>
    <row r="98" spans="1:14" s="9" customFormat="1" ht="18" customHeight="1" x14ac:dyDescent="0.3">
      <c r="A98" s="229">
        <v>91</v>
      </c>
      <c r="B98" s="81"/>
      <c r="C98" s="78"/>
      <c r="D98" s="981" t="s">
        <v>796</v>
      </c>
      <c r="E98" s="82"/>
      <c r="F98" s="82"/>
      <c r="G98" s="1383"/>
      <c r="H98" s="232"/>
      <c r="I98" s="980">
        <f>SUM(J98:N98)</f>
        <v>6000</v>
      </c>
      <c r="J98" s="578"/>
      <c r="K98" s="578"/>
      <c r="L98" s="985">
        <v>6000</v>
      </c>
      <c r="M98" s="578"/>
      <c r="N98" s="579"/>
    </row>
    <row r="99" spans="1:14" s="9" customFormat="1" ht="18" customHeight="1" x14ac:dyDescent="0.3">
      <c r="A99" s="229">
        <v>92</v>
      </c>
      <c r="B99" s="81"/>
      <c r="C99" s="78"/>
      <c r="D99" s="981" t="s">
        <v>861</v>
      </c>
      <c r="E99" s="82"/>
      <c r="F99" s="82"/>
      <c r="G99" s="1383"/>
      <c r="H99" s="232"/>
      <c r="I99" s="980">
        <f>SUM(J99:N99)</f>
        <v>0</v>
      </c>
      <c r="J99" s="578"/>
      <c r="K99" s="578"/>
      <c r="L99" s="985"/>
      <c r="M99" s="578"/>
      <c r="N99" s="579"/>
    </row>
    <row r="100" spans="1:14" s="9" customFormat="1" ht="18" customHeight="1" x14ac:dyDescent="0.3">
      <c r="A100" s="229">
        <v>93</v>
      </c>
      <c r="B100" s="81"/>
      <c r="C100" s="78">
        <v>14</v>
      </c>
      <c r="D100" s="225" t="s">
        <v>431</v>
      </c>
      <c r="E100" s="82">
        <v>1000</v>
      </c>
      <c r="F100" s="82">
        <v>1250</v>
      </c>
      <c r="G100" s="1383">
        <v>1250</v>
      </c>
      <c r="H100" s="231" t="s">
        <v>24</v>
      </c>
      <c r="I100" s="455"/>
      <c r="J100" s="578"/>
      <c r="K100" s="578"/>
      <c r="L100" s="578"/>
      <c r="M100" s="578"/>
      <c r="N100" s="579"/>
    </row>
    <row r="101" spans="1:14" s="474" customFormat="1" ht="18" customHeight="1" x14ac:dyDescent="0.3">
      <c r="A101" s="229">
        <v>94</v>
      </c>
      <c r="B101" s="468"/>
      <c r="C101" s="458"/>
      <c r="D101" s="459" t="s">
        <v>268</v>
      </c>
      <c r="E101" s="470"/>
      <c r="F101" s="470"/>
      <c r="G101" s="1385"/>
      <c r="H101" s="461"/>
      <c r="I101" s="452">
        <f>SUM(J101:N101)</f>
        <v>1250</v>
      </c>
      <c r="J101" s="472"/>
      <c r="K101" s="472"/>
      <c r="L101" s="472"/>
      <c r="M101" s="472"/>
      <c r="N101" s="454">
        <v>1250</v>
      </c>
    </row>
    <row r="102" spans="1:14" s="474" customFormat="1" ht="18" customHeight="1" x14ac:dyDescent="0.3">
      <c r="A102" s="229">
        <v>95</v>
      </c>
      <c r="B102" s="468"/>
      <c r="C102" s="458"/>
      <c r="D102" s="224" t="s">
        <v>796</v>
      </c>
      <c r="E102" s="470"/>
      <c r="F102" s="470"/>
      <c r="G102" s="1385"/>
      <c r="H102" s="461"/>
      <c r="I102" s="977">
        <f>SUM(J102:N102)</f>
        <v>1250</v>
      </c>
      <c r="J102" s="984"/>
      <c r="K102" s="984"/>
      <c r="L102" s="982"/>
      <c r="M102" s="570"/>
      <c r="N102" s="983">
        <v>1250</v>
      </c>
    </row>
    <row r="103" spans="1:14" s="474" customFormat="1" ht="18" customHeight="1" x14ac:dyDescent="0.3">
      <c r="A103" s="229">
        <v>96</v>
      </c>
      <c r="B103" s="468"/>
      <c r="C103" s="458"/>
      <c r="D103" s="976" t="s">
        <v>860</v>
      </c>
      <c r="E103" s="470"/>
      <c r="F103" s="470"/>
      <c r="G103" s="1385"/>
      <c r="H103" s="461"/>
      <c r="I103" s="980">
        <f>SUM(J103:N103)</f>
        <v>0</v>
      </c>
      <c r="J103" s="984"/>
      <c r="K103" s="984"/>
      <c r="L103" s="984"/>
      <c r="M103" s="570"/>
      <c r="N103" s="571"/>
    </row>
    <row r="104" spans="1:14" s="9" customFormat="1" ht="18" customHeight="1" x14ac:dyDescent="0.3">
      <c r="A104" s="229">
        <v>97</v>
      </c>
      <c r="B104" s="81"/>
      <c r="C104" s="78">
        <v>15</v>
      </c>
      <c r="D104" s="225" t="s">
        <v>432</v>
      </c>
      <c r="E104" s="82">
        <v>1000</v>
      </c>
      <c r="F104" s="82">
        <v>1250</v>
      </c>
      <c r="G104" s="1383">
        <v>1250</v>
      </c>
      <c r="H104" s="231" t="s">
        <v>24</v>
      </c>
      <c r="I104" s="455"/>
      <c r="J104" s="578"/>
      <c r="K104" s="578"/>
      <c r="L104" s="578"/>
      <c r="M104" s="578"/>
      <c r="N104" s="579"/>
    </row>
    <row r="105" spans="1:14" s="474" customFormat="1" ht="18" customHeight="1" x14ac:dyDescent="0.3">
      <c r="A105" s="229">
        <v>98</v>
      </c>
      <c r="B105" s="468"/>
      <c r="C105" s="458"/>
      <c r="D105" s="459" t="s">
        <v>268</v>
      </c>
      <c r="E105" s="470"/>
      <c r="F105" s="470"/>
      <c r="G105" s="1385"/>
      <c r="H105" s="461"/>
      <c r="I105" s="452">
        <f>SUM(J105:N105)</f>
        <v>1250</v>
      </c>
      <c r="J105" s="472"/>
      <c r="K105" s="472"/>
      <c r="L105" s="472"/>
      <c r="M105" s="472"/>
      <c r="N105" s="454">
        <v>1250</v>
      </c>
    </row>
    <row r="106" spans="1:14" s="474" customFormat="1" ht="18" customHeight="1" x14ac:dyDescent="0.3">
      <c r="A106" s="229">
        <v>99</v>
      </c>
      <c r="B106" s="468"/>
      <c r="C106" s="458"/>
      <c r="D106" s="224" t="s">
        <v>796</v>
      </c>
      <c r="E106" s="470"/>
      <c r="F106" s="470"/>
      <c r="G106" s="1385"/>
      <c r="H106" s="461"/>
      <c r="I106" s="977">
        <f>SUM(J106:N106)</f>
        <v>1250</v>
      </c>
      <c r="J106" s="984"/>
      <c r="K106" s="984"/>
      <c r="L106" s="982"/>
      <c r="M106" s="570"/>
      <c r="N106" s="983">
        <v>1250</v>
      </c>
    </row>
    <row r="107" spans="1:14" s="474" customFormat="1" ht="18" customHeight="1" x14ac:dyDescent="0.3">
      <c r="A107" s="229">
        <v>100</v>
      </c>
      <c r="B107" s="468"/>
      <c r="C107" s="458"/>
      <c r="D107" s="976" t="s">
        <v>860</v>
      </c>
      <c r="E107" s="470"/>
      <c r="F107" s="470"/>
      <c r="G107" s="1385"/>
      <c r="H107" s="461"/>
      <c r="I107" s="980">
        <f>SUM(J107:N107)</f>
        <v>1250</v>
      </c>
      <c r="J107" s="984"/>
      <c r="K107" s="984"/>
      <c r="L107" s="984"/>
      <c r="M107" s="570"/>
      <c r="N107" s="986">
        <v>1250</v>
      </c>
    </row>
    <row r="108" spans="1:14" s="9" customFormat="1" ht="18" customHeight="1" x14ac:dyDescent="0.3">
      <c r="A108" s="229">
        <v>101</v>
      </c>
      <c r="B108" s="81"/>
      <c r="C108" s="78">
        <v>16</v>
      </c>
      <c r="D108" s="225" t="s">
        <v>433</v>
      </c>
      <c r="E108" s="82">
        <v>450</v>
      </c>
      <c r="F108" s="82">
        <v>800</v>
      </c>
      <c r="G108" s="1383">
        <v>800</v>
      </c>
      <c r="H108" s="231" t="s">
        <v>24</v>
      </c>
      <c r="I108" s="455"/>
      <c r="J108" s="578"/>
      <c r="K108" s="578"/>
      <c r="L108" s="578"/>
      <c r="M108" s="578"/>
      <c r="N108" s="579"/>
    </row>
    <row r="109" spans="1:14" s="474" customFormat="1" ht="18" customHeight="1" x14ac:dyDescent="0.3">
      <c r="A109" s="229">
        <v>102</v>
      </c>
      <c r="B109" s="468"/>
      <c r="C109" s="458"/>
      <c r="D109" s="459" t="s">
        <v>268</v>
      </c>
      <c r="E109" s="470"/>
      <c r="F109" s="470"/>
      <c r="G109" s="1385"/>
      <c r="H109" s="471"/>
      <c r="I109" s="452">
        <f>SUM(J109:N109)</f>
        <v>800</v>
      </c>
      <c r="J109" s="472"/>
      <c r="K109" s="472"/>
      <c r="L109" s="472"/>
      <c r="M109" s="472"/>
      <c r="N109" s="454">
        <v>800</v>
      </c>
    </row>
    <row r="110" spans="1:14" s="474" customFormat="1" ht="18" customHeight="1" x14ac:dyDescent="0.3">
      <c r="A110" s="229">
        <v>103</v>
      </c>
      <c r="B110" s="468"/>
      <c r="C110" s="458"/>
      <c r="D110" s="224" t="s">
        <v>796</v>
      </c>
      <c r="E110" s="470"/>
      <c r="F110" s="470"/>
      <c r="G110" s="1385"/>
      <c r="H110" s="471"/>
      <c r="I110" s="977">
        <f>SUM(J110:N110)</f>
        <v>800</v>
      </c>
      <c r="J110" s="982"/>
      <c r="K110" s="982"/>
      <c r="L110" s="982"/>
      <c r="M110" s="982"/>
      <c r="N110" s="983">
        <v>800</v>
      </c>
    </row>
    <row r="111" spans="1:14" s="474" customFormat="1" ht="18" customHeight="1" x14ac:dyDescent="0.3">
      <c r="A111" s="229">
        <v>104</v>
      </c>
      <c r="B111" s="468"/>
      <c r="C111" s="458"/>
      <c r="D111" s="976" t="s">
        <v>860</v>
      </c>
      <c r="E111" s="470"/>
      <c r="F111" s="470"/>
      <c r="G111" s="1385"/>
      <c r="H111" s="471"/>
      <c r="I111" s="980">
        <f>SUM(J111:N111)</f>
        <v>800</v>
      </c>
      <c r="J111" s="982"/>
      <c r="K111" s="982"/>
      <c r="L111" s="982"/>
      <c r="M111" s="982"/>
      <c r="N111" s="986">
        <v>800</v>
      </c>
    </row>
    <row r="112" spans="1:14" s="9" customFormat="1" ht="18" customHeight="1" x14ac:dyDescent="0.3">
      <c r="A112" s="229">
        <v>105</v>
      </c>
      <c r="B112" s="81"/>
      <c r="C112" s="74">
        <v>17</v>
      </c>
      <c r="D112" s="225" t="s">
        <v>358</v>
      </c>
      <c r="E112" s="82">
        <v>500</v>
      </c>
      <c r="F112" s="82">
        <v>500</v>
      </c>
      <c r="G112" s="1383">
        <v>500</v>
      </c>
      <c r="H112" s="231" t="s">
        <v>24</v>
      </c>
      <c r="I112" s="455"/>
      <c r="J112" s="578"/>
      <c r="K112" s="578"/>
      <c r="L112" s="578"/>
      <c r="M112" s="578"/>
      <c r="N112" s="579"/>
    </row>
    <row r="113" spans="1:16" s="474" customFormat="1" ht="18" customHeight="1" x14ac:dyDescent="0.3">
      <c r="A113" s="229">
        <v>106</v>
      </c>
      <c r="B113" s="468"/>
      <c r="C113" s="458"/>
      <c r="D113" s="459" t="s">
        <v>268</v>
      </c>
      <c r="F113" s="993"/>
      <c r="H113" s="471"/>
      <c r="I113" s="452">
        <f>SUM(J113:N113)</f>
        <v>500</v>
      </c>
      <c r="J113" s="472"/>
      <c r="K113" s="472"/>
      <c r="L113" s="472"/>
      <c r="M113" s="472"/>
      <c r="N113" s="454">
        <v>500</v>
      </c>
    </row>
    <row r="114" spans="1:16" s="474" customFormat="1" ht="18" customHeight="1" x14ac:dyDescent="0.3">
      <c r="A114" s="229">
        <v>107</v>
      </c>
      <c r="B114" s="468"/>
      <c r="C114" s="458"/>
      <c r="D114" s="224" t="s">
        <v>796</v>
      </c>
      <c r="E114" s="994"/>
      <c r="F114" s="475"/>
      <c r="G114" s="1386"/>
      <c r="H114" s="471"/>
      <c r="I114" s="977">
        <f>SUM(J114:N114)</f>
        <v>500</v>
      </c>
      <c r="J114" s="982"/>
      <c r="K114" s="982"/>
      <c r="L114" s="982"/>
      <c r="M114" s="982"/>
      <c r="N114" s="983">
        <v>500</v>
      </c>
    </row>
    <row r="115" spans="1:16" s="474" customFormat="1" ht="18" customHeight="1" x14ac:dyDescent="0.3">
      <c r="A115" s="229">
        <v>108</v>
      </c>
      <c r="B115" s="468"/>
      <c r="C115" s="458"/>
      <c r="D115" s="976" t="s">
        <v>861</v>
      </c>
      <c r="E115" s="994"/>
      <c r="F115" s="475"/>
      <c r="G115" s="1386"/>
      <c r="H115" s="471"/>
      <c r="I115" s="980">
        <f>SUM(J115:N115)</f>
        <v>500</v>
      </c>
      <c r="J115" s="982"/>
      <c r="K115" s="982"/>
      <c r="L115" s="982"/>
      <c r="M115" s="982"/>
      <c r="N115" s="986">
        <v>500</v>
      </c>
    </row>
    <row r="116" spans="1:16" s="3" customFormat="1" ht="22.5" customHeight="1" x14ac:dyDescent="0.3">
      <c r="A116" s="229">
        <v>109</v>
      </c>
      <c r="B116" s="73"/>
      <c r="C116" s="74">
        <v>18</v>
      </c>
      <c r="D116" s="225" t="s">
        <v>54</v>
      </c>
      <c r="E116" s="76">
        <v>1250</v>
      </c>
      <c r="F116" s="76">
        <v>0</v>
      </c>
      <c r="G116" s="1380">
        <v>0</v>
      </c>
      <c r="H116" s="231" t="s">
        <v>24</v>
      </c>
      <c r="I116" s="575"/>
      <c r="J116" s="576"/>
      <c r="K116" s="576"/>
      <c r="L116" s="576"/>
      <c r="M116" s="576"/>
      <c r="N116" s="577"/>
      <c r="O116" s="8"/>
      <c r="P116" s="8"/>
    </row>
    <row r="117" spans="1:16" s="3" customFormat="1" ht="22.5" customHeight="1" x14ac:dyDescent="0.3">
      <c r="A117" s="229">
        <v>110</v>
      </c>
      <c r="B117" s="73"/>
      <c r="C117" s="74">
        <v>19</v>
      </c>
      <c r="D117" s="225" t="s">
        <v>223</v>
      </c>
      <c r="E117" s="76">
        <f>SUM(E121,E125,E129,E133,E137)</f>
        <v>75274</v>
      </c>
      <c r="F117" s="76">
        <f>SUM(F121,F125,F129,F133,F137)</f>
        <v>25000</v>
      </c>
      <c r="G117" s="1380">
        <f>SUM(G121,G125,G129,G133,G137)</f>
        <v>25000</v>
      </c>
      <c r="H117" s="231" t="s">
        <v>24</v>
      </c>
      <c r="I117" s="575"/>
      <c r="J117" s="576"/>
      <c r="K117" s="576"/>
      <c r="L117" s="576"/>
      <c r="M117" s="576"/>
      <c r="N117" s="577"/>
      <c r="O117" s="8"/>
      <c r="P117" s="8"/>
    </row>
    <row r="118" spans="1:16" s="462" customFormat="1" ht="18" customHeight="1" x14ac:dyDescent="0.3">
      <c r="A118" s="229">
        <v>111</v>
      </c>
      <c r="B118" s="457"/>
      <c r="C118" s="458"/>
      <c r="D118" s="459" t="s">
        <v>268</v>
      </c>
      <c r="E118" s="460"/>
      <c r="F118" s="460"/>
      <c r="G118" s="1382"/>
      <c r="H118" s="461"/>
      <c r="I118" s="452">
        <f>SUM(J118:N118)</f>
        <v>63500</v>
      </c>
      <c r="J118" s="456">
        <f t="shared" ref="J118:N120" si="3">SUM(J122,J126,J130,J134,J138)</f>
        <v>0</v>
      </c>
      <c r="K118" s="456">
        <f t="shared" si="3"/>
        <v>0</v>
      </c>
      <c r="L118" s="456">
        <f t="shared" si="3"/>
        <v>0</v>
      </c>
      <c r="M118" s="456">
        <f t="shared" si="3"/>
        <v>0</v>
      </c>
      <c r="N118" s="598">
        <f t="shared" si="3"/>
        <v>63500</v>
      </c>
    </row>
    <row r="119" spans="1:16" s="462" customFormat="1" ht="18" customHeight="1" x14ac:dyDescent="0.3">
      <c r="A119" s="229">
        <v>112</v>
      </c>
      <c r="B119" s="457"/>
      <c r="C119" s="458"/>
      <c r="D119" s="224" t="s">
        <v>796</v>
      </c>
      <c r="E119" s="460"/>
      <c r="F119" s="460"/>
      <c r="G119" s="1382"/>
      <c r="H119" s="461"/>
      <c r="I119" s="977">
        <f>SUM(J119:N119)</f>
        <v>43500</v>
      </c>
      <c r="J119" s="991">
        <f t="shared" si="3"/>
        <v>0</v>
      </c>
      <c r="K119" s="991">
        <f t="shared" si="3"/>
        <v>0</v>
      </c>
      <c r="L119" s="991">
        <f t="shared" si="3"/>
        <v>0</v>
      </c>
      <c r="M119" s="991">
        <f t="shared" si="3"/>
        <v>0</v>
      </c>
      <c r="N119" s="996">
        <f t="shared" si="3"/>
        <v>43500</v>
      </c>
    </row>
    <row r="120" spans="1:16" s="462" customFormat="1" ht="18" customHeight="1" x14ac:dyDescent="0.3">
      <c r="A120" s="229">
        <v>113</v>
      </c>
      <c r="B120" s="457"/>
      <c r="C120" s="458"/>
      <c r="D120" s="976" t="s">
        <v>860</v>
      </c>
      <c r="E120" s="460"/>
      <c r="F120" s="460"/>
      <c r="G120" s="1382"/>
      <c r="H120" s="461"/>
      <c r="I120" s="980">
        <f>SUM(J120:N120)</f>
        <v>23628</v>
      </c>
      <c r="J120" s="997">
        <f t="shared" si="3"/>
        <v>0</v>
      </c>
      <c r="K120" s="997">
        <f t="shared" si="3"/>
        <v>0</v>
      </c>
      <c r="L120" s="997">
        <f t="shared" si="3"/>
        <v>0</v>
      </c>
      <c r="M120" s="997">
        <f t="shared" si="3"/>
        <v>0</v>
      </c>
      <c r="N120" s="998">
        <f t="shared" si="3"/>
        <v>23628</v>
      </c>
    </row>
    <row r="121" spans="1:16" s="9" customFormat="1" ht="18" customHeight="1" x14ac:dyDescent="0.3">
      <c r="A121" s="229">
        <v>114</v>
      </c>
      <c r="B121" s="81"/>
      <c r="C121" s="219"/>
      <c r="D121" s="188" t="s">
        <v>55</v>
      </c>
      <c r="E121" s="82">
        <v>74100</v>
      </c>
      <c r="F121" s="82">
        <v>25000</v>
      </c>
      <c r="G121" s="1383">
        <v>25000</v>
      </c>
      <c r="H121" s="232"/>
      <c r="I121" s="455"/>
      <c r="J121" s="578"/>
      <c r="K121" s="578"/>
      <c r="L121" s="578"/>
      <c r="M121" s="578"/>
      <c r="N121" s="579"/>
      <c r="P121" s="8"/>
    </row>
    <row r="122" spans="1:16" s="474" customFormat="1" ht="18" customHeight="1" x14ac:dyDescent="0.3">
      <c r="A122" s="229">
        <v>115</v>
      </c>
      <c r="B122" s="468"/>
      <c r="C122" s="458"/>
      <c r="D122" s="476" t="s">
        <v>268</v>
      </c>
      <c r="E122" s="470"/>
      <c r="F122" s="470"/>
      <c r="G122" s="1385"/>
      <c r="H122" s="471"/>
      <c r="I122" s="455">
        <f>SUM(J122:N122)</f>
        <v>55000</v>
      </c>
      <c r="J122" s="472"/>
      <c r="K122" s="472"/>
      <c r="L122" s="472"/>
      <c r="M122" s="472"/>
      <c r="N122" s="473">
        <v>55000</v>
      </c>
      <c r="P122" s="462"/>
    </row>
    <row r="123" spans="1:16" s="474" customFormat="1" ht="18" customHeight="1" x14ac:dyDescent="0.3">
      <c r="A123" s="229">
        <v>116</v>
      </c>
      <c r="B123" s="468"/>
      <c r="C123" s="458"/>
      <c r="D123" s="981" t="s">
        <v>796</v>
      </c>
      <c r="E123" s="470"/>
      <c r="F123" s="470"/>
      <c r="G123" s="1385"/>
      <c r="H123" s="471"/>
      <c r="I123" s="980">
        <f>SUM(J123:N123)</f>
        <v>35000</v>
      </c>
      <c r="J123" s="472"/>
      <c r="K123" s="472"/>
      <c r="L123" s="472"/>
      <c r="M123" s="472"/>
      <c r="N123" s="986">
        <v>35000</v>
      </c>
      <c r="P123" s="462"/>
    </row>
    <row r="124" spans="1:16" s="474" customFormat="1" ht="18" customHeight="1" x14ac:dyDescent="0.3">
      <c r="A124" s="229">
        <v>117</v>
      </c>
      <c r="B124" s="468"/>
      <c r="C124" s="458"/>
      <c r="D124" s="981" t="s">
        <v>855</v>
      </c>
      <c r="E124" s="470"/>
      <c r="F124" s="470"/>
      <c r="G124" s="1385"/>
      <c r="H124" s="471"/>
      <c r="I124" s="980">
        <f>SUM(J124:N124)</f>
        <v>19400</v>
      </c>
      <c r="J124" s="472"/>
      <c r="K124" s="472"/>
      <c r="L124" s="472"/>
      <c r="M124" s="472"/>
      <c r="N124" s="986">
        <v>19400</v>
      </c>
      <c r="P124" s="462"/>
    </row>
    <row r="125" spans="1:16" s="9" customFormat="1" ht="18" customHeight="1" x14ac:dyDescent="0.3">
      <c r="A125" s="229">
        <v>118</v>
      </c>
      <c r="B125" s="81"/>
      <c r="C125" s="219"/>
      <c r="D125" s="189" t="s">
        <v>56</v>
      </c>
      <c r="E125" s="82">
        <v>466</v>
      </c>
      <c r="F125" s="82"/>
      <c r="G125" s="1383"/>
      <c r="H125" s="232"/>
      <c r="I125" s="580"/>
      <c r="J125" s="581"/>
      <c r="K125" s="581"/>
      <c r="L125" s="581"/>
      <c r="M125" s="581"/>
      <c r="N125" s="582"/>
      <c r="P125" s="8"/>
    </row>
    <row r="126" spans="1:16" s="9" customFormat="1" ht="18" customHeight="1" x14ac:dyDescent="0.3">
      <c r="A126" s="229">
        <v>119</v>
      </c>
      <c r="B126" s="81"/>
      <c r="C126" s="219"/>
      <c r="D126" s="476" t="s">
        <v>268</v>
      </c>
      <c r="E126" s="82"/>
      <c r="F126" s="82"/>
      <c r="G126" s="1383"/>
      <c r="H126" s="232"/>
      <c r="I126" s="455">
        <f>SUM(J126:N126)</f>
        <v>3500</v>
      </c>
      <c r="J126" s="581"/>
      <c r="K126" s="581"/>
      <c r="L126" s="581"/>
      <c r="M126" s="581"/>
      <c r="N126" s="582">
        <v>3500</v>
      </c>
      <c r="P126" s="8"/>
    </row>
    <row r="127" spans="1:16" s="9" customFormat="1" ht="18" customHeight="1" x14ac:dyDescent="0.3">
      <c r="A127" s="229">
        <v>120</v>
      </c>
      <c r="B127" s="81"/>
      <c r="C127" s="219"/>
      <c r="D127" s="981" t="s">
        <v>796</v>
      </c>
      <c r="E127" s="82"/>
      <c r="F127" s="82"/>
      <c r="G127" s="1383"/>
      <c r="H127" s="232"/>
      <c r="I127" s="980">
        <f>SUM(J127:N127)</f>
        <v>3500</v>
      </c>
      <c r="J127" s="472"/>
      <c r="K127" s="472"/>
      <c r="L127" s="472"/>
      <c r="M127" s="472"/>
      <c r="N127" s="986">
        <v>3500</v>
      </c>
      <c r="P127" s="8"/>
    </row>
    <row r="128" spans="1:16" s="9" customFormat="1" ht="18" customHeight="1" x14ac:dyDescent="0.3">
      <c r="A128" s="229">
        <v>121</v>
      </c>
      <c r="B128" s="81"/>
      <c r="C128" s="219"/>
      <c r="D128" s="981" t="s">
        <v>860</v>
      </c>
      <c r="E128" s="82"/>
      <c r="F128" s="82"/>
      <c r="G128" s="1383"/>
      <c r="H128" s="232"/>
      <c r="I128" s="980">
        <f>SUM(J128:N128)</f>
        <v>1730</v>
      </c>
      <c r="J128" s="472"/>
      <c r="K128" s="472"/>
      <c r="L128" s="472"/>
      <c r="M128" s="472"/>
      <c r="N128" s="986">
        <v>1730</v>
      </c>
      <c r="P128" s="8"/>
    </row>
    <row r="129" spans="1:16" s="9" customFormat="1" ht="18" customHeight="1" x14ac:dyDescent="0.3">
      <c r="A129" s="229">
        <v>122</v>
      </c>
      <c r="B129" s="81"/>
      <c r="C129" s="78"/>
      <c r="D129" s="189" t="s">
        <v>57</v>
      </c>
      <c r="E129" s="82">
        <v>375</v>
      </c>
      <c r="F129" s="82"/>
      <c r="G129" s="1383"/>
      <c r="H129" s="232"/>
      <c r="I129" s="580"/>
      <c r="J129" s="581"/>
      <c r="K129" s="581"/>
      <c r="L129" s="581"/>
      <c r="M129" s="581"/>
      <c r="N129" s="582"/>
      <c r="P129" s="8"/>
    </row>
    <row r="130" spans="1:16" s="9" customFormat="1" ht="18" customHeight="1" x14ac:dyDescent="0.3">
      <c r="A130" s="229">
        <v>123</v>
      </c>
      <c r="B130" s="81"/>
      <c r="C130" s="78"/>
      <c r="D130" s="476" t="s">
        <v>268</v>
      </c>
      <c r="E130" s="82"/>
      <c r="F130" s="82"/>
      <c r="G130" s="1383"/>
      <c r="H130" s="232"/>
      <c r="I130" s="455">
        <f>SUM(J130:N130)</f>
        <v>3000</v>
      </c>
      <c r="J130" s="581"/>
      <c r="K130" s="581"/>
      <c r="L130" s="581"/>
      <c r="M130" s="581"/>
      <c r="N130" s="582">
        <v>3000</v>
      </c>
      <c r="P130" s="8"/>
    </row>
    <row r="131" spans="1:16" s="9" customFormat="1" ht="18" customHeight="1" x14ac:dyDescent="0.3">
      <c r="A131" s="229">
        <v>124</v>
      </c>
      <c r="B131" s="81"/>
      <c r="C131" s="78"/>
      <c r="D131" s="981" t="s">
        <v>796</v>
      </c>
      <c r="E131" s="82"/>
      <c r="F131" s="82"/>
      <c r="G131" s="1383"/>
      <c r="H131" s="232"/>
      <c r="I131" s="980">
        <f>SUM(J131:N131)</f>
        <v>3000</v>
      </c>
      <c r="J131" s="472"/>
      <c r="K131" s="472"/>
      <c r="L131" s="472"/>
      <c r="M131" s="472"/>
      <c r="N131" s="986">
        <v>3000</v>
      </c>
      <c r="P131" s="8"/>
    </row>
    <row r="132" spans="1:16" s="9" customFormat="1" ht="18" customHeight="1" x14ac:dyDescent="0.3">
      <c r="A132" s="229">
        <v>125</v>
      </c>
      <c r="B132" s="81"/>
      <c r="C132" s="78"/>
      <c r="D132" s="981" t="s">
        <v>860</v>
      </c>
      <c r="E132" s="82"/>
      <c r="F132" s="82"/>
      <c r="G132" s="1383"/>
      <c r="H132" s="232"/>
      <c r="I132" s="980">
        <f>SUM(J132:N132)</f>
        <v>1500</v>
      </c>
      <c r="J132" s="472"/>
      <c r="K132" s="472"/>
      <c r="L132" s="472"/>
      <c r="M132" s="472"/>
      <c r="N132" s="986">
        <v>1500</v>
      </c>
      <c r="P132" s="8"/>
    </row>
    <row r="133" spans="1:16" s="9" customFormat="1" ht="18" customHeight="1" x14ac:dyDescent="0.3">
      <c r="A133" s="229">
        <v>126</v>
      </c>
      <c r="B133" s="81"/>
      <c r="C133" s="78"/>
      <c r="D133" s="189" t="s">
        <v>58</v>
      </c>
      <c r="E133" s="82">
        <v>250</v>
      </c>
      <c r="F133" s="82"/>
      <c r="G133" s="1383"/>
      <c r="H133" s="232"/>
      <c r="I133" s="580"/>
      <c r="J133" s="581"/>
      <c r="K133" s="581"/>
      <c r="L133" s="581"/>
      <c r="M133" s="581"/>
      <c r="N133" s="582"/>
      <c r="P133" s="8"/>
    </row>
    <row r="134" spans="1:16" s="9" customFormat="1" ht="18" customHeight="1" x14ac:dyDescent="0.3">
      <c r="A134" s="229">
        <v>127</v>
      </c>
      <c r="B134" s="81"/>
      <c r="C134" s="78"/>
      <c r="D134" s="476" t="s">
        <v>268</v>
      </c>
      <c r="E134" s="82"/>
      <c r="F134" s="82"/>
      <c r="G134" s="1383"/>
      <c r="H134" s="232"/>
      <c r="I134" s="455">
        <f>SUM(J134:N134)</f>
        <v>1000</v>
      </c>
      <c r="J134" s="581"/>
      <c r="K134" s="581"/>
      <c r="L134" s="581"/>
      <c r="M134" s="581"/>
      <c r="N134" s="582">
        <v>1000</v>
      </c>
      <c r="P134" s="8"/>
    </row>
    <row r="135" spans="1:16" s="9" customFormat="1" ht="18" customHeight="1" x14ac:dyDescent="0.3">
      <c r="A135" s="229">
        <v>128</v>
      </c>
      <c r="B135" s="81"/>
      <c r="C135" s="78"/>
      <c r="D135" s="981" t="s">
        <v>796</v>
      </c>
      <c r="E135" s="82"/>
      <c r="F135" s="82"/>
      <c r="G135" s="1383"/>
      <c r="H135" s="232"/>
      <c r="I135" s="980">
        <f>SUM(J135:N135)</f>
        <v>1000</v>
      </c>
      <c r="J135" s="472"/>
      <c r="K135" s="472"/>
      <c r="L135" s="472"/>
      <c r="M135" s="472"/>
      <c r="N135" s="986">
        <v>1000</v>
      </c>
      <c r="P135" s="8"/>
    </row>
    <row r="136" spans="1:16" s="9" customFormat="1" ht="18" customHeight="1" x14ac:dyDescent="0.3">
      <c r="A136" s="229">
        <v>129</v>
      </c>
      <c r="B136" s="81"/>
      <c r="C136" s="78"/>
      <c r="D136" s="981" t="s">
        <v>860</v>
      </c>
      <c r="E136" s="82"/>
      <c r="F136" s="82"/>
      <c r="G136" s="1383"/>
      <c r="H136" s="232"/>
      <c r="I136" s="980">
        <f>SUM(J136:N136)</f>
        <v>499</v>
      </c>
      <c r="J136" s="472"/>
      <c r="K136" s="472"/>
      <c r="L136" s="472"/>
      <c r="M136" s="472"/>
      <c r="N136" s="986">
        <v>499</v>
      </c>
      <c r="P136" s="8"/>
    </row>
    <row r="137" spans="1:16" s="9" customFormat="1" ht="18" customHeight="1" x14ac:dyDescent="0.3">
      <c r="A137" s="229">
        <v>130</v>
      </c>
      <c r="B137" s="81"/>
      <c r="C137" s="78"/>
      <c r="D137" s="189" t="s">
        <v>279</v>
      </c>
      <c r="E137" s="82">
        <v>83</v>
      </c>
      <c r="F137" s="82"/>
      <c r="G137" s="1383"/>
      <c r="H137" s="232"/>
      <c r="I137" s="580"/>
      <c r="J137" s="581"/>
      <c r="K137" s="581"/>
      <c r="L137" s="581"/>
      <c r="M137" s="581"/>
      <c r="N137" s="582"/>
      <c r="P137" s="8"/>
    </row>
    <row r="138" spans="1:16" s="9" customFormat="1" ht="18" customHeight="1" x14ac:dyDescent="0.3">
      <c r="A138" s="229">
        <v>131</v>
      </c>
      <c r="B138" s="81"/>
      <c r="C138" s="78"/>
      <c r="D138" s="476" t="s">
        <v>268</v>
      </c>
      <c r="E138" s="82"/>
      <c r="F138" s="82"/>
      <c r="G138" s="1383"/>
      <c r="H138" s="232"/>
      <c r="I138" s="455">
        <f>SUM(J138:N138)</f>
        <v>1000</v>
      </c>
      <c r="J138" s="581"/>
      <c r="K138" s="581"/>
      <c r="L138" s="581"/>
      <c r="M138" s="581"/>
      <c r="N138" s="582">
        <v>1000</v>
      </c>
      <c r="P138" s="8"/>
    </row>
    <row r="139" spans="1:16" s="9" customFormat="1" ht="18" customHeight="1" x14ac:dyDescent="0.3">
      <c r="A139" s="229">
        <v>132</v>
      </c>
      <c r="B139" s="81"/>
      <c r="C139" s="78"/>
      <c r="D139" s="981" t="s">
        <v>796</v>
      </c>
      <c r="E139" s="82"/>
      <c r="F139" s="82"/>
      <c r="G139" s="1383"/>
      <c r="H139" s="232"/>
      <c r="I139" s="980">
        <f>SUM(J139:N139)</f>
        <v>1000</v>
      </c>
      <c r="J139" s="472"/>
      <c r="K139" s="472"/>
      <c r="L139" s="472"/>
      <c r="M139" s="472"/>
      <c r="N139" s="986">
        <v>1000</v>
      </c>
      <c r="P139" s="8"/>
    </row>
    <row r="140" spans="1:16" s="9" customFormat="1" ht="18" customHeight="1" x14ac:dyDescent="0.3">
      <c r="A140" s="229">
        <v>133</v>
      </c>
      <c r="B140" s="81"/>
      <c r="C140" s="78"/>
      <c r="D140" s="981" t="s">
        <v>860</v>
      </c>
      <c r="E140" s="82"/>
      <c r="F140" s="82"/>
      <c r="G140" s="1383"/>
      <c r="H140" s="232"/>
      <c r="I140" s="980">
        <f>SUM(J140:N140)</f>
        <v>499</v>
      </c>
      <c r="J140" s="472"/>
      <c r="K140" s="472"/>
      <c r="L140" s="472"/>
      <c r="M140" s="472"/>
      <c r="N140" s="986">
        <v>499</v>
      </c>
      <c r="P140" s="8"/>
    </row>
    <row r="141" spans="1:16" s="9" customFormat="1" ht="22.5" customHeight="1" x14ac:dyDescent="0.3">
      <c r="A141" s="229">
        <v>134</v>
      </c>
      <c r="B141" s="81"/>
      <c r="C141" s="74">
        <v>20</v>
      </c>
      <c r="D141" s="225" t="s">
        <v>435</v>
      </c>
      <c r="E141" s="82"/>
      <c r="F141" s="82"/>
      <c r="G141" s="1383"/>
      <c r="H141" s="231" t="s">
        <v>24</v>
      </c>
      <c r="I141" s="452"/>
      <c r="J141" s="578"/>
      <c r="K141" s="578"/>
      <c r="L141" s="578"/>
      <c r="M141" s="578"/>
      <c r="N141" s="579"/>
      <c r="P141" s="8"/>
    </row>
    <row r="142" spans="1:16" s="474" customFormat="1" ht="18" customHeight="1" x14ac:dyDescent="0.3">
      <c r="A142" s="229">
        <v>135</v>
      </c>
      <c r="B142" s="468"/>
      <c r="C142" s="458"/>
      <c r="D142" s="459" t="s">
        <v>268</v>
      </c>
      <c r="E142" s="470"/>
      <c r="F142" s="470"/>
      <c r="G142" s="1385"/>
      <c r="H142" s="471"/>
      <c r="I142" s="452">
        <f>SUM(J142:N142)</f>
        <v>1000</v>
      </c>
      <c r="J142" s="472"/>
      <c r="K142" s="472"/>
      <c r="L142" s="472"/>
      <c r="M142" s="472"/>
      <c r="N142" s="571">
        <v>1000</v>
      </c>
      <c r="P142" s="462"/>
    </row>
    <row r="143" spans="1:16" s="474" customFormat="1" ht="18" customHeight="1" x14ac:dyDescent="0.3">
      <c r="A143" s="229">
        <v>136</v>
      </c>
      <c r="B143" s="468"/>
      <c r="C143" s="458"/>
      <c r="D143" s="224" t="s">
        <v>796</v>
      </c>
      <c r="E143" s="470"/>
      <c r="F143" s="470"/>
      <c r="G143" s="1385"/>
      <c r="H143" s="471"/>
      <c r="I143" s="977">
        <f>SUM(J143:N143)</f>
        <v>0</v>
      </c>
      <c r="J143" s="472"/>
      <c r="K143" s="472"/>
      <c r="L143" s="472"/>
      <c r="M143" s="472"/>
      <c r="N143" s="983">
        <v>0</v>
      </c>
      <c r="P143" s="462"/>
    </row>
    <row r="144" spans="1:16" s="474" customFormat="1" ht="18" customHeight="1" x14ac:dyDescent="0.3">
      <c r="A144" s="229">
        <v>137</v>
      </c>
      <c r="B144" s="468"/>
      <c r="C144" s="458"/>
      <c r="D144" s="976" t="s">
        <v>861</v>
      </c>
      <c r="E144" s="470"/>
      <c r="F144" s="470"/>
      <c r="G144" s="1385"/>
      <c r="H144" s="471"/>
      <c r="I144" s="980">
        <f>SUM(J144:N144)</f>
        <v>0</v>
      </c>
      <c r="J144" s="472"/>
      <c r="K144" s="472"/>
      <c r="L144" s="472"/>
      <c r="M144" s="472"/>
      <c r="N144" s="986"/>
      <c r="P144" s="462"/>
    </row>
    <row r="145" spans="1:16" s="9" customFormat="1" ht="22.5" customHeight="1" x14ac:dyDescent="0.3">
      <c r="A145" s="229">
        <v>138</v>
      </c>
      <c r="B145" s="81"/>
      <c r="C145" s="74">
        <v>21</v>
      </c>
      <c r="D145" s="225" t="s">
        <v>445</v>
      </c>
      <c r="E145" s="82">
        <v>13</v>
      </c>
      <c r="F145" s="82"/>
      <c r="G145" s="1383"/>
      <c r="H145" s="231" t="s">
        <v>24</v>
      </c>
      <c r="I145" s="455"/>
      <c r="J145" s="578"/>
      <c r="K145" s="578"/>
      <c r="L145" s="578"/>
      <c r="M145" s="578"/>
      <c r="N145" s="579"/>
      <c r="P145" s="8"/>
    </row>
    <row r="146" spans="1:16" s="9" customFormat="1" ht="22.5" customHeight="1" x14ac:dyDescent="0.3">
      <c r="A146" s="229">
        <v>139</v>
      </c>
      <c r="B146" s="81"/>
      <c r="C146" s="74">
        <v>22</v>
      </c>
      <c r="D146" s="225" t="s">
        <v>434</v>
      </c>
      <c r="E146" s="82"/>
      <c r="F146" s="82"/>
      <c r="G146" s="1383"/>
      <c r="H146" s="231" t="s">
        <v>24</v>
      </c>
      <c r="I146" s="452"/>
      <c r="J146" s="578"/>
      <c r="K146" s="578"/>
      <c r="L146" s="578"/>
      <c r="M146" s="578"/>
      <c r="N146" s="579"/>
      <c r="P146" s="8"/>
    </row>
    <row r="147" spans="1:16" s="9" customFormat="1" ht="22.5" customHeight="1" x14ac:dyDescent="0.3">
      <c r="A147" s="229">
        <v>140</v>
      </c>
      <c r="B147" s="81"/>
      <c r="C147" s="74">
        <v>23</v>
      </c>
      <c r="D147" s="225" t="s">
        <v>444</v>
      </c>
      <c r="E147" s="82"/>
      <c r="F147" s="82"/>
      <c r="G147" s="1383"/>
      <c r="H147" s="231" t="s">
        <v>24</v>
      </c>
      <c r="I147" s="452"/>
      <c r="J147" s="578"/>
      <c r="K147" s="578"/>
      <c r="L147" s="578"/>
      <c r="M147" s="578"/>
      <c r="N147" s="579"/>
      <c r="P147" s="8"/>
    </row>
    <row r="148" spans="1:16" s="3" customFormat="1" ht="22.5" customHeight="1" x14ac:dyDescent="0.3">
      <c r="A148" s="229">
        <v>141</v>
      </c>
      <c r="B148" s="73"/>
      <c r="C148" s="74">
        <v>24</v>
      </c>
      <c r="D148" s="225" t="s">
        <v>59</v>
      </c>
      <c r="E148" s="76"/>
      <c r="F148" s="76"/>
      <c r="G148" s="1383"/>
      <c r="H148" s="231" t="s">
        <v>24</v>
      </c>
      <c r="I148" s="452"/>
      <c r="J148" s="570"/>
      <c r="K148" s="570"/>
      <c r="L148" s="570"/>
      <c r="M148" s="570"/>
      <c r="N148" s="571"/>
      <c r="P148" s="8"/>
    </row>
    <row r="149" spans="1:16" s="3" customFormat="1" ht="22.5" customHeight="1" x14ac:dyDescent="0.3">
      <c r="A149" s="229">
        <v>142</v>
      </c>
      <c r="B149" s="73"/>
      <c r="C149" s="74">
        <v>25</v>
      </c>
      <c r="D149" s="225" t="s">
        <v>275</v>
      </c>
      <c r="E149" s="76"/>
      <c r="F149" s="76"/>
      <c r="G149" s="1380"/>
      <c r="H149" s="231" t="s">
        <v>24</v>
      </c>
      <c r="I149" s="452"/>
      <c r="J149" s="570"/>
      <c r="K149" s="570"/>
      <c r="L149" s="570"/>
      <c r="M149" s="570"/>
      <c r="N149" s="571"/>
      <c r="P149" s="8"/>
    </row>
    <row r="150" spans="1:16" s="3" customFormat="1" ht="22.5" customHeight="1" x14ac:dyDescent="0.3">
      <c r="A150" s="229">
        <v>143</v>
      </c>
      <c r="B150" s="73"/>
      <c r="C150" s="74">
        <v>26</v>
      </c>
      <c r="D150" s="225" t="s">
        <v>60</v>
      </c>
      <c r="E150" s="76"/>
      <c r="F150" s="76"/>
      <c r="G150" s="1380"/>
      <c r="H150" s="231" t="s">
        <v>24</v>
      </c>
      <c r="I150" s="452"/>
      <c r="J150" s="570"/>
      <c r="K150" s="570"/>
      <c r="L150" s="570"/>
      <c r="M150" s="570"/>
      <c r="N150" s="571"/>
      <c r="P150" s="8"/>
    </row>
    <row r="151" spans="1:16" s="3" customFormat="1" ht="22.5" customHeight="1" x14ac:dyDescent="0.3">
      <c r="A151" s="229">
        <v>144</v>
      </c>
      <c r="B151" s="73"/>
      <c r="C151" s="74">
        <v>27</v>
      </c>
      <c r="D151" s="225" t="s">
        <v>61</v>
      </c>
      <c r="E151" s="76"/>
      <c r="F151" s="76"/>
      <c r="G151" s="1380"/>
      <c r="H151" s="231" t="s">
        <v>24</v>
      </c>
      <c r="I151" s="452"/>
      <c r="J151" s="570"/>
      <c r="K151" s="570"/>
      <c r="L151" s="570"/>
      <c r="M151" s="570"/>
      <c r="N151" s="571"/>
      <c r="P151" s="8"/>
    </row>
    <row r="152" spans="1:16" s="3" customFormat="1" ht="22.5" customHeight="1" x14ac:dyDescent="0.3">
      <c r="A152" s="229">
        <v>145</v>
      </c>
      <c r="B152" s="73"/>
      <c r="C152" s="74">
        <v>28</v>
      </c>
      <c r="D152" s="225" t="s">
        <v>243</v>
      </c>
      <c r="E152" s="76">
        <v>4480</v>
      </c>
      <c r="F152" s="76">
        <v>1500</v>
      </c>
      <c r="G152" s="1380">
        <v>1500</v>
      </c>
      <c r="H152" s="231" t="s">
        <v>24</v>
      </c>
      <c r="I152" s="452"/>
      <c r="J152" s="570"/>
      <c r="K152" s="570"/>
      <c r="L152" s="570"/>
      <c r="M152" s="570"/>
      <c r="N152" s="571"/>
      <c r="P152" s="8"/>
    </row>
    <row r="153" spans="1:16" s="8" customFormat="1" ht="22.5" customHeight="1" x14ac:dyDescent="0.3">
      <c r="A153" s="229">
        <v>146</v>
      </c>
      <c r="B153" s="77"/>
      <c r="C153" s="74">
        <v>29</v>
      </c>
      <c r="D153" s="224" t="s">
        <v>335</v>
      </c>
      <c r="E153" s="76">
        <v>0</v>
      </c>
      <c r="F153" s="76">
        <v>0</v>
      </c>
      <c r="G153" s="1380">
        <v>0</v>
      </c>
      <c r="H153" s="231" t="s">
        <v>24</v>
      </c>
      <c r="I153" s="452"/>
      <c r="J153" s="570"/>
      <c r="K153" s="570"/>
      <c r="L153" s="570"/>
      <c r="M153" s="570"/>
      <c r="N153" s="571"/>
    </row>
    <row r="154" spans="1:16" s="8" customFormat="1" ht="22.5" customHeight="1" x14ac:dyDescent="0.3">
      <c r="A154" s="229">
        <v>147</v>
      </c>
      <c r="B154" s="87"/>
      <c r="C154" s="74">
        <v>30</v>
      </c>
      <c r="D154" s="224" t="s">
        <v>350</v>
      </c>
      <c r="E154" s="94">
        <v>16160</v>
      </c>
      <c r="F154" s="94">
        <v>20000</v>
      </c>
      <c r="G154" s="1379">
        <v>0</v>
      </c>
      <c r="H154" s="231" t="s">
        <v>24</v>
      </c>
      <c r="I154" s="452"/>
      <c r="J154" s="573"/>
      <c r="K154" s="573"/>
      <c r="L154" s="573"/>
      <c r="M154" s="573"/>
      <c r="N154" s="574"/>
    </row>
    <row r="155" spans="1:16" s="89" customFormat="1" ht="22.5" customHeight="1" x14ac:dyDescent="0.3">
      <c r="A155" s="229">
        <v>148</v>
      </c>
      <c r="B155" s="88"/>
      <c r="C155" s="74">
        <v>31</v>
      </c>
      <c r="D155" s="225" t="s">
        <v>239</v>
      </c>
      <c r="E155" s="94">
        <v>45000</v>
      </c>
      <c r="F155" s="94">
        <v>35000</v>
      </c>
      <c r="G155" s="1379">
        <v>35000</v>
      </c>
      <c r="H155" s="231" t="s">
        <v>24</v>
      </c>
      <c r="I155" s="452"/>
      <c r="J155" s="573"/>
      <c r="K155" s="573"/>
      <c r="L155" s="573"/>
      <c r="M155" s="573"/>
      <c r="N155" s="574"/>
      <c r="O155" s="70"/>
      <c r="P155" s="8"/>
    </row>
    <row r="156" spans="1:16" s="89" customFormat="1" ht="18" customHeight="1" x14ac:dyDescent="0.3">
      <c r="A156" s="229">
        <v>149</v>
      </c>
      <c r="B156" s="88"/>
      <c r="C156" s="78"/>
      <c r="D156" s="459" t="s">
        <v>268</v>
      </c>
      <c r="E156" s="94"/>
      <c r="F156" s="80"/>
      <c r="G156" s="1387"/>
      <c r="H156" s="231"/>
      <c r="I156" s="452">
        <f>SUM(J156:N156)</f>
        <v>25000</v>
      </c>
      <c r="J156" s="573"/>
      <c r="K156" s="573"/>
      <c r="L156" s="573"/>
      <c r="M156" s="573"/>
      <c r="N156" s="574">
        <v>25000</v>
      </c>
      <c r="O156" s="70"/>
      <c r="P156" s="8"/>
    </row>
    <row r="157" spans="1:16" s="89" customFormat="1" ht="18" customHeight="1" x14ac:dyDescent="0.3">
      <c r="A157" s="229">
        <v>150</v>
      </c>
      <c r="B157" s="88"/>
      <c r="C157" s="78"/>
      <c r="D157" s="224" t="s">
        <v>796</v>
      </c>
      <c r="E157" s="94"/>
      <c r="F157" s="80"/>
      <c r="G157" s="1387"/>
      <c r="H157" s="231"/>
      <c r="I157" s="977">
        <f>SUM(J157:N157)</f>
        <v>25000</v>
      </c>
      <c r="J157" s="573"/>
      <c r="K157" s="573"/>
      <c r="L157" s="573"/>
      <c r="M157" s="573"/>
      <c r="N157" s="995">
        <v>25000</v>
      </c>
      <c r="O157" s="70"/>
      <c r="P157" s="8"/>
    </row>
    <row r="158" spans="1:16" s="89" customFormat="1" ht="18" customHeight="1" x14ac:dyDescent="0.3">
      <c r="A158" s="229">
        <v>151</v>
      </c>
      <c r="B158" s="88"/>
      <c r="C158" s="78"/>
      <c r="D158" s="976" t="s">
        <v>860</v>
      </c>
      <c r="E158" s="94"/>
      <c r="F158" s="80"/>
      <c r="G158" s="1387"/>
      <c r="H158" s="231"/>
      <c r="I158" s="980">
        <f>SUM(J158:N158)</f>
        <v>25000</v>
      </c>
      <c r="J158" s="573"/>
      <c r="K158" s="573"/>
      <c r="L158" s="573"/>
      <c r="M158" s="573"/>
      <c r="N158" s="979">
        <v>25000</v>
      </c>
      <c r="O158" s="70"/>
      <c r="P158" s="8"/>
    </row>
    <row r="159" spans="1:16" s="3" customFormat="1" ht="22.5" customHeight="1" x14ac:dyDescent="0.3">
      <c r="A159" s="229">
        <v>152</v>
      </c>
      <c r="B159" s="73"/>
      <c r="C159" s="74">
        <v>32</v>
      </c>
      <c r="D159" s="225" t="s">
        <v>244</v>
      </c>
      <c r="E159" s="76">
        <v>2500</v>
      </c>
      <c r="F159" s="76">
        <v>0</v>
      </c>
      <c r="G159" s="1380">
        <v>0</v>
      </c>
      <c r="H159" s="231" t="s">
        <v>24</v>
      </c>
      <c r="I159" s="452"/>
      <c r="J159" s="570"/>
      <c r="K159" s="570"/>
      <c r="L159" s="570"/>
      <c r="M159" s="570"/>
      <c r="N159" s="571"/>
      <c r="P159" s="8"/>
    </row>
    <row r="160" spans="1:16" s="3" customFormat="1" ht="17.100000000000001" customHeight="1" x14ac:dyDescent="0.3">
      <c r="A160" s="229">
        <v>153</v>
      </c>
      <c r="B160" s="73"/>
      <c r="C160" s="74"/>
      <c r="D160" s="224" t="s">
        <v>796</v>
      </c>
      <c r="E160" s="76"/>
      <c r="F160" s="76"/>
      <c r="G160" s="1380"/>
      <c r="H160" s="231"/>
      <c r="I160" s="977">
        <f>SUM(J160:N160)</f>
        <v>0</v>
      </c>
      <c r="J160" s="570"/>
      <c r="K160" s="570"/>
      <c r="L160" s="570"/>
      <c r="M160" s="570"/>
      <c r="N160" s="983">
        <v>0</v>
      </c>
      <c r="P160" s="8"/>
    </row>
    <row r="161" spans="1:16" s="3" customFormat="1" ht="17.100000000000001" customHeight="1" x14ac:dyDescent="0.3">
      <c r="A161" s="229">
        <v>154</v>
      </c>
      <c r="B161" s="73"/>
      <c r="C161" s="74"/>
      <c r="D161" s="976" t="s">
        <v>861</v>
      </c>
      <c r="E161" s="76"/>
      <c r="F161" s="76"/>
      <c r="G161" s="1380"/>
      <c r="H161" s="231"/>
      <c r="I161" s="980">
        <f t="shared" ref="I161" si="4">SUM(J161:N161)</f>
        <v>0</v>
      </c>
      <c r="J161" s="570"/>
      <c r="K161" s="570"/>
      <c r="L161" s="570"/>
      <c r="M161" s="570"/>
      <c r="N161" s="986"/>
      <c r="P161" s="8"/>
    </row>
    <row r="162" spans="1:16" s="462" customFormat="1" ht="22.5" customHeight="1" x14ac:dyDescent="0.3">
      <c r="A162" s="229">
        <v>155</v>
      </c>
      <c r="B162" s="457"/>
      <c r="C162" s="74">
        <v>33</v>
      </c>
      <c r="D162" s="225" t="s">
        <v>492</v>
      </c>
      <c r="E162" s="460"/>
      <c r="F162" s="82">
        <v>2500</v>
      </c>
      <c r="G162" s="1383">
        <v>2500</v>
      </c>
      <c r="H162" s="231" t="s">
        <v>24</v>
      </c>
      <c r="I162" s="452"/>
      <c r="J162" s="453"/>
      <c r="K162" s="453"/>
      <c r="L162" s="453"/>
      <c r="M162" s="453"/>
      <c r="N162" s="454"/>
    </row>
    <row r="163" spans="1:16" s="462" customFormat="1" ht="22.5" customHeight="1" x14ac:dyDescent="0.3">
      <c r="A163" s="229">
        <v>156</v>
      </c>
      <c r="B163" s="457"/>
      <c r="C163" s="74">
        <v>34</v>
      </c>
      <c r="D163" s="225" t="s">
        <v>493</v>
      </c>
      <c r="E163" s="460"/>
      <c r="F163" s="82">
        <v>10000</v>
      </c>
      <c r="G163" s="1383">
        <v>11236</v>
      </c>
      <c r="H163" s="231" t="s">
        <v>24</v>
      </c>
      <c r="I163" s="452"/>
      <c r="J163" s="453"/>
      <c r="K163" s="453"/>
      <c r="L163" s="453"/>
      <c r="M163" s="453"/>
      <c r="N163" s="454"/>
    </row>
    <row r="164" spans="1:16" s="462" customFormat="1" ht="17.100000000000001" customHeight="1" x14ac:dyDescent="0.3">
      <c r="A164" s="229">
        <v>157</v>
      </c>
      <c r="B164" s="457"/>
      <c r="C164" s="74"/>
      <c r="D164" s="224" t="s">
        <v>796</v>
      </c>
      <c r="E164" s="460"/>
      <c r="F164" s="82"/>
      <c r="G164" s="1383"/>
      <c r="H164" s="231"/>
      <c r="I164" s="977">
        <f t="shared" ref="I164:I165" si="5">SUM(J164:N164)</f>
        <v>961</v>
      </c>
      <c r="J164" s="982">
        <v>57</v>
      </c>
      <c r="K164" s="982">
        <v>35</v>
      </c>
      <c r="L164" s="982">
        <v>869</v>
      </c>
      <c r="M164" s="453"/>
      <c r="N164" s="454"/>
    </row>
    <row r="165" spans="1:16" s="462" customFormat="1" ht="17.100000000000001" customHeight="1" x14ac:dyDescent="0.3">
      <c r="A165" s="229">
        <v>158</v>
      </c>
      <c r="B165" s="457"/>
      <c r="C165" s="74"/>
      <c r="D165" s="976" t="s">
        <v>861</v>
      </c>
      <c r="E165" s="460"/>
      <c r="F165" s="82"/>
      <c r="G165" s="1383"/>
      <c r="H165" s="231"/>
      <c r="I165" s="980">
        <f t="shared" si="5"/>
        <v>255</v>
      </c>
      <c r="J165" s="985">
        <v>56</v>
      </c>
      <c r="K165" s="985">
        <v>36</v>
      </c>
      <c r="L165" s="985">
        <v>163</v>
      </c>
      <c r="M165" s="578"/>
      <c r="N165" s="579"/>
    </row>
    <row r="166" spans="1:16" s="3" customFormat="1" ht="22.5" customHeight="1" x14ac:dyDescent="0.3">
      <c r="A166" s="229">
        <v>159</v>
      </c>
      <c r="B166" s="73"/>
      <c r="C166" s="74">
        <v>35</v>
      </c>
      <c r="D166" s="225" t="s">
        <v>648</v>
      </c>
      <c r="E166" s="76">
        <v>185225</v>
      </c>
      <c r="F166" s="76">
        <v>250000</v>
      </c>
      <c r="G166" s="1380">
        <v>225264</v>
      </c>
      <c r="H166" s="231" t="s">
        <v>24</v>
      </c>
      <c r="I166" s="452"/>
      <c r="J166" s="570"/>
      <c r="K166" s="570"/>
      <c r="L166" s="570"/>
      <c r="M166" s="570"/>
      <c r="N166" s="571"/>
      <c r="P166" s="8"/>
    </row>
    <row r="167" spans="1:16" s="462" customFormat="1" ht="18" customHeight="1" x14ac:dyDescent="0.3">
      <c r="A167" s="229">
        <v>160</v>
      </c>
      <c r="B167" s="457"/>
      <c r="C167" s="458"/>
      <c r="D167" s="459" t="s">
        <v>268</v>
      </c>
      <c r="E167" s="460"/>
      <c r="F167" s="460"/>
      <c r="G167" s="1382"/>
      <c r="H167" s="461"/>
      <c r="I167" s="452">
        <f>SUM(J167:N167)</f>
        <v>327787</v>
      </c>
      <c r="J167" s="453"/>
      <c r="K167" s="453"/>
      <c r="L167" s="453">
        <v>20500</v>
      </c>
      <c r="M167" s="453"/>
      <c r="N167" s="454">
        <v>307287</v>
      </c>
    </row>
    <row r="168" spans="1:16" s="462" customFormat="1" ht="18" customHeight="1" x14ac:dyDescent="0.3">
      <c r="A168" s="229">
        <v>161</v>
      </c>
      <c r="B168" s="457"/>
      <c r="C168" s="458"/>
      <c r="D168" s="224" t="s">
        <v>796</v>
      </c>
      <c r="E168" s="460"/>
      <c r="F168" s="460"/>
      <c r="G168" s="1382"/>
      <c r="H168" s="461"/>
      <c r="I168" s="977">
        <f>SUM(J168:N168)</f>
        <v>327776</v>
      </c>
      <c r="J168" s="453"/>
      <c r="K168" s="453"/>
      <c r="L168" s="982">
        <v>87500</v>
      </c>
      <c r="M168" s="982"/>
      <c r="N168" s="983">
        <v>240276</v>
      </c>
    </row>
    <row r="169" spans="1:16" s="462" customFormat="1" ht="18" customHeight="1" x14ac:dyDescent="0.3">
      <c r="A169" s="229">
        <v>162</v>
      </c>
      <c r="B169" s="457"/>
      <c r="C169" s="458"/>
      <c r="D169" s="976" t="s">
        <v>861</v>
      </c>
      <c r="E169" s="460"/>
      <c r="F169" s="460"/>
      <c r="G169" s="1382"/>
      <c r="H169" s="461"/>
      <c r="I169" s="980">
        <f>SUM(J169:N169)</f>
        <v>130140</v>
      </c>
      <c r="J169" s="453"/>
      <c r="K169" s="453"/>
      <c r="L169" s="985">
        <v>17500</v>
      </c>
      <c r="M169" s="453"/>
      <c r="N169" s="986">
        <v>112640</v>
      </c>
    </row>
    <row r="170" spans="1:16" s="3" customFormat="1" ht="22.5" customHeight="1" x14ac:dyDescent="0.3">
      <c r="A170" s="229">
        <v>163</v>
      </c>
      <c r="B170" s="73"/>
      <c r="C170" s="74">
        <v>36</v>
      </c>
      <c r="D170" s="225" t="s">
        <v>63</v>
      </c>
      <c r="E170" s="76">
        <v>2210</v>
      </c>
      <c r="F170" s="76">
        <v>1250</v>
      </c>
      <c r="G170" s="1380">
        <v>0</v>
      </c>
      <c r="H170" s="231" t="s">
        <v>23</v>
      </c>
      <c r="I170" s="452"/>
      <c r="J170" s="570"/>
      <c r="K170" s="570"/>
      <c r="L170" s="570"/>
      <c r="M170" s="570"/>
      <c r="N170" s="571"/>
      <c r="P170" s="8"/>
    </row>
    <row r="171" spans="1:16" s="462" customFormat="1" ht="18" customHeight="1" x14ac:dyDescent="0.3">
      <c r="A171" s="229">
        <v>164</v>
      </c>
      <c r="B171" s="457"/>
      <c r="C171" s="458"/>
      <c r="D171" s="459" t="s">
        <v>268</v>
      </c>
      <c r="E171" s="460"/>
      <c r="F171" s="460"/>
      <c r="G171" s="1382"/>
      <c r="H171" s="461"/>
      <c r="I171" s="452">
        <f>SUM(J171:N171)</f>
        <v>1250</v>
      </c>
      <c r="J171" s="453"/>
      <c r="K171" s="453"/>
      <c r="L171" s="453">
        <v>1250</v>
      </c>
      <c r="M171" s="453"/>
      <c r="N171" s="454"/>
    </row>
    <row r="172" spans="1:16" s="462" customFormat="1" ht="18" customHeight="1" x14ac:dyDescent="0.3">
      <c r="A172" s="229">
        <v>165</v>
      </c>
      <c r="B172" s="457"/>
      <c r="C172" s="458"/>
      <c r="D172" s="224" t="s">
        <v>796</v>
      </c>
      <c r="E172" s="460"/>
      <c r="F172" s="460"/>
      <c r="G172" s="1382"/>
      <c r="H172" s="461"/>
      <c r="I172" s="977">
        <f>SUM(J172:N172)</f>
        <v>2500</v>
      </c>
      <c r="J172" s="453"/>
      <c r="K172" s="453"/>
      <c r="L172" s="982">
        <v>2500</v>
      </c>
      <c r="M172" s="453"/>
      <c r="N172" s="454"/>
    </row>
    <row r="173" spans="1:16" s="462" customFormat="1" ht="18" customHeight="1" x14ac:dyDescent="0.3">
      <c r="A173" s="229">
        <v>166</v>
      </c>
      <c r="B173" s="457"/>
      <c r="C173" s="458"/>
      <c r="D173" s="976" t="s">
        <v>861</v>
      </c>
      <c r="E173" s="460"/>
      <c r="F173" s="460"/>
      <c r="G173" s="1382"/>
      <c r="H173" s="461"/>
      <c r="I173" s="980">
        <f>SUM(J173:N173)</f>
        <v>0</v>
      </c>
      <c r="J173" s="453"/>
      <c r="K173" s="453"/>
      <c r="L173" s="985"/>
      <c r="M173" s="453"/>
      <c r="N173" s="454"/>
    </row>
    <row r="174" spans="1:16" s="3" customFormat="1" ht="22.5" customHeight="1" x14ac:dyDescent="0.3">
      <c r="A174" s="229">
        <v>167</v>
      </c>
      <c r="B174" s="73"/>
      <c r="C174" s="74">
        <v>37</v>
      </c>
      <c r="D174" s="225" t="s">
        <v>64</v>
      </c>
      <c r="E174" s="76">
        <v>5946</v>
      </c>
      <c r="F174" s="76">
        <v>4000</v>
      </c>
      <c r="G174" s="1380">
        <v>1156</v>
      </c>
      <c r="H174" s="231" t="s">
        <v>23</v>
      </c>
      <c r="I174" s="452"/>
      <c r="J174" s="570"/>
      <c r="K174" s="570"/>
      <c r="L174" s="570"/>
      <c r="M174" s="570"/>
      <c r="N174" s="571"/>
      <c r="P174" s="8"/>
    </row>
    <row r="175" spans="1:16" s="8" customFormat="1" ht="22.5" customHeight="1" x14ac:dyDescent="0.3">
      <c r="A175" s="229">
        <v>168</v>
      </c>
      <c r="B175" s="77"/>
      <c r="C175" s="74">
        <v>38</v>
      </c>
      <c r="D175" s="224" t="s">
        <v>300</v>
      </c>
      <c r="E175" s="76">
        <v>48445</v>
      </c>
      <c r="F175" s="76">
        <v>39750</v>
      </c>
      <c r="G175" s="1380">
        <v>43110</v>
      </c>
      <c r="H175" s="231" t="s">
        <v>23</v>
      </c>
      <c r="I175" s="452"/>
      <c r="J175" s="570"/>
      <c r="K175" s="570"/>
      <c r="L175" s="570"/>
      <c r="M175" s="570"/>
      <c r="N175" s="571"/>
    </row>
    <row r="176" spans="1:16" s="462" customFormat="1" ht="18" customHeight="1" x14ac:dyDescent="0.3">
      <c r="A176" s="229">
        <v>169</v>
      </c>
      <c r="B176" s="457"/>
      <c r="C176" s="458"/>
      <c r="D176" s="459" t="s">
        <v>268</v>
      </c>
      <c r="E176" s="460"/>
      <c r="F176" s="460"/>
      <c r="G176" s="1382"/>
      <c r="H176" s="461"/>
      <c r="I176" s="452">
        <f>SUM(J176:N176)</f>
        <v>30000</v>
      </c>
      <c r="J176" s="453"/>
      <c r="K176" s="453"/>
      <c r="L176" s="453">
        <v>30000</v>
      </c>
      <c r="M176" s="453"/>
      <c r="N176" s="454"/>
    </row>
    <row r="177" spans="1:16" s="462" customFormat="1" ht="18" customHeight="1" x14ac:dyDescent="0.3">
      <c r="A177" s="229">
        <v>170</v>
      </c>
      <c r="B177" s="457"/>
      <c r="C177" s="458"/>
      <c r="D177" s="224" t="s">
        <v>796</v>
      </c>
      <c r="E177" s="460"/>
      <c r="F177" s="460"/>
      <c r="G177" s="1382"/>
      <c r="H177" s="461"/>
      <c r="I177" s="977">
        <f>SUM(J177:N177)</f>
        <v>67946</v>
      </c>
      <c r="J177" s="453"/>
      <c r="K177" s="453"/>
      <c r="L177" s="982">
        <v>67946</v>
      </c>
      <c r="M177" s="453"/>
      <c r="N177" s="454"/>
    </row>
    <row r="178" spans="1:16" s="462" customFormat="1" ht="18" customHeight="1" x14ac:dyDescent="0.3">
      <c r="A178" s="229">
        <v>171</v>
      </c>
      <c r="B178" s="457"/>
      <c r="C178" s="458"/>
      <c r="D178" s="976" t="s">
        <v>861</v>
      </c>
      <c r="E178" s="460"/>
      <c r="F178" s="460"/>
      <c r="G178" s="1382"/>
      <c r="H178" s="461"/>
      <c r="I178" s="980">
        <f>SUM(J178:N178)</f>
        <v>39965</v>
      </c>
      <c r="J178" s="453"/>
      <c r="K178" s="453"/>
      <c r="L178" s="985">
        <v>39965</v>
      </c>
      <c r="M178" s="453"/>
      <c r="N178" s="454"/>
    </row>
    <row r="179" spans="1:16" s="3" customFormat="1" ht="22.5" customHeight="1" x14ac:dyDescent="0.3">
      <c r="A179" s="229">
        <v>172</v>
      </c>
      <c r="B179" s="73"/>
      <c r="C179" s="74">
        <v>39</v>
      </c>
      <c r="D179" s="225" t="s">
        <v>649</v>
      </c>
      <c r="E179" s="76">
        <v>1829</v>
      </c>
      <c r="F179" s="76">
        <v>1250</v>
      </c>
      <c r="G179" s="1380">
        <v>1485</v>
      </c>
      <c r="H179" s="231" t="s">
        <v>23</v>
      </c>
      <c r="I179" s="580"/>
      <c r="J179" s="581"/>
      <c r="K179" s="581"/>
      <c r="L179" s="581"/>
      <c r="M179" s="581"/>
      <c r="N179" s="582"/>
      <c r="O179" s="8"/>
      <c r="P179" s="8"/>
    </row>
    <row r="180" spans="1:16" s="462" customFormat="1" ht="18" customHeight="1" x14ac:dyDescent="0.3">
      <c r="A180" s="229">
        <v>173</v>
      </c>
      <c r="B180" s="457"/>
      <c r="C180" s="458"/>
      <c r="D180" s="459" t="s">
        <v>268</v>
      </c>
      <c r="E180" s="460"/>
      <c r="F180" s="460"/>
      <c r="G180" s="1382"/>
      <c r="H180" s="461"/>
      <c r="I180" s="452">
        <f>SUM(J180:N180)</f>
        <v>1000</v>
      </c>
      <c r="J180" s="453"/>
      <c r="K180" s="453"/>
      <c r="L180" s="453">
        <v>1000</v>
      </c>
      <c r="M180" s="453"/>
      <c r="N180" s="454"/>
    </row>
    <row r="181" spans="1:16" s="462" customFormat="1" ht="18" customHeight="1" x14ac:dyDescent="0.3">
      <c r="A181" s="229">
        <v>174</v>
      </c>
      <c r="B181" s="457"/>
      <c r="C181" s="458"/>
      <c r="D181" s="224" t="s">
        <v>796</v>
      </c>
      <c r="E181" s="460"/>
      <c r="F181" s="460"/>
      <c r="G181" s="1382"/>
      <c r="H181" s="461"/>
      <c r="I181" s="977">
        <f>SUM(J181:N181)</f>
        <v>4000</v>
      </c>
      <c r="J181" s="453"/>
      <c r="K181" s="453"/>
      <c r="L181" s="982">
        <v>4000</v>
      </c>
      <c r="M181" s="453"/>
      <c r="N181" s="454"/>
    </row>
    <row r="182" spans="1:16" s="462" customFormat="1" ht="18" customHeight="1" x14ac:dyDescent="0.3">
      <c r="A182" s="229">
        <v>175</v>
      </c>
      <c r="B182" s="457"/>
      <c r="C182" s="458"/>
      <c r="D182" s="976" t="s">
        <v>861</v>
      </c>
      <c r="E182" s="460"/>
      <c r="F182" s="460"/>
      <c r="G182" s="1382"/>
      <c r="H182" s="461"/>
      <c r="I182" s="980">
        <f>SUM(J182:N182)</f>
        <v>624</v>
      </c>
      <c r="J182" s="453"/>
      <c r="K182" s="453"/>
      <c r="L182" s="985">
        <v>624</v>
      </c>
      <c r="M182" s="453"/>
      <c r="N182" s="454"/>
    </row>
    <row r="183" spans="1:16" s="462" customFormat="1" ht="22.5" customHeight="1" x14ac:dyDescent="0.3">
      <c r="A183" s="229">
        <v>176</v>
      </c>
      <c r="B183" s="457"/>
      <c r="C183" s="74">
        <v>40</v>
      </c>
      <c r="D183" s="225" t="s">
        <v>486</v>
      </c>
      <c r="E183" s="460"/>
      <c r="F183" s="82">
        <v>50000</v>
      </c>
      <c r="G183" s="1382"/>
      <c r="H183" s="231" t="s">
        <v>24</v>
      </c>
      <c r="I183" s="452"/>
      <c r="J183" s="453"/>
      <c r="K183" s="453"/>
      <c r="L183" s="453"/>
      <c r="M183" s="453"/>
      <c r="N183" s="454"/>
    </row>
    <row r="184" spans="1:16" s="462" customFormat="1" ht="22.5" customHeight="1" x14ac:dyDescent="0.3">
      <c r="A184" s="229">
        <v>177</v>
      </c>
      <c r="B184" s="457"/>
      <c r="C184" s="74">
        <v>41</v>
      </c>
      <c r="D184" s="225" t="s">
        <v>487</v>
      </c>
      <c r="E184" s="460"/>
      <c r="F184" s="82">
        <v>3200</v>
      </c>
      <c r="G184" s="1382"/>
      <c r="H184" s="231" t="s">
        <v>24</v>
      </c>
      <c r="I184" s="452"/>
      <c r="J184" s="453"/>
      <c r="K184" s="453"/>
      <c r="L184" s="453"/>
      <c r="M184" s="453"/>
      <c r="N184" s="454"/>
    </row>
    <row r="185" spans="1:16" s="13" customFormat="1" ht="22.5" customHeight="1" x14ac:dyDescent="0.35">
      <c r="A185" s="229">
        <v>178</v>
      </c>
      <c r="B185" s="226"/>
      <c r="C185" s="74">
        <v>42</v>
      </c>
      <c r="D185" s="225" t="s">
        <v>11</v>
      </c>
      <c r="E185" s="76">
        <v>38100</v>
      </c>
      <c r="F185" s="76">
        <v>9525</v>
      </c>
      <c r="G185" s="1380">
        <v>3175</v>
      </c>
      <c r="H185" s="231" t="s">
        <v>24</v>
      </c>
      <c r="I185" s="580"/>
      <c r="J185" s="581"/>
      <c r="K185" s="581"/>
      <c r="L185" s="581"/>
      <c r="M185" s="581"/>
      <c r="N185" s="582"/>
      <c r="O185" s="1435"/>
      <c r="P185" s="1435"/>
    </row>
    <row r="186" spans="1:16" s="462" customFormat="1" ht="18" customHeight="1" x14ac:dyDescent="0.3">
      <c r="A186" s="229">
        <v>179</v>
      </c>
      <c r="B186" s="457"/>
      <c r="C186" s="458"/>
      <c r="D186" s="459" t="s">
        <v>268</v>
      </c>
      <c r="E186" s="460"/>
      <c r="F186" s="460"/>
      <c r="G186" s="1382"/>
      <c r="H186" s="461"/>
      <c r="I186" s="452">
        <f>SUM(J186:N186)</f>
        <v>29450</v>
      </c>
      <c r="J186" s="453"/>
      <c r="K186" s="453"/>
      <c r="L186" s="453">
        <v>29450</v>
      </c>
      <c r="M186" s="453"/>
      <c r="N186" s="454"/>
    </row>
    <row r="187" spans="1:16" s="462" customFormat="1" ht="18" customHeight="1" x14ac:dyDescent="0.3">
      <c r="A187" s="229">
        <v>180</v>
      </c>
      <c r="B187" s="457"/>
      <c r="C187" s="458"/>
      <c r="D187" s="224" t="s">
        <v>796</v>
      </c>
      <c r="E187" s="460"/>
      <c r="F187" s="460"/>
      <c r="G187" s="1382"/>
      <c r="H187" s="461"/>
      <c r="I187" s="977">
        <f>SUM(J187:N187)</f>
        <v>35800</v>
      </c>
      <c r="J187" s="453"/>
      <c r="K187" s="453"/>
      <c r="L187" s="982">
        <v>35800</v>
      </c>
      <c r="M187" s="453"/>
      <c r="N187" s="454"/>
    </row>
    <row r="188" spans="1:16" s="462" customFormat="1" ht="18" customHeight="1" x14ac:dyDescent="0.3">
      <c r="A188" s="229">
        <v>181</v>
      </c>
      <c r="B188" s="457"/>
      <c r="C188" s="458"/>
      <c r="D188" s="976" t="s">
        <v>861</v>
      </c>
      <c r="E188" s="460"/>
      <c r="F188" s="460"/>
      <c r="G188" s="1382"/>
      <c r="H188" s="461"/>
      <c r="I188" s="980">
        <f>SUM(J188:N188)</f>
        <v>12700</v>
      </c>
      <c r="J188" s="453"/>
      <c r="K188" s="453"/>
      <c r="L188" s="985">
        <v>12700</v>
      </c>
      <c r="M188" s="453"/>
      <c r="N188" s="454"/>
    </row>
    <row r="189" spans="1:16" s="13" customFormat="1" ht="22.5" customHeight="1" x14ac:dyDescent="0.35">
      <c r="A189" s="229">
        <v>182</v>
      </c>
      <c r="B189" s="226"/>
      <c r="C189" s="74">
        <v>43</v>
      </c>
      <c r="D189" s="225" t="s">
        <v>65</v>
      </c>
      <c r="E189" s="76">
        <v>1624</v>
      </c>
      <c r="F189" s="76">
        <v>5000</v>
      </c>
      <c r="G189" s="1380">
        <v>5775</v>
      </c>
      <c r="H189" s="231" t="s">
        <v>24</v>
      </c>
      <c r="I189" s="580"/>
      <c r="J189" s="581"/>
      <c r="K189" s="581"/>
      <c r="L189" s="581"/>
      <c r="M189" s="581"/>
      <c r="N189" s="582"/>
      <c r="O189" s="1435"/>
      <c r="P189" s="1435"/>
    </row>
    <row r="190" spans="1:16" s="462" customFormat="1" ht="18" customHeight="1" x14ac:dyDescent="0.3">
      <c r="A190" s="229">
        <v>183</v>
      </c>
      <c r="B190" s="457"/>
      <c r="C190" s="458"/>
      <c r="D190" s="459" t="s">
        <v>268</v>
      </c>
      <c r="E190" s="460"/>
      <c r="F190" s="460"/>
      <c r="G190" s="1382"/>
      <c r="H190" s="461"/>
      <c r="I190" s="452">
        <f>SUM(J190:N190)</f>
        <v>5000</v>
      </c>
      <c r="J190" s="453"/>
      <c r="K190" s="453"/>
      <c r="L190" s="453">
        <v>5000</v>
      </c>
      <c r="M190" s="453"/>
      <c r="N190" s="454"/>
    </row>
    <row r="191" spans="1:16" s="462" customFormat="1" ht="18" customHeight="1" x14ac:dyDescent="0.3">
      <c r="A191" s="229">
        <v>184</v>
      </c>
      <c r="B191" s="457"/>
      <c r="C191" s="458"/>
      <c r="D191" s="224" t="s">
        <v>796</v>
      </c>
      <c r="E191" s="460"/>
      <c r="F191" s="460"/>
      <c r="G191" s="1382"/>
      <c r="H191" s="461"/>
      <c r="I191" s="977">
        <f>SUM(J191:N191)</f>
        <v>6651</v>
      </c>
      <c r="J191" s="982">
        <v>39</v>
      </c>
      <c r="K191" s="982">
        <v>16</v>
      </c>
      <c r="L191" s="982">
        <v>6596</v>
      </c>
      <c r="M191" s="453"/>
      <c r="N191" s="454"/>
    </row>
    <row r="192" spans="1:16" s="462" customFormat="1" ht="18" customHeight="1" x14ac:dyDescent="0.3">
      <c r="A192" s="229">
        <v>185</v>
      </c>
      <c r="B192" s="457"/>
      <c r="C192" s="458"/>
      <c r="D192" s="976" t="s">
        <v>860</v>
      </c>
      <c r="E192" s="460"/>
      <c r="F192" s="460"/>
      <c r="G192" s="1382"/>
      <c r="H192" s="461"/>
      <c r="I192" s="980">
        <f>SUM(J192:N192)</f>
        <v>280</v>
      </c>
      <c r="J192" s="985">
        <v>39</v>
      </c>
      <c r="K192" s="985">
        <v>16</v>
      </c>
      <c r="L192" s="985">
        <v>225</v>
      </c>
      <c r="M192" s="453"/>
      <c r="N192" s="454"/>
    </row>
    <row r="193" spans="1:16" s="13" customFormat="1" ht="22.5" customHeight="1" x14ac:dyDescent="0.35">
      <c r="A193" s="229">
        <v>186</v>
      </c>
      <c r="B193" s="226"/>
      <c r="C193" s="74">
        <v>44</v>
      </c>
      <c r="D193" s="225" t="s">
        <v>66</v>
      </c>
      <c r="E193" s="76">
        <f>SUM(E197,E201,E202,E203)</f>
        <v>0</v>
      </c>
      <c r="F193" s="76">
        <f>SUM(F197,F201,F202,F203)</f>
        <v>3100</v>
      </c>
      <c r="G193" s="1380">
        <f>SUM(G197,G201,G202,G203)</f>
        <v>600</v>
      </c>
      <c r="H193" s="231" t="s">
        <v>24</v>
      </c>
      <c r="I193" s="580"/>
      <c r="J193" s="581"/>
      <c r="K193" s="581"/>
      <c r="L193" s="581"/>
      <c r="M193" s="581"/>
      <c r="N193" s="582"/>
      <c r="O193" s="1435"/>
      <c r="P193" s="1435"/>
    </row>
    <row r="194" spans="1:16" s="462" customFormat="1" ht="18" customHeight="1" x14ac:dyDescent="0.3">
      <c r="A194" s="229">
        <v>187</v>
      </c>
      <c r="B194" s="457"/>
      <c r="C194" s="458"/>
      <c r="D194" s="459" t="s">
        <v>268</v>
      </c>
      <c r="E194" s="460"/>
      <c r="F194" s="460"/>
      <c r="G194" s="1382"/>
      <c r="H194" s="461"/>
      <c r="I194" s="452">
        <f>SUM(J194:N194)</f>
        <v>3100</v>
      </c>
      <c r="J194" s="456">
        <f t="shared" ref="J194:N196" si="6">SUM(J198,J204)</f>
        <v>0</v>
      </c>
      <c r="K194" s="456">
        <f t="shared" si="6"/>
        <v>0</v>
      </c>
      <c r="L194" s="456">
        <f t="shared" si="6"/>
        <v>0</v>
      </c>
      <c r="M194" s="456">
        <f t="shared" si="6"/>
        <v>0</v>
      </c>
      <c r="N194" s="598">
        <f t="shared" si="6"/>
        <v>3100</v>
      </c>
    </row>
    <row r="195" spans="1:16" s="462" customFormat="1" ht="18" customHeight="1" x14ac:dyDescent="0.3">
      <c r="A195" s="229">
        <v>188</v>
      </c>
      <c r="B195" s="457"/>
      <c r="C195" s="458"/>
      <c r="D195" s="224" t="s">
        <v>796</v>
      </c>
      <c r="E195" s="460"/>
      <c r="F195" s="460"/>
      <c r="G195" s="1382"/>
      <c r="H195" s="461"/>
      <c r="I195" s="977">
        <f>SUM(J195:N195)</f>
        <v>600</v>
      </c>
      <c r="J195" s="991">
        <f t="shared" si="6"/>
        <v>0</v>
      </c>
      <c r="K195" s="991">
        <f t="shared" si="6"/>
        <v>0</v>
      </c>
      <c r="L195" s="991">
        <f t="shared" si="6"/>
        <v>0</v>
      </c>
      <c r="M195" s="991">
        <f t="shared" si="6"/>
        <v>0</v>
      </c>
      <c r="N195" s="598">
        <f t="shared" si="6"/>
        <v>600</v>
      </c>
    </row>
    <row r="196" spans="1:16" s="462" customFormat="1" ht="18" customHeight="1" x14ac:dyDescent="0.3">
      <c r="A196" s="229">
        <v>189</v>
      </c>
      <c r="B196" s="457"/>
      <c r="C196" s="458"/>
      <c r="D196" s="976" t="s">
        <v>860</v>
      </c>
      <c r="E196" s="460"/>
      <c r="F196" s="460"/>
      <c r="G196" s="1382"/>
      <c r="H196" s="461"/>
      <c r="I196" s="980">
        <f>SUM(J196:N196)</f>
        <v>0</v>
      </c>
      <c r="J196" s="997">
        <f t="shared" si="6"/>
        <v>0</v>
      </c>
      <c r="K196" s="997">
        <f t="shared" si="6"/>
        <v>0</v>
      </c>
      <c r="L196" s="997">
        <f t="shared" si="6"/>
        <v>0</v>
      </c>
      <c r="M196" s="997">
        <f t="shared" si="6"/>
        <v>0</v>
      </c>
      <c r="N196" s="998">
        <f t="shared" si="6"/>
        <v>0</v>
      </c>
    </row>
    <row r="197" spans="1:16" s="235" customFormat="1" ht="18" customHeight="1" x14ac:dyDescent="0.3">
      <c r="A197" s="229">
        <v>190</v>
      </c>
      <c r="B197" s="81"/>
      <c r="C197" s="78"/>
      <c r="D197" s="187" t="s">
        <v>67</v>
      </c>
      <c r="E197" s="76">
        <v>0</v>
      </c>
      <c r="F197" s="82">
        <v>2500</v>
      </c>
      <c r="G197" s="1383"/>
      <c r="H197" s="232"/>
      <c r="I197" s="455"/>
      <c r="J197" s="581"/>
      <c r="K197" s="581"/>
      <c r="L197" s="581"/>
      <c r="M197" s="581"/>
      <c r="N197" s="579"/>
      <c r="P197" s="236"/>
    </row>
    <row r="198" spans="1:16" s="478" customFormat="1" ht="18" customHeight="1" x14ac:dyDescent="0.3">
      <c r="A198" s="229">
        <v>191</v>
      </c>
      <c r="B198" s="468"/>
      <c r="C198" s="458"/>
      <c r="D198" s="476" t="s">
        <v>268</v>
      </c>
      <c r="E198" s="460"/>
      <c r="F198" s="470"/>
      <c r="G198" s="1385"/>
      <c r="H198" s="471"/>
      <c r="I198" s="455">
        <f>SUM(J198:N198)</f>
        <v>2500</v>
      </c>
      <c r="J198" s="472"/>
      <c r="K198" s="472"/>
      <c r="L198" s="472"/>
      <c r="M198" s="472"/>
      <c r="N198" s="579">
        <v>2500</v>
      </c>
      <c r="P198" s="479"/>
    </row>
    <row r="199" spans="1:16" s="478" customFormat="1" ht="18" customHeight="1" x14ac:dyDescent="0.3">
      <c r="A199" s="229">
        <v>192</v>
      </c>
      <c r="B199" s="468"/>
      <c r="C199" s="458"/>
      <c r="D199" s="981" t="s">
        <v>796</v>
      </c>
      <c r="E199" s="460"/>
      <c r="F199" s="470"/>
      <c r="G199" s="1385"/>
      <c r="H199" s="471"/>
      <c r="I199" s="980">
        <f>SUM(J199:N199)</f>
        <v>0</v>
      </c>
      <c r="J199" s="472"/>
      <c r="K199" s="472"/>
      <c r="L199" s="472"/>
      <c r="M199" s="472"/>
      <c r="N199" s="986">
        <v>0</v>
      </c>
      <c r="P199" s="479"/>
    </row>
    <row r="200" spans="1:16" s="478" customFormat="1" ht="18" customHeight="1" x14ac:dyDescent="0.3">
      <c r="A200" s="229">
        <v>193</v>
      </c>
      <c r="B200" s="468"/>
      <c r="C200" s="458"/>
      <c r="D200" s="981" t="s">
        <v>861</v>
      </c>
      <c r="E200" s="460"/>
      <c r="F200" s="470"/>
      <c r="G200" s="1385"/>
      <c r="H200" s="471"/>
      <c r="I200" s="980">
        <f>SUM(J200:N200)</f>
        <v>0</v>
      </c>
      <c r="J200" s="472"/>
      <c r="K200" s="472"/>
      <c r="L200" s="472"/>
      <c r="M200" s="472"/>
      <c r="N200" s="986"/>
      <c r="P200" s="479"/>
    </row>
    <row r="201" spans="1:16" s="235" customFormat="1" ht="18" customHeight="1" x14ac:dyDescent="0.3">
      <c r="A201" s="229">
        <v>194</v>
      </c>
      <c r="B201" s="81"/>
      <c r="C201" s="78"/>
      <c r="D201" s="187" t="s">
        <v>68</v>
      </c>
      <c r="E201" s="82">
        <v>0</v>
      </c>
      <c r="F201" s="82">
        <v>0</v>
      </c>
      <c r="G201" s="1383">
        <v>0</v>
      </c>
      <c r="H201" s="232"/>
      <c r="I201" s="580"/>
      <c r="J201" s="581"/>
      <c r="K201" s="581"/>
      <c r="L201" s="581"/>
      <c r="M201" s="581"/>
      <c r="N201" s="582"/>
      <c r="P201" s="236"/>
    </row>
    <row r="202" spans="1:16" s="235" customFormat="1" ht="18" customHeight="1" x14ac:dyDescent="0.3">
      <c r="A202" s="229">
        <v>195</v>
      </c>
      <c r="B202" s="81"/>
      <c r="C202" s="78"/>
      <c r="D202" s="187" t="s">
        <v>436</v>
      </c>
      <c r="E202" s="82">
        <v>0</v>
      </c>
      <c r="F202" s="82">
        <v>0</v>
      </c>
      <c r="G202" s="1383">
        <v>0</v>
      </c>
      <c r="H202" s="232"/>
      <c r="I202" s="580"/>
      <c r="J202" s="581"/>
      <c r="K202" s="581"/>
      <c r="L202" s="581"/>
      <c r="M202" s="581"/>
      <c r="N202" s="582"/>
      <c r="P202" s="236"/>
    </row>
    <row r="203" spans="1:16" s="235" customFormat="1" ht="18" customHeight="1" x14ac:dyDescent="0.3">
      <c r="A203" s="229">
        <v>196</v>
      </c>
      <c r="B203" s="81"/>
      <c r="C203" s="78"/>
      <c r="D203" s="187" t="s">
        <v>437</v>
      </c>
      <c r="E203" s="82">
        <v>0</v>
      </c>
      <c r="F203" s="82">
        <v>600</v>
      </c>
      <c r="G203" s="1383">
        <v>600</v>
      </c>
      <c r="H203" s="232"/>
      <c r="I203" s="580"/>
      <c r="J203" s="581"/>
      <c r="K203" s="581"/>
      <c r="L203" s="581"/>
      <c r="M203" s="581"/>
      <c r="N203" s="582"/>
      <c r="P203" s="236"/>
    </row>
    <row r="204" spans="1:16" s="478" customFormat="1" ht="18" customHeight="1" x14ac:dyDescent="0.3">
      <c r="A204" s="229">
        <v>197</v>
      </c>
      <c r="B204" s="468"/>
      <c r="C204" s="458"/>
      <c r="D204" s="476" t="s">
        <v>268</v>
      </c>
      <c r="E204" s="460"/>
      <c r="F204" s="470"/>
      <c r="G204" s="1385"/>
      <c r="H204" s="471"/>
      <c r="I204" s="455">
        <f>SUM(J204:N204)</f>
        <v>600</v>
      </c>
      <c r="J204" s="472"/>
      <c r="K204" s="472"/>
      <c r="L204" s="472"/>
      <c r="M204" s="472"/>
      <c r="N204" s="579">
        <v>600</v>
      </c>
      <c r="P204" s="479"/>
    </row>
    <row r="205" spans="1:16" s="478" customFormat="1" ht="18" customHeight="1" x14ac:dyDescent="0.3">
      <c r="A205" s="229">
        <v>198</v>
      </c>
      <c r="B205" s="468"/>
      <c r="C205" s="458"/>
      <c r="D205" s="981" t="s">
        <v>796</v>
      </c>
      <c r="E205" s="460"/>
      <c r="F205" s="470"/>
      <c r="G205" s="1385"/>
      <c r="H205" s="471"/>
      <c r="I205" s="980">
        <f>SUM(J205:N205)</f>
        <v>600</v>
      </c>
      <c r="J205" s="472"/>
      <c r="K205" s="472"/>
      <c r="L205" s="472"/>
      <c r="M205" s="472"/>
      <c r="N205" s="986">
        <v>600</v>
      </c>
      <c r="P205" s="479"/>
    </row>
    <row r="206" spans="1:16" s="478" customFormat="1" ht="18" customHeight="1" x14ac:dyDescent="0.3">
      <c r="A206" s="229">
        <v>199</v>
      </c>
      <c r="B206" s="468"/>
      <c r="C206" s="458"/>
      <c r="D206" s="981" t="s">
        <v>860</v>
      </c>
      <c r="E206" s="460"/>
      <c r="F206" s="470"/>
      <c r="G206" s="1385"/>
      <c r="H206" s="471"/>
      <c r="I206" s="980">
        <f>SUM(J206:N206)</f>
        <v>0</v>
      </c>
      <c r="J206" s="472"/>
      <c r="K206" s="472"/>
      <c r="L206" s="472"/>
      <c r="M206" s="472"/>
      <c r="N206" s="986"/>
      <c r="P206" s="479"/>
    </row>
    <row r="207" spans="1:16" s="13" customFormat="1" ht="22.5" customHeight="1" x14ac:dyDescent="0.35">
      <c r="A207" s="229">
        <v>200</v>
      </c>
      <c r="B207" s="226"/>
      <c r="C207" s="74">
        <v>45</v>
      </c>
      <c r="D207" s="225" t="s">
        <v>301</v>
      </c>
      <c r="E207" s="76">
        <f>SUM(E211,E215,E219,E220)</f>
        <v>5555</v>
      </c>
      <c r="F207" s="76">
        <f>SUM(F211,F215,F219,F220)</f>
        <v>4200</v>
      </c>
      <c r="G207" s="1380">
        <f>SUM(G211,G215,G219,G220)</f>
        <v>1600</v>
      </c>
      <c r="H207" s="231" t="s">
        <v>24</v>
      </c>
      <c r="I207" s="580"/>
      <c r="J207" s="581"/>
      <c r="K207" s="581"/>
      <c r="L207" s="581"/>
      <c r="M207" s="581"/>
      <c r="N207" s="582"/>
      <c r="O207" s="1435"/>
      <c r="P207" s="1435"/>
    </row>
    <row r="208" spans="1:16" s="462" customFormat="1" ht="18" customHeight="1" x14ac:dyDescent="0.3">
      <c r="A208" s="229">
        <v>201</v>
      </c>
      <c r="B208" s="457"/>
      <c r="C208" s="458"/>
      <c r="D208" s="459" t="s">
        <v>268</v>
      </c>
      <c r="E208" s="460"/>
      <c r="F208" s="460"/>
      <c r="G208" s="1382"/>
      <c r="H208" s="461"/>
      <c r="I208" s="452">
        <f>SUM(J208:N208)</f>
        <v>7200</v>
      </c>
      <c r="J208" s="456">
        <f t="shared" ref="J208:N210" si="7">SUM(J216,J221,J212)</f>
        <v>0</v>
      </c>
      <c r="K208" s="456">
        <f t="shared" si="7"/>
        <v>0</v>
      </c>
      <c r="L208" s="456">
        <f t="shared" si="7"/>
        <v>100</v>
      </c>
      <c r="M208" s="456">
        <f t="shared" si="7"/>
        <v>0</v>
      </c>
      <c r="N208" s="598">
        <f t="shared" si="7"/>
        <v>7100</v>
      </c>
    </row>
    <row r="209" spans="1:16" s="462" customFormat="1" ht="18" customHeight="1" x14ac:dyDescent="0.3">
      <c r="A209" s="229">
        <v>202</v>
      </c>
      <c r="B209" s="457"/>
      <c r="C209" s="458"/>
      <c r="D209" s="224" t="s">
        <v>796</v>
      </c>
      <c r="E209" s="460"/>
      <c r="F209" s="460"/>
      <c r="G209" s="1382"/>
      <c r="H209" s="461"/>
      <c r="I209" s="977">
        <f>SUM(J209:N209)</f>
        <v>9200</v>
      </c>
      <c r="J209" s="991">
        <f t="shared" si="7"/>
        <v>0</v>
      </c>
      <c r="K209" s="991">
        <f t="shared" si="7"/>
        <v>0</v>
      </c>
      <c r="L209" s="991">
        <f t="shared" si="7"/>
        <v>5100</v>
      </c>
      <c r="M209" s="991">
        <f t="shared" si="7"/>
        <v>0</v>
      </c>
      <c r="N209" s="996">
        <f t="shared" si="7"/>
        <v>4100</v>
      </c>
    </row>
    <row r="210" spans="1:16" s="462" customFormat="1" ht="18" customHeight="1" x14ac:dyDescent="0.3">
      <c r="A210" s="229">
        <v>203</v>
      </c>
      <c r="B210" s="457"/>
      <c r="C210" s="458"/>
      <c r="D210" s="976" t="s">
        <v>861</v>
      </c>
      <c r="E210" s="460"/>
      <c r="F210" s="460"/>
      <c r="G210" s="1382"/>
      <c r="H210" s="461"/>
      <c r="I210" s="980">
        <f>SUM(J210:N210)</f>
        <v>2000</v>
      </c>
      <c r="J210" s="997">
        <f t="shared" si="7"/>
        <v>0</v>
      </c>
      <c r="K210" s="997">
        <f t="shared" si="7"/>
        <v>0</v>
      </c>
      <c r="L210" s="997">
        <f t="shared" si="7"/>
        <v>2000</v>
      </c>
      <c r="M210" s="997">
        <f t="shared" si="7"/>
        <v>0</v>
      </c>
      <c r="N210" s="998">
        <f t="shared" si="7"/>
        <v>0</v>
      </c>
    </row>
    <row r="211" spans="1:16" s="235" customFormat="1" ht="18" customHeight="1" x14ac:dyDescent="0.3">
      <c r="A211" s="229">
        <v>204</v>
      </c>
      <c r="B211" s="81"/>
      <c r="C211" s="78"/>
      <c r="D211" s="187" t="s">
        <v>245</v>
      </c>
      <c r="E211" s="82">
        <v>0</v>
      </c>
      <c r="F211" s="82"/>
      <c r="G211" s="1383">
        <v>0</v>
      </c>
      <c r="H211" s="232"/>
      <c r="I211" s="455"/>
      <c r="J211" s="578"/>
      <c r="K211" s="578"/>
      <c r="L211" s="578"/>
      <c r="M211" s="578"/>
      <c r="N211" s="579"/>
      <c r="P211" s="236"/>
    </row>
    <row r="212" spans="1:16" s="235" customFormat="1" ht="18" customHeight="1" x14ac:dyDescent="0.3">
      <c r="A212" s="229">
        <v>205</v>
      </c>
      <c r="B212" s="81"/>
      <c r="C212" s="78"/>
      <c r="D212" s="476" t="s">
        <v>268</v>
      </c>
      <c r="E212" s="82"/>
      <c r="F212" s="82"/>
      <c r="G212" s="1383"/>
      <c r="H212" s="232"/>
      <c r="I212" s="455">
        <f>SUM(J212:N212)</f>
        <v>3000</v>
      </c>
      <c r="J212" s="578"/>
      <c r="K212" s="578"/>
      <c r="L212" s="578"/>
      <c r="M212" s="578"/>
      <c r="N212" s="579">
        <v>3000</v>
      </c>
      <c r="P212" s="236"/>
    </row>
    <row r="213" spans="1:16" s="235" customFormat="1" ht="18" customHeight="1" x14ac:dyDescent="0.3">
      <c r="A213" s="229">
        <v>206</v>
      </c>
      <c r="B213" s="81"/>
      <c r="C213" s="78"/>
      <c r="D213" s="981" t="s">
        <v>796</v>
      </c>
      <c r="E213" s="82"/>
      <c r="F213" s="82"/>
      <c r="G213" s="1383"/>
      <c r="H213" s="232"/>
      <c r="I213" s="980">
        <f>SUM(J213:N213)</f>
        <v>5000</v>
      </c>
      <c r="J213" s="578"/>
      <c r="K213" s="578"/>
      <c r="L213" s="985">
        <v>5000</v>
      </c>
      <c r="M213" s="578"/>
      <c r="N213" s="986">
        <v>0</v>
      </c>
      <c r="P213" s="236"/>
    </row>
    <row r="214" spans="1:16" s="235" customFormat="1" ht="18" customHeight="1" x14ac:dyDescent="0.3">
      <c r="A214" s="229">
        <v>207</v>
      </c>
      <c r="B214" s="81"/>
      <c r="C214" s="78"/>
      <c r="D214" s="981" t="s">
        <v>861</v>
      </c>
      <c r="E214" s="82"/>
      <c r="F214" s="82"/>
      <c r="G214" s="1383"/>
      <c r="H214" s="232"/>
      <c r="I214" s="980">
        <f>SUM(J214:N214)</f>
        <v>2000</v>
      </c>
      <c r="J214" s="578"/>
      <c r="K214" s="578"/>
      <c r="L214" s="985">
        <v>2000</v>
      </c>
      <c r="M214" s="578"/>
      <c r="N214" s="986"/>
      <c r="P214" s="236"/>
    </row>
    <row r="215" spans="1:16" s="235" customFormat="1" ht="18" customHeight="1" x14ac:dyDescent="0.3">
      <c r="A215" s="229">
        <v>208</v>
      </c>
      <c r="B215" s="81"/>
      <c r="C215" s="78"/>
      <c r="D215" s="187" t="s">
        <v>282</v>
      </c>
      <c r="E215" s="82">
        <v>5555</v>
      </c>
      <c r="F215" s="82">
        <v>2500</v>
      </c>
      <c r="G215" s="1383">
        <v>0</v>
      </c>
      <c r="H215" s="232"/>
      <c r="I215" s="455"/>
      <c r="J215" s="581"/>
      <c r="K215" s="581"/>
      <c r="L215" s="581"/>
      <c r="M215" s="581"/>
      <c r="N215" s="582"/>
      <c r="P215" s="236"/>
    </row>
    <row r="216" spans="1:16" s="478" customFormat="1" ht="18" customHeight="1" x14ac:dyDescent="0.3">
      <c r="A216" s="229">
        <v>209</v>
      </c>
      <c r="B216" s="468"/>
      <c r="C216" s="458"/>
      <c r="D216" s="476" t="s">
        <v>268</v>
      </c>
      <c r="E216" s="470"/>
      <c r="F216" s="470"/>
      <c r="G216" s="1385"/>
      <c r="H216" s="471"/>
      <c r="I216" s="455">
        <f>SUM(J216:N216)</f>
        <v>2500</v>
      </c>
      <c r="J216" s="472"/>
      <c r="K216" s="472"/>
      <c r="L216" s="472"/>
      <c r="M216" s="472"/>
      <c r="N216" s="579">
        <v>2500</v>
      </c>
      <c r="P216" s="479"/>
    </row>
    <row r="217" spans="1:16" s="478" customFormat="1" ht="18" customHeight="1" x14ac:dyDescent="0.3">
      <c r="A217" s="229">
        <v>210</v>
      </c>
      <c r="B217" s="468"/>
      <c r="C217" s="458"/>
      <c r="D217" s="981" t="s">
        <v>796</v>
      </c>
      <c r="E217" s="470"/>
      <c r="F217" s="470"/>
      <c r="G217" s="1385"/>
      <c r="H217" s="471"/>
      <c r="I217" s="980">
        <f>SUM(J217:N217)</f>
        <v>2500</v>
      </c>
      <c r="J217" s="472"/>
      <c r="K217" s="472"/>
      <c r="L217" s="472"/>
      <c r="M217" s="472"/>
      <c r="N217" s="986">
        <v>2500</v>
      </c>
      <c r="P217" s="479"/>
    </row>
    <row r="218" spans="1:16" s="478" customFormat="1" ht="18" customHeight="1" x14ac:dyDescent="0.3">
      <c r="A218" s="229">
        <v>211</v>
      </c>
      <c r="B218" s="468"/>
      <c r="C218" s="458"/>
      <c r="D218" s="981" t="s">
        <v>860</v>
      </c>
      <c r="E218" s="470"/>
      <c r="F218" s="470"/>
      <c r="G218" s="1385"/>
      <c r="H218" s="471"/>
      <c r="I218" s="980">
        <f>SUM(J218:N218)</f>
        <v>0</v>
      </c>
      <c r="J218" s="472"/>
      <c r="K218" s="472"/>
      <c r="L218" s="472"/>
      <c r="M218" s="472"/>
      <c r="N218" s="986"/>
      <c r="P218" s="479"/>
    </row>
    <row r="219" spans="1:16" s="235" customFormat="1" ht="18" customHeight="1" x14ac:dyDescent="0.3">
      <c r="A219" s="229">
        <v>212</v>
      </c>
      <c r="B219" s="81"/>
      <c r="C219" s="78"/>
      <c r="D219" s="187" t="s">
        <v>247</v>
      </c>
      <c r="E219" s="82">
        <v>0</v>
      </c>
      <c r="F219" s="82">
        <v>0</v>
      </c>
      <c r="G219" s="1383">
        <v>0</v>
      </c>
      <c r="H219" s="232"/>
      <c r="I219" s="455"/>
      <c r="J219" s="581"/>
      <c r="K219" s="581"/>
      <c r="L219" s="581"/>
      <c r="M219" s="581"/>
      <c r="N219" s="582"/>
      <c r="P219" s="236"/>
    </row>
    <row r="220" spans="1:16" s="235" customFormat="1" ht="18" customHeight="1" x14ac:dyDescent="0.3">
      <c r="A220" s="229">
        <v>213</v>
      </c>
      <c r="B220" s="81"/>
      <c r="C220" s="78"/>
      <c r="D220" s="187" t="s">
        <v>246</v>
      </c>
      <c r="E220" s="82">
        <v>0</v>
      </c>
      <c r="F220" s="82">
        <v>1700</v>
      </c>
      <c r="G220" s="1383">
        <v>1600</v>
      </c>
      <c r="H220" s="232"/>
      <c r="I220" s="455"/>
      <c r="J220" s="581"/>
      <c r="K220" s="581"/>
      <c r="L220" s="581"/>
      <c r="M220" s="581"/>
      <c r="N220" s="582"/>
      <c r="P220" s="236"/>
    </row>
    <row r="221" spans="1:16" s="478" customFormat="1" ht="18" customHeight="1" x14ac:dyDescent="0.3">
      <c r="A221" s="229">
        <v>214</v>
      </c>
      <c r="B221" s="468"/>
      <c r="C221" s="458"/>
      <c r="D221" s="476" t="s">
        <v>268</v>
      </c>
      <c r="E221" s="460"/>
      <c r="F221" s="470"/>
      <c r="G221" s="1385"/>
      <c r="H221" s="471"/>
      <c r="I221" s="455">
        <f>SUM(J221:N221)</f>
        <v>1700</v>
      </c>
      <c r="J221" s="472"/>
      <c r="K221" s="472"/>
      <c r="L221" s="472">
        <v>100</v>
      </c>
      <c r="M221" s="472"/>
      <c r="N221" s="473">
        <v>1600</v>
      </c>
      <c r="P221" s="479"/>
    </row>
    <row r="222" spans="1:16" s="478" customFormat="1" ht="18" customHeight="1" x14ac:dyDescent="0.3">
      <c r="A222" s="229">
        <v>215</v>
      </c>
      <c r="B222" s="468"/>
      <c r="C222" s="458"/>
      <c r="D222" s="981" t="s">
        <v>796</v>
      </c>
      <c r="E222" s="460"/>
      <c r="F222" s="470"/>
      <c r="G222" s="1385"/>
      <c r="H222" s="471"/>
      <c r="I222" s="980">
        <f>SUM(J222:N222)</f>
        <v>1700</v>
      </c>
      <c r="J222" s="472"/>
      <c r="K222" s="472"/>
      <c r="L222" s="985">
        <v>100</v>
      </c>
      <c r="M222" s="985"/>
      <c r="N222" s="986">
        <v>1600</v>
      </c>
      <c r="P222" s="479"/>
    </row>
    <row r="223" spans="1:16" s="478" customFormat="1" ht="18" customHeight="1" x14ac:dyDescent="0.3">
      <c r="A223" s="229">
        <v>216</v>
      </c>
      <c r="B223" s="468"/>
      <c r="C223" s="458"/>
      <c r="D223" s="981" t="s">
        <v>860</v>
      </c>
      <c r="E223" s="460"/>
      <c r="F223" s="470"/>
      <c r="G223" s="1385"/>
      <c r="H223" s="471"/>
      <c r="I223" s="980">
        <f>SUM(J223:N223)</f>
        <v>0</v>
      </c>
      <c r="J223" s="472"/>
      <c r="K223" s="472"/>
      <c r="L223" s="985"/>
      <c r="M223" s="985"/>
      <c r="N223" s="986"/>
      <c r="P223" s="479"/>
    </row>
    <row r="224" spans="1:16" s="70" customFormat="1" ht="22.5" customHeight="1" x14ac:dyDescent="0.3">
      <c r="A224" s="229">
        <v>217</v>
      </c>
      <c r="B224" s="227"/>
      <c r="C224" s="74">
        <v>46</v>
      </c>
      <c r="D224" s="225" t="s">
        <v>330</v>
      </c>
      <c r="E224" s="76">
        <v>0</v>
      </c>
      <c r="F224" s="82">
        <v>5000</v>
      </c>
      <c r="G224" s="1383">
        <v>4500</v>
      </c>
      <c r="H224" s="231" t="s">
        <v>24</v>
      </c>
      <c r="I224" s="455"/>
      <c r="J224" s="578"/>
      <c r="K224" s="578"/>
      <c r="L224" s="578"/>
      <c r="M224" s="578"/>
      <c r="N224" s="579"/>
      <c r="P224" s="1435"/>
    </row>
    <row r="225" spans="1:16" s="474" customFormat="1" ht="18" customHeight="1" x14ac:dyDescent="0.3">
      <c r="A225" s="229">
        <v>218</v>
      </c>
      <c r="B225" s="468"/>
      <c r="C225" s="458"/>
      <c r="D225" s="459" t="s">
        <v>268</v>
      </c>
      <c r="E225" s="460"/>
      <c r="F225" s="470"/>
      <c r="G225" s="1385"/>
      <c r="H225" s="471"/>
      <c r="I225" s="452">
        <f>SUM(J225:N225)</f>
        <v>3000</v>
      </c>
      <c r="J225" s="472"/>
      <c r="K225" s="472"/>
      <c r="L225" s="472"/>
      <c r="M225" s="472"/>
      <c r="N225" s="454">
        <v>3000</v>
      </c>
      <c r="P225" s="462"/>
    </row>
    <row r="226" spans="1:16" s="474" customFormat="1" ht="18" customHeight="1" x14ac:dyDescent="0.3">
      <c r="A226" s="229">
        <v>219</v>
      </c>
      <c r="B226" s="468"/>
      <c r="C226" s="458"/>
      <c r="D226" s="224" t="s">
        <v>796</v>
      </c>
      <c r="E226" s="460"/>
      <c r="F226" s="470"/>
      <c r="G226" s="1385"/>
      <c r="H226" s="471"/>
      <c r="I226" s="977">
        <f>SUM(J226:N226)</f>
        <v>3000</v>
      </c>
      <c r="J226" s="472"/>
      <c r="K226" s="472"/>
      <c r="L226" s="472"/>
      <c r="M226" s="472"/>
      <c r="N226" s="983">
        <v>3000</v>
      </c>
      <c r="P226" s="462"/>
    </row>
    <row r="227" spans="1:16" s="474" customFormat="1" ht="18" customHeight="1" x14ac:dyDescent="0.3">
      <c r="A227" s="229">
        <v>220</v>
      </c>
      <c r="B227" s="468"/>
      <c r="C227" s="458"/>
      <c r="D227" s="976" t="s">
        <v>860</v>
      </c>
      <c r="E227" s="460"/>
      <c r="F227" s="470"/>
      <c r="G227" s="1385"/>
      <c r="H227" s="471"/>
      <c r="I227" s="980">
        <f>SUM(J227:N227)</f>
        <v>0</v>
      </c>
      <c r="J227" s="472"/>
      <c r="K227" s="472"/>
      <c r="L227" s="472"/>
      <c r="M227" s="472"/>
      <c r="N227" s="983"/>
      <c r="P227" s="462"/>
    </row>
    <row r="228" spans="1:16" s="13" customFormat="1" ht="22.5" customHeight="1" x14ac:dyDescent="0.35">
      <c r="A228" s="229">
        <v>221</v>
      </c>
      <c r="B228" s="226"/>
      <c r="C228" s="74">
        <v>47</v>
      </c>
      <c r="D228" s="225" t="s">
        <v>302</v>
      </c>
      <c r="E228" s="76">
        <v>829</v>
      </c>
      <c r="F228" s="76">
        <v>1000</v>
      </c>
      <c r="G228" s="1380">
        <v>0</v>
      </c>
      <c r="H228" s="231" t="s">
        <v>23</v>
      </c>
      <c r="I228" s="455"/>
      <c r="J228" s="581"/>
      <c r="K228" s="581"/>
      <c r="L228" s="581"/>
      <c r="M228" s="581"/>
      <c r="N228" s="582"/>
      <c r="O228" s="1435"/>
      <c r="P228" s="1435"/>
    </row>
    <row r="229" spans="1:16" s="462" customFormat="1" ht="18" customHeight="1" x14ac:dyDescent="0.3">
      <c r="A229" s="229">
        <v>222</v>
      </c>
      <c r="B229" s="457"/>
      <c r="C229" s="458"/>
      <c r="D229" s="459" t="s">
        <v>268</v>
      </c>
      <c r="E229" s="460"/>
      <c r="F229" s="460"/>
      <c r="G229" s="1382"/>
      <c r="H229" s="461"/>
      <c r="I229" s="452">
        <f>SUM(J229:N229)</f>
        <v>1000</v>
      </c>
      <c r="J229" s="453"/>
      <c r="K229" s="453"/>
      <c r="L229" s="453"/>
      <c r="M229" s="453">
        <v>1000</v>
      </c>
      <c r="N229" s="454"/>
    </row>
    <row r="230" spans="1:16" s="462" customFormat="1" ht="18" customHeight="1" x14ac:dyDescent="0.3">
      <c r="A230" s="229">
        <v>223</v>
      </c>
      <c r="B230" s="457"/>
      <c r="C230" s="458"/>
      <c r="D230" s="224" t="s">
        <v>796</v>
      </c>
      <c r="E230" s="460"/>
      <c r="F230" s="460"/>
      <c r="G230" s="1382"/>
      <c r="H230" s="461"/>
      <c r="I230" s="977">
        <f>SUM(J230:N230)</f>
        <v>1000</v>
      </c>
      <c r="J230" s="453"/>
      <c r="K230" s="453"/>
      <c r="L230" s="453"/>
      <c r="M230" s="982">
        <v>1000</v>
      </c>
      <c r="N230" s="454"/>
    </row>
    <row r="231" spans="1:16" s="462" customFormat="1" ht="18" customHeight="1" x14ac:dyDescent="0.3">
      <c r="A231" s="229">
        <v>224</v>
      </c>
      <c r="B231" s="457"/>
      <c r="C231" s="458"/>
      <c r="D231" s="976" t="s">
        <v>860</v>
      </c>
      <c r="E231" s="460"/>
      <c r="F231" s="460"/>
      <c r="G231" s="1382"/>
      <c r="H231" s="461"/>
      <c r="I231" s="980">
        <f>SUM(J231:N231)</f>
        <v>0</v>
      </c>
      <c r="J231" s="453"/>
      <c r="K231" s="453"/>
      <c r="L231" s="453"/>
      <c r="M231" s="982"/>
      <c r="N231" s="454"/>
    </row>
    <row r="232" spans="1:16" s="13" customFormat="1" ht="22.5" customHeight="1" x14ac:dyDescent="0.35">
      <c r="A232" s="229">
        <v>225</v>
      </c>
      <c r="B232" s="226"/>
      <c r="C232" s="74">
        <v>48</v>
      </c>
      <c r="D232" s="225" t="s">
        <v>248</v>
      </c>
      <c r="E232" s="76">
        <v>0</v>
      </c>
      <c r="F232" s="76">
        <v>100</v>
      </c>
      <c r="G232" s="1380">
        <v>0</v>
      </c>
      <c r="H232" s="231" t="s">
        <v>23</v>
      </c>
      <c r="I232" s="452"/>
      <c r="J232" s="570"/>
      <c r="K232" s="570"/>
      <c r="L232" s="570"/>
      <c r="M232" s="570"/>
      <c r="N232" s="571"/>
      <c r="P232" s="1435"/>
    </row>
    <row r="233" spans="1:16" s="462" customFormat="1" ht="18" customHeight="1" x14ac:dyDescent="0.3">
      <c r="A233" s="229">
        <v>226</v>
      </c>
      <c r="B233" s="457"/>
      <c r="C233" s="458"/>
      <c r="D233" s="459" t="s">
        <v>268</v>
      </c>
      <c r="E233" s="460"/>
      <c r="F233" s="460"/>
      <c r="G233" s="1382"/>
      <c r="H233" s="461"/>
      <c r="I233" s="452">
        <f>SUM(J233:N233)</f>
        <v>100</v>
      </c>
      <c r="J233" s="453"/>
      <c r="K233" s="453"/>
      <c r="L233" s="453"/>
      <c r="M233" s="453">
        <v>100</v>
      </c>
      <c r="N233" s="454"/>
    </row>
    <row r="234" spans="1:16" s="462" customFormat="1" ht="18" customHeight="1" x14ac:dyDescent="0.3">
      <c r="A234" s="229">
        <v>227</v>
      </c>
      <c r="B234" s="457"/>
      <c r="C234" s="458"/>
      <c r="D234" s="224" t="s">
        <v>796</v>
      </c>
      <c r="E234" s="460"/>
      <c r="F234" s="460"/>
      <c r="G234" s="1382"/>
      <c r="H234" s="464"/>
      <c r="I234" s="977">
        <f>SUM(J234:N234)</f>
        <v>200</v>
      </c>
      <c r="J234" s="453"/>
      <c r="K234" s="453"/>
      <c r="L234" s="453"/>
      <c r="M234" s="982">
        <v>200</v>
      </c>
      <c r="N234" s="454"/>
    </row>
    <row r="235" spans="1:16" s="462" customFormat="1" ht="18" customHeight="1" x14ac:dyDescent="0.3">
      <c r="A235" s="229">
        <v>228</v>
      </c>
      <c r="B235" s="457"/>
      <c r="C235" s="458"/>
      <c r="D235" s="976" t="s">
        <v>861</v>
      </c>
      <c r="E235" s="460"/>
      <c r="F235" s="460"/>
      <c r="G235" s="1382"/>
      <c r="H235" s="464"/>
      <c r="I235" s="980">
        <f>SUM(J235:N235)</f>
        <v>0</v>
      </c>
      <c r="J235" s="453"/>
      <c r="K235" s="453"/>
      <c r="L235" s="453"/>
      <c r="M235" s="985"/>
      <c r="N235" s="454"/>
    </row>
    <row r="236" spans="1:16" s="1435" customFormat="1" ht="22.5" customHeight="1" x14ac:dyDescent="0.3">
      <c r="A236" s="229">
        <v>229</v>
      </c>
      <c r="B236" s="223"/>
      <c r="C236" s="74">
        <v>49</v>
      </c>
      <c r="D236" s="224" t="s">
        <v>303</v>
      </c>
      <c r="E236" s="76">
        <v>0</v>
      </c>
      <c r="F236" s="76">
        <v>85</v>
      </c>
      <c r="G236" s="1380">
        <v>0</v>
      </c>
      <c r="H236" s="233" t="s">
        <v>23</v>
      </c>
      <c r="I236" s="452"/>
      <c r="J236" s="570"/>
      <c r="K236" s="570"/>
      <c r="L236" s="570"/>
      <c r="M236" s="570"/>
      <c r="N236" s="571"/>
    </row>
    <row r="237" spans="1:16" s="462" customFormat="1" ht="18" customHeight="1" x14ac:dyDescent="0.3">
      <c r="A237" s="229">
        <v>230</v>
      </c>
      <c r="B237" s="457"/>
      <c r="C237" s="458"/>
      <c r="D237" s="459" t="s">
        <v>268</v>
      </c>
      <c r="E237" s="460"/>
      <c r="F237" s="460"/>
      <c r="G237" s="1382"/>
      <c r="H237" s="464"/>
      <c r="I237" s="452">
        <f>SUM(J237:N237)</f>
        <v>85</v>
      </c>
      <c r="J237" s="453"/>
      <c r="K237" s="453"/>
      <c r="L237" s="453">
        <v>85</v>
      </c>
      <c r="M237" s="453"/>
      <c r="N237" s="454"/>
    </row>
    <row r="238" spans="1:16" s="462" customFormat="1" ht="18" customHeight="1" x14ac:dyDescent="0.3">
      <c r="A238" s="229">
        <v>231</v>
      </c>
      <c r="B238" s="457"/>
      <c r="C238" s="458"/>
      <c r="D238" s="224" t="s">
        <v>796</v>
      </c>
      <c r="E238" s="460"/>
      <c r="F238" s="460"/>
      <c r="G238" s="1382"/>
      <c r="H238" s="464"/>
      <c r="I238" s="977">
        <f>SUM(J238:N238)</f>
        <v>85</v>
      </c>
      <c r="J238" s="453"/>
      <c r="K238" s="453"/>
      <c r="L238" s="982">
        <v>85</v>
      </c>
      <c r="M238" s="453"/>
      <c r="N238" s="454"/>
    </row>
    <row r="239" spans="1:16" s="462" customFormat="1" ht="18" customHeight="1" x14ac:dyDescent="0.3">
      <c r="A239" s="229">
        <v>232</v>
      </c>
      <c r="B239" s="457"/>
      <c r="C239" s="458"/>
      <c r="D239" s="976" t="s">
        <v>860</v>
      </c>
      <c r="E239" s="460"/>
      <c r="F239" s="460"/>
      <c r="G239" s="1382"/>
      <c r="H239" s="464"/>
      <c r="I239" s="980">
        <f>SUM(J239:N239)</f>
        <v>0</v>
      </c>
      <c r="J239" s="453"/>
      <c r="K239" s="453"/>
      <c r="L239" s="982"/>
      <c r="M239" s="453"/>
      <c r="N239" s="454"/>
    </row>
    <row r="240" spans="1:16" s="13" customFormat="1" ht="22.5" customHeight="1" x14ac:dyDescent="0.35">
      <c r="A240" s="229">
        <v>233</v>
      </c>
      <c r="B240" s="226"/>
      <c r="C240" s="74">
        <v>50</v>
      </c>
      <c r="D240" s="225" t="s">
        <v>249</v>
      </c>
      <c r="E240" s="76">
        <f>SUM(E244,E256,E260,E264,E268,E272,E276,E280)+E252+E248</f>
        <v>14479</v>
      </c>
      <c r="F240" s="76">
        <f>SUM(F244,F256,F260,F264,F268,F272,F276,F280)+F252+F248</f>
        <v>30260</v>
      </c>
      <c r="G240" s="76">
        <f>SUM(G244,G256,G260,G264,G268,G272,G276,G280)+G252+G248</f>
        <v>12995</v>
      </c>
      <c r="H240" s="231"/>
      <c r="I240" s="575"/>
      <c r="J240" s="576"/>
      <c r="K240" s="576"/>
      <c r="L240" s="576"/>
      <c r="M240" s="576"/>
      <c r="N240" s="577"/>
      <c r="O240" s="1435"/>
      <c r="P240" s="1435"/>
    </row>
    <row r="241" spans="1:16" s="462" customFormat="1" ht="18" customHeight="1" x14ac:dyDescent="0.3">
      <c r="A241" s="229">
        <v>234</v>
      </c>
      <c r="B241" s="457"/>
      <c r="C241" s="458"/>
      <c r="D241" s="459" t="s">
        <v>268</v>
      </c>
      <c r="E241" s="460"/>
      <c r="F241" s="460"/>
      <c r="G241" s="1382"/>
      <c r="H241" s="461"/>
      <c r="I241" s="452">
        <f>SUM(J241:N241)</f>
        <v>33010</v>
      </c>
      <c r="J241" s="453">
        <f t="shared" ref="J241:N243" si="8">SUM(J245,J257,J261,J265,J269,J273,J277,J281)+J249+J253</f>
        <v>0</v>
      </c>
      <c r="K241" s="453">
        <f t="shared" si="8"/>
        <v>0</v>
      </c>
      <c r="L241" s="453">
        <f t="shared" si="8"/>
        <v>0</v>
      </c>
      <c r="M241" s="453">
        <f t="shared" si="8"/>
        <v>33010</v>
      </c>
      <c r="N241" s="454">
        <f t="shared" si="8"/>
        <v>0</v>
      </c>
    </row>
    <row r="242" spans="1:16" s="462" customFormat="1" ht="18" customHeight="1" x14ac:dyDescent="0.3">
      <c r="A242" s="229">
        <v>235</v>
      </c>
      <c r="B242" s="457"/>
      <c r="C242" s="458"/>
      <c r="D242" s="224" t="s">
        <v>796</v>
      </c>
      <c r="E242" s="460"/>
      <c r="F242" s="460"/>
      <c r="G242" s="1382"/>
      <c r="H242" s="461"/>
      <c r="I242" s="977">
        <f>SUM(J242:N242)</f>
        <v>58316</v>
      </c>
      <c r="J242" s="982">
        <f t="shared" si="8"/>
        <v>0</v>
      </c>
      <c r="K242" s="982">
        <f t="shared" si="8"/>
        <v>0</v>
      </c>
      <c r="L242" s="982">
        <f t="shared" si="8"/>
        <v>0</v>
      </c>
      <c r="M242" s="982">
        <f t="shared" si="8"/>
        <v>58316</v>
      </c>
      <c r="N242" s="983">
        <f t="shared" si="8"/>
        <v>0</v>
      </c>
    </row>
    <row r="243" spans="1:16" s="462" customFormat="1" ht="18" customHeight="1" x14ac:dyDescent="0.3">
      <c r="A243" s="229">
        <v>236</v>
      </c>
      <c r="B243" s="457"/>
      <c r="C243" s="458"/>
      <c r="D243" s="976" t="s">
        <v>861</v>
      </c>
      <c r="E243" s="460"/>
      <c r="F243" s="460"/>
      <c r="G243" s="1382"/>
      <c r="H243" s="461"/>
      <c r="I243" s="980">
        <f>SUM(J243:N243)</f>
        <v>5082</v>
      </c>
      <c r="J243" s="985">
        <f t="shared" si="8"/>
        <v>0</v>
      </c>
      <c r="K243" s="985">
        <f t="shared" si="8"/>
        <v>0</v>
      </c>
      <c r="L243" s="985">
        <f t="shared" si="8"/>
        <v>0</v>
      </c>
      <c r="M243" s="985">
        <f t="shared" si="8"/>
        <v>5082</v>
      </c>
      <c r="N243" s="986">
        <f t="shared" si="8"/>
        <v>0</v>
      </c>
    </row>
    <row r="244" spans="1:16" s="235" customFormat="1" ht="18" customHeight="1" x14ac:dyDescent="0.3">
      <c r="A244" s="229">
        <v>237</v>
      </c>
      <c r="B244" s="81"/>
      <c r="C244" s="78"/>
      <c r="D244" s="187" t="s">
        <v>253</v>
      </c>
      <c r="E244" s="82">
        <v>2152</v>
      </c>
      <c r="F244" s="82">
        <v>2500</v>
      </c>
      <c r="G244" s="1383">
        <v>2029</v>
      </c>
      <c r="H244" s="232" t="s">
        <v>23</v>
      </c>
      <c r="I244" s="455"/>
      <c r="J244" s="578"/>
      <c r="K244" s="578"/>
      <c r="L244" s="578"/>
      <c r="M244" s="578"/>
      <c r="N244" s="579"/>
      <c r="P244" s="236"/>
    </row>
    <row r="245" spans="1:16" s="478" customFormat="1" ht="18" customHeight="1" x14ac:dyDescent="0.3">
      <c r="A245" s="229">
        <v>238</v>
      </c>
      <c r="B245" s="468"/>
      <c r="C245" s="458"/>
      <c r="D245" s="476" t="s">
        <v>268</v>
      </c>
      <c r="E245" s="470"/>
      <c r="F245" s="470"/>
      <c r="G245" s="1385"/>
      <c r="H245" s="471"/>
      <c r="I245" s="455">
        <f>SUM(J245:N245)</f>
        <v>3000</v>
      </c>
      <c r="J245" s="472"/>
      <c r="K245" s="472"/>
      <c r="L245" s="472"/>
      <c r="M245" s="472">
        <v>3000</v>
      </c>
      <c r="N245" s="473"/>
      <c r="P245" s="479"/>
    </row>
    <row r="246" spans="1:16" s="478" customFormat="1" ht="18" customHeight="1" x14ac:dyDescent="0.3">
      <c r="A246" s="229">
        <v>239</v>
      </c>
      <c r="B246" s="468"/>
      <c r="C246" s="458"/>
      <c r="D246" s="981" t="s">
        <v>796</v>
      </c>
      <c r="E246" s="470"/>
      <c r="F246" s="470"/>
      <c r="G246" s="1385"/>
      <c r="H246" s="471"/>
      <c r="I246" s="1508">
        <f>SUM(J246:N246)</f>
        <v>5479</v>
      </c>
      <c r="J246" s="472"/>
      <c r="K246" s="472"/>
      <c r="L246" s="472"/>
      <c r="M246" s="1323">
        <v>5479</v>
      </c>
      <c r="N246" s="473"/>
      <c r="P246" s="479"/>
    </row>
    <row r="247" spans="1:16" s="478" customFormat="1" ht="18" customHeight="1" x14ac:dyDescent="0.3">
      <c r="A247" s="229">
        <v>240</v>
      </c>
      <c r="B247" s="468"/>
      <c r="C247" s="458"/>
      <c r="D247" s="981" t="s">
        <v>861</v>
      </c>
      <c r="E247" s="470"/>
      <c r="F247" s="470"/>
      <c r="G247" s="1385"/>
      <c r="H247" s="471"/>
      <c r="I247" s="980">
        <f>SUM(J247:N247)</f>
        <v>977</v>
      </c>
      <c r="J247" s="472"/>
      <c r="K247" s="472"/>
      <c r="L247" s="472"/>
      <c r="M247" s="985">
        <v>977</v>
      </c>
      <c r="N247" s="473"/>
      <c r="P247" s="479"/>
    </row>
    <row r="248" spans="1:16" s="478" customFormat="1" ht="18" customHeight="1" x14ac:dyDescent="0.3">
      <c r="A248" s="229">
        <v>241</v>
      </c>
      <c r="B248" s="468"/>
      <c r="C248" s="458"/>
      <c r="D248" s="188" t="s">
        <v>488</v>
      </c>
      <c r="E248" s="470">
        <v>3180</v>
      </c>
      <c r="F248" s="82">
        <v>13500</v>
      </c>
      <c r="G248" s="1383">
        <v>1740</v>
      </c>
      <c r="H248" s="232" t="s">
        <v>24</v>
      </c>
      <c r="I248" s="455"/>
      <c r="J248" s="472"/>
      <c r="K248" s="472"/>
      <c r="L248" s="472"/>
      <c r="M248" s="472"/>
      <c r="N248" s="473"/>
      <c r="P248" s="479"/>
    </row>
    <row r="249" spans="1:16" s="478" customFormat="1" ht="18" customHeight="1" x14ac:dyDescent="0.3">
      <c r="A249" s="229">
        <v>242</v>
      </c>
      <c r="B249" s="468"/>
      <c r="C249" s="458"/>
      <c r="D249" s="476" t="s">
        <v>268</v>
      </c>
      <c r="E249" s="470"/>
      <c r="F249" s="470"/>
      <c r="G249" s="1385"/>
      <c r="H249" s="471"/>
      <c r="I249" s="455">
        <f>SUM(J249:N249)</f>
        <v>13500</v>
      </c>
      <c r="J249" s="472"/>
      <c r="K249" s="472"/>
      <c r="L249" s="472"/>
      <c r="M249" s="472">
        <v>13500</v>
      </c>
      <c r="N249" s="473"/>
      <c r="P249" s="479"/>
    </row>
    <row r="250" spans="1:16" s="478" customFormat="1" ht="18" customHeight="1" x14ac:dyDescent="0.3">
      <c r="A250" s="229">
        <v>243</v>
      </c>
      <c r="B250" s="468"/>
      <c r="C250" s="458"/>
      <c r="D250" s="981" t="s">
        <v>796</v>
      </c>
      <c r="E250" s="470"/>
      <c r="F250" s="470"/>
      <c r="G250" s="1385"/>
      <c r="H250" s="471"/>
      <c r="I250" s="1508">
        <f>SUM(J250:N250)</f>
        <v>30580</v>
      </c>
      <c r="J250" s="472"/>
      <c r="K250" s="472"/>
      <c r="L250" s="472"/>
      <c r="M250" s="1323">
        <v>30580</v>
      </c>
      <c r="N250" s="473"/>
      <c r="P250" s="479"/>
    </row>
    <row r="251" spans="1:16" s="478" customFormat="1" ht="18" customHeight="1" x14ac:dyDescent="0.3">
      <c r="A251" s="229">
        <v>244</v>
      </c>
      <c r="B251" s="468"/>
      <c r="C251" s="458"/>
      <c r="D251" s="981" t="s">
        <v>861</v>
      </c>
      <c r="E251" s="470"/>
      <c r="F251" s="470"/>
      <c r="G251" s="1385"/>
      <c r="H251" s="471"/>
      <c r="I251" s="980">
        <f>SUM(J251:N251)</f>
        <v>870</v>
      </c>
      <c r="J251" s="472"/>
      <c r="K251" s="472"/>
      <c r="L251" s="472"/>
      <c r="M251" s="985">
        <v>870</v>
      </c>
      <c r="N251" s="473"/>
      <c r="P251" s="479"/>
    </row>
    <row r="252" spans="1:16" s="235" customFormat="1" ht="18" customHeight="1" x14ac:dyDescent="0.3">
      <c r="A252" s="229">
        <v>245</v>
      </c>
      <c r="B252" s="81"/>
      <c r="C252" s="78"/>
      <c r="D252" s="188" t="s">
        <v>371</v>
      </c>
      <c r="E252" s="82">
        <v>256</v>
      </c>
      <c r="F252" s="82">
        <v>1500</v>
      </c>
      <c r="G252" s="1383">
        <v>1130</v>
      </c>
      <c r="H252" s="232" t="s">
        <v>24</v>
      </c>
      <c r="I252" s="455"/>
      <c r="J252" s="578"/>
      <c r="K252" s="578"/>
      <c r="L252" s="578"/>
      <c r="M252" s="578"/>
      <c r="N252" s="579"/>
      <c r="P252" s="236"/>
    </row>
    <row r="253" spans="1:16" s="478" customFormat="1" ht="18" customHeight="1" x14ac:dyDescent="0.3">
      <c r="A253" s="229">
        <v>246</v>
      </c>
      <c r="B253" s="468"/>
      <c r="C253" s="458"/>
      <c r="D253" s="476" t="s">
        <v>268</v>
      </c>
      <c r="E253" s="470"/>
      <c r="F253" s="470"/>
      <c r="G253" s="1385"/>
      <c r="H253" s="471"/>
      <c r="I253" s="455">
        <f>SUM(J253:N253)</f>
        <v>3000</v>
      </c>
      <c r="J253" s="472"/>
      <c r="K253" s="472"/>
      <c r="L253" s="472"/>
      <c r="M253" s="472">
        <v>3000</v>
      </c>
      <c r="N253" s="473"/>
      <c r="P253" s="479"/>
    </row>
    <row r="254" spans="1:16" s="478" customFormat="1" ht="18" customHeight="1" x14ac:dyDescent="0.3">
      <c r="A254" s="229">
        <v>247</v>
      </c>
      <c r="B254" s="468"/>
      <c r="C254" s="458"/>
      <c r="D254" s="981" t="s">
        <v>796</v>
      </c>
      <c r="E254" s="470"/>
      <c r="F254" s="470"/>
      <c r="G254" s="1385"/>
      <c r="H254" s="471"/>
      <c r="I254" s="1508">
        <f>SUM(J254:N254)</f>
        <v>3139</v>
      </c>
      <c r="J254" s="472"/>
      <c r="K254" s="472"/>
      <c r="L254" s="472"/>
      <c r="M254" s="1323">
        <v>3139</v>
      </c>
      <c r="N254" s="473"/>
      <c r="P254" s="479"/>
    </row>
    <row r="255" spans="1:16" s="478" customFormat="1" ht="18" customHeight="1" x14ac:dyDescent="0.3">
      <c r="A255" s="229">
        <v>248</v>
      </c>
      <c r="B255" s="468"/>
      <c r="C255" s="458"/>
      <c r="D255" s="981" t="s">
        <v>861</v>
      </c>
      <c r="E255" s="470"/>
      <c r="F255" s="470"/>
      <c r="G255" s="1385"/>
      <c r="H255" s="471"/>
      <c r="I255" s="980">
        <f>SUM(J255:N255)</f>
        <v>0</v>
      </c>
      <c r="J255" s="472"/>
      <c r="K255" s="472"/>
      <c r="L255" s="472"/>
      <c r="M255" s="985"/>
      <c r="N255" s="473"/>
      <c r="P255" s="479"/>
    </row>
    <row r="256" spans="1:16" s="235" customFormat="1" ht="18" customHeight="1" x14ac:dyDescent="0.3">
      <c r="A256" s="229">
        <v>249</v>
      </c>
      <c r="B256" s="81"/>
      <c r="C256" s="78"/>
      <c r="D256" s="188" t="s">
        <v>304</v>
      </c>
      <c r="E256" s="82">
        <v>6639</v>
      </c>
      <c r="F256" s="82">
        <v>8000</v>
      </c>
      <c r="G256" s="1383">
        <v>5441</v>
      </c>
      <c r="H256" s="232" t="s">
        <v>24</v>
      </c>
      <c r="I256" s="580"/>
      <c r="J256" s="581"/>
      <c r="K256" s="581"/>
      <c r="L256" s="581"/>
      <c r="M256" s="581"/>
      <c r="N256" s="582"/>
      <c r="P256" s="236"/>
    </row>
    <row r="257" spans="1:16" s="478" customFormat="1" ht="18" customHeight="1" x14ac:dyDescent="0.3">
      <c r="A257" s="229">
        <v>250</v>
      </c>
      <c r="B257" s="468"/>
      <c r="C257" s="458"/>
      <c r="D257" s="476" t="s">
        <v>268</v>
      </c>
      <c r="E257" s="470"/>
      <c r="F257" s="470"/>
      <c r="G257" s="1385"/>
      <c r="H257" s="471"/>
      <c r="I257" s="455">
        <f>SUM(J257:N257)</f>
        <v>8000</v>
      </c>
      <c r="J257" s="472"/>
      <c r="K257" s="472"/>
      <c r="L257" s="472"/>
      <c r="M257" s="472">
        <v>8000</v>
      </c>
      <c r="N257" s="473"/>
      <c r="P257" s="479"/>
    </row>
    <row r="258" spans="1:16" s="478" customFormat="1" ht="18" customHeight="1" x14ac:dyDescent="0.3">
      <c r="A258" s="229">
        <v>251</v>
      </c>
      <c r="B258" s="468"/>
      <c r="C258" s="458"/>
      <c r="D258" s="981" t="s">
        <v>796</v>
      </c>
      <c r="E258" s="470"/>
      <c r="F258" s="470"/>
      <c r="G258" s="1385"/>
      <c r="H258" s="471"/>
      <c r="I258" s="1508">
        <f>SUM(J258:N258)</f>
        <v>12013</v>
      </c>
      <c r="J258" s="472"/>
      <c r="K258" s="472"/>
      <c r="L258" s="472"/>
      <c r="M258" s="1323">
        <v>12013</v>
      </c>
      <c r="N258" s="473"/>
      <c r="P258" s="479"/>
    </row>
    <row r="259" spans="1:16" s="478" customFormat="1" ht="18" customHeight="1" x14ac:dyDescent="0.3">
      <c r="A259" s="229">
        <v>252</v>
      </c>
      <c r="B259" s="468"/>
      <c r="C259" s="458"/>
      <c r="D259" s="981" t="s">
        <v>861</v>
      </c>
      <c r="E259" s="470"/>
      <c r="F259" s="470"/>
      <c r="G259" s="1385"/>
      <c r="H259" s="471"/>
      <c r="I259" s="980">
        <f>SUM(J259:N259)</f>
        <v>2190</v>
      </c>
      <c r="J259" s="472"/>
      <c r="K259" s="472"/>
      <c r="L259" s="472"/>
      <c r="M259" s="985">
        <v>2190</v>
      </c>
      <c r="N259" s="473"/>
      <c r="P259" s="479"/>
    </row>
    <row r="260" spans="1:16" s="235" customFormat="1" ht="18" customHeight="1" x14ac:dyDescent="0.3">
      <c r="A260" s="229">
        <v>253</v>
      </c>
      <c r="B260" s="81"/>
      <c r="C260" s="78"/>
      <c r="D260" s="188" t="s">
        <v>305</v>
      </c>
      <c r="E260" s="82">
        <v>0</v>
      </c>
      <c r="F260" s="82">
        <v>100</v>
      </c>
      <c r="G260" s="1383">
        <v>0</v>
      </c>
      <c r="H260" s="232" t="s">
        <v>24</v>
      </c>
      <c r="I260" s="580"/>
      <c r="J260" s="581"/>
      <c r="K260" s="581"/>
      <c r="L260" s="581"/>
      <c r="M260" s="581"/>
      <c r="N260" s="582"/>
      <c r="P260" s="236"/>
    </row>
    <row r="261" spans="1:16" s="478" customFormat="1" ht="18" customHeight="1" x14ac:dyDescent="0.3">
      <c r="A261" s="229">
        <v>254</v>
      </c>
      <c r="B261" s="468"/>
      <c r="C261" s="458"/>
      <c r="D261" s="476" t="s">
        <v>268</v>
      </c>
      <c r="E261" s="470"/>
      <c r="F261" s="470"/>
      <c r="G261" s="1385"/>
      <c r="H261" s="471"/>
      <c r="I261" s="455">
        <f>SUM(J261:N261)</f>
        <v>100</v>
      </c>
      <c r="J261" s="472"/>
      <c r="K261" s="472"/>
      <c r="L261" s="472"/>
      <c r="M261" s="472">
        <v>100</v>
      </c>
      <c r="N261" s="473"/>
      <c r="P261" s="479"/>
    </row>
    <row r="262" spans="1:16" s="478" customFormat="1" ht="18" customHeight="1" x14ac:dyDescent="0.3">
      <c r="A262" s="229">
        <v>255</v>
      </c>
      <c r="B262" s="468"/>
      <c r="C262" s="458"/>
      <c r="D262" s="981" t="s">
        <v>796</v>
      </c>
      <c r="E262" s="470"/>
      <c r="F262" s="470"/>
      <c r="G262" s="1385"/>
      <c r="H262" s="471"/>
      <c r="I262" s="1508">
        <f>SUM(J262:N262)</f>
        <v>200</v>
      </c>
      <c r="J262" s="472"/>
      <c r="K262" s="472"/>
      <c r="L262" s="472"/>
      <c r="M262" s="1323">
        <v>200</v>
      </c>
      <c r="N262" s="473"/>
      <c r="P262" s="479"/>
    </row>
    <row r="263" spans="1:16" s="478" customFormat="1" ht="18" customHeight="1" x14ac:dyDescent="0.3">
      <c r="A263" s="229">
        <v>256</v>
      </c>
      <c r="B263" s="468"/>
      <c r="C263" s="458"/>
      <c r="D263" s="981" t="s">
        <v>861</v>
      </c>
      <c r="E263" s="470"/>
      <c r="F263" s="470"/>
      <c r="G263" s="1385"/>
      <c r="H263" s="471"/>
      <c r="I263" s="980">
        <f>SUM(J263:N263)</f>
        <v>0</v>
      </c>
      <c r="J263" s="472"/>
      <c r="K263" s="472"/>
      <c r="L263" s="472"/>
      <c r="M263" s="985"/>
      <c r="N263" s="473"/>
      <c r="P263" s="479"/>
    </row>
    <row r="264" spans="1:16" s="235" customFormat="1" ht="18" customHeight="1" x14ac:dyDescent="0.3">
      <c r="A264" s="229">
        <v>257</v>
      </c>
      <c r="B264" s="81"/>
      <c r="C264" s="78"/>
      <c r="D264" s="188" t="s">
        <v>306</v>
      </c>
      <c r="E264" s="82">
        <v>855</v>
      </c>
      <c r="F264" s="82">
        <v>2000</v>
      </c>
      <c r="G264" s="1383">
        <v>1240</v>
      </c>
      <c r="H264" s="232" t="s">
        <v>24</v>
      </c>
      <c r="I264" s="580"/>
      <c r="J264" s="581"/>
      <c r="K264" s="581"/>
      <c r="L264" s="581"/>
      <c r="M264" s="581"/>
      <c r="N264" s="582"/>
      <c r="P264" s="236"/>
    </row>
    <row r="265" spans="1:16" s="478" customFormat="1" ht="18" customHeight="1" x14ac:dyDescent="0.3">
      <c r="A265" s="229">
        <v>258</v>
      </c>
      <c r="B265" s="468"/>
      <c r="C265" s="458"/>
      <c r="D265" s="476" t="s">
        <v>268</v>
      </c>
      <c r="E265" s="470"/>
      <c r="F265" s="470"/>
      <c r="G265" s="1385"/>
      <c r="H265" s="471"/>
      <c r="I265" s="455">
        <f>SUM(J265:N265)</f>
        <v>2000</v>
      </c>
      <c r="J265" s="472"/>
      <c r="K265" s="472"/>
      <c r="L265" s="472"/>
      <c r="M265" s="472">
        <v>2000</v>
      </c>
      <c r="N265" s="473"/>
      <c r="P265" s="479"/>
    </row>
    <row r="266" spans="1:16" s="478" customFormat="1" ht="18" customHeight="1" x14ac:dyDescent="0.3">
      <c r="A266" s="229">
        <v>259</v>
      </c>
      <c r="B266" s="468"/>
      <c r="C266" s="458"/>
      <c r="D266" s="981" t="s">
        <v>796</v>
      </c>
      <c r="E266" s="470"/>
      <c r="F266" s="470"/>
      <c r="G266" s="1385"/>
      <c r="H266" s="471"/>
      <c r="I266" s="1508">
        <f>SUM(J266:N266)</f>
        <v>2760</v>
      </c>
      <c r="J266" s="472"/>
      <c r="K266" s="472"/>
      <c r="L266" s="472"/>
      <c r="M266" s="1323">
        <v>2760</v>
      </c>
      <c r="N266" s="473"/>
      <c r="P266" s="479"/>
    </row>
    <row r="267" spans="1:16" s="478" customFormat="1" ht="18" customHeight="1" x14ac:dyDescent="0.3">
      <c r="A267" s="229">
        <v>260</v>
      </c>
      <c r="B267" s="468"/>
      <c r="C267" s="458"/>
      <c r="D267" s="981" t="s">
        <v>861</v>
      </c>
      <c r="E267" s="470"/>
      <c r="F267" s="470"/>
      <c r="G267" s="1385"/>
      <c r="H267" s="471"/>
      <c r="I267" s="980">
        <f>SUM(J267:N267)</f>
        <v>640</v>
      </c>
      <c r="J267" s="472"/>
      <c r="K267" s="472"/>
      <c r="L267" s="472"/>
      <c r="M267" s="985">
        <v>640</v>
      </c>
      <c r="N267" s="473"/>
      <c r="P267" s="479"/>
    </row>
    <row r="268" spans="1:16" s="235" customFormat="1" ht="18" customHeight="1" x14ac:dyDescent="0.3">
      <c r="A268" s="229">
        <v>261</v>
      </c>
      <c r="B268" s="81"/>
      <c r="C268" s="78"/>
      <c r="D268" s="188" t="s">
        <v>307</v>
      </c>
      <c r="E268" s="82">
        <v>0</v>
      </c>
      <c r="F268" s="82">
        <v>50</v>
      </c>
      <c r="G268" s="1383">
        <v>35</v>
      </c>
      <c r="H268" s="232" t="s">
        <v>24</v>
      </c>
      <c r="I268" s="580"/>
      <c r="J268" s="581"/>
      <c r="K268" s="581"/>
      <c r="L268" s="581"/>
      <c r="M268" s="581"/>
      <c r="N268" s="582"/>
      <c r="P268" s="236"/>
    </row>
    <row r="269" spans="1:16" s="478" customFormat="1" ht="18" customHeight="1" x14ac:dyDescent="0.3">
      <c r="A269" s="229">
        <v>262</v>
      </c>
      <c r="B269" s="468"/>
      <c r="C269" s="458"/>
      <c r="D269" s="476" t="s">
        <v>268</v>
      </c>
      <c r="E269" s="470"/>
      <c r="F269" s="470"/>
      <c r="G269" s="1385"/>
      <c r="H269" s="471"/>
      <c r="I269" s="455">
        <f>SUM(J269:N269)</f>
        <v>500</v>
      </c>
      <c r="J269" s="472"/>
      <c r="K269" s="472"/>
      <c r="L269" s="472"/>
      <c r="M269" s="472">
        <v>500</v>
      </c>
      <c r="N269" s="473"/>
      <c r="P269" s="479"/>
    </row>
    <row r="270" spans="1:16" s="478" customFormat="1" ht="18" customHeight="1" x14ac:dyDescent="0.3">
      <c r="A270" s="229">
        <v>263</v>
      </c>
      <c r="B270" s="468"/>
      <c r="C270" s="458"/>
      <c r="D270" s="981" t="s">
        <v>796</v>
      </c>
      <c r="E270" s="470"/>
      <c r="F270" s="470"/>
      <c r="G270" s="1385"/>
      <c r="H270" s="471"/>
      <c r="I270" s="1508">
        <f>SUM(J270:N270)</f>
        <v>515</v>
      </c>
      <c r="J270" s="472"/>
      <c r="K270" s="472"/>
      <c r="L270" s="472"/>
      <c r="M270" s="1323">
        <v>515</v>
      </c>
      <c r="N270" s="473"/>
      <c r="P270" s="479"/>
    </row>
    <row r="271" spans="1:16" s="478" customFormat="1" ht="18" customHeight="1" x14ac:dyDescent="0.3">
      <c r="A271" s="229">
        <v>264</v>
      </c>
      <c r="B271" s="468"/>
      <c r="C271" s="458"/>
      <c r="D271" s="981" t="s">
        <v>861</v>
      </c>
      <c r="E271" s="470"/>
      <c r="F271" s="470"/>
      <c r="G271" s="1385"/>
      <c r="H271" s="471"/>
      <c r="I271" s="980">
        <f>SUM(J271:N271)</f>
        <v>0</v>
      </c>
      <c r="J271" s="472"/>
      <c r="K271" s="472"/>
      <c r="L271" s="472"/>
      <c r="M271" s="985"/>
      <c r="N271" s="473"/>
      <c r="P271" s="479"/>
    </row>
    <row r="272" spans="1:16" s="235" customFormat="1" ht="18" customHeight="1" x14ac:dyDescent="0.3">
      <c r="A272" s="229">
        <v>265</v>
      </c>
      <c r="B272" s="81"/>
      <c r="C272" s="78"/>
      <c r="D272" s="188" t="s">
        <v>308</v>
      </c>
      <c r="E272" s="82">
        <v>1365</v>
      </c>
      <c r="F272" s="82">
        <v>1700</v>
      </c>
      <c r="G272" s="1383">
        <v>1380</v>
      </c>
      <c r="H272" s="232" t="s">
        <v>24</v>
      </c>
      <c r="I272" s="580"/>
      <c r="J272" s="581"/>
      <c r="K272" s="581"/>
      <c r="L272" s="581"/>
      <c r="M272" s="581"/>
      <c r="N272" s="582"/>
      <c r="P272" s="236"/>
    </row>
    <row r="273" spans="1:16" s="478" customFormat="1" ht="18" customHeight="1" x14ac:dyDescent="0.3">
      <c r="A273" s="229">
        <v>266</v>
      </c>
      <c r="B273" s="468"/>
      <c r="C273" s="458"/>
      <c r="D273" s="476" t="s">
        <v>268</v>
      </c>
      <c r="E273" s="470"/>
      <c r="F273" s="470"/>
      <c r="G273" s="1385"/>
      <c r="H273" s="471"/>
      <c r="I273" s="455">
        <f>SUM(J273:N273)</f>
        <v>2000</v>
      </c>
      <c r="J273" s="472"/>
      <c r="K273" s="472"/>
      <c r="L273" s="472"/>
      <c r="M273" s="472">
        <v>2000</v>
      </c>
      <c r="N273" s="473"/>
      <c r="P273" s="479"/>
    </row>
    <row r="274" spans="1:16" s="478" customFormat="1" ht="18" customHeight="1" x14ac:dyDescent="0.3">
      <c r="A274" s="229">
        <v>267</v>
      </c>
      <c r="B274" s="468"/>
      <c r="C274" s="458"/>
      <c r="D274" s="981" t="s">
        <v>796</v>
      </c>
      <c r="E274" s="470"/>
      <c r="F274" s="470"/>
      <c r="G274" s="1385"/>
      <c r="H274" s="471"/>
      <c r="I274" s="1508">
        <f>SUM(J274:N274)</f>
        <v>2320</v>
      </c>
      <c r="J274" s="472"/>
      <c r="K274" s="472"/>
      <c r="L274" s="472"/>
      <c r="M274" s="1323">
        <v>2320</v>
      </c>
      <c r="N274" s="473"/>
      <c r="P274" s="479"/>
    </row>
    <row r="275" spans="1:16" s="478" customFormat="1" ht="18" customHeight="1" x14ac:dyDescent="0.3">
      <c r="A275" s="229">
        <v>268</v>
      </c>
      <c r="B275" s="468"/>
      <c r="C275" s="458"/>
      <c r="D275" s="981" t="s">
        <v>861</v>
      </c>
      <c r="E275" s="470"/>
      <c r="F275" s="470"/>
      <c r="G275" s="1385"/>
      <c r="H275" s="471"/>
      <c r="I275" s="980">
        <f>SUM(J275:N275)</f>
        <v>405</v>
      </c>
      <c r="J275" s="472"/>
      <c r="K275" s="472"/>
      <c r="L275" s="472"/>
      <c r="M275" s="985">
        <v>405</v>
      </c>
      <c r="N275" s="473"/>
      <c r="P275" s="479"/>
    </row>
    <row r="276" spans="1:16" s="235" customFormat="1" ht="18" customHeight="1" x14ac:dyDescent="0.3">
      <c r="A276" s="229">
        <v>269</v>
      </c>
      <c r="B276" s="81"/>
      <c r="C276" s="78"/>
      <c r="D276" s="188" t="s">
        <v>309</v>
      </c>
      <c r="E276" s="82">
        <v>0</v>
      </c>
      <c r="F276" s="82">
        <v>400</v>
      </c>
      <c r="G276" s="1383">
        <v>0</v>
      </c>
      <c r="H276" s="232" t="s">
        <v>24</v>
      </c>
      <c r="I276" s="580"/>
      <c r="J276" s="581"/>
      <c r="K276" s="581"/>
      <c r="L276" s="581"/>
      <c r="M276" s="581"/>
      <c r="N276" s="582"/>
      <c r="P276" s="236"/>
    </row>
    <row r="277" spans="1:16" s="478" customFormat="1" ht="18" customHeight="1" x14ac:dyDescent="0.3">
      <c r="A277" s="229">
        <v>270</v>
      </c>
      <c r="B277" s="468"/>
      <c r="C277" s="458"/>
      <c r="D277" s="476" t="s">
        <v>268</v>
      </c>
      <c r="E277" s="460"/>
      <c r="F277" s="470"/>
      <c r="G277" s="1385"/>
      <c r="H277" s="471"/>
      <c r="I277" s="455">
        <f>SUM(J277:N277)</f>
        <v>400</v>
      </c>
      <c r="J277" s="472"/>
      <c r="K277" s="472"/>
      <c r="L277" s="472"/>
      <c r="M277" s="472">
        <v>400</v>
      </c>
      <c r="N277" s="473"/>
      <c r="P277" s="479"/>
    </row>
    <row r="278" spans="1:16" s="478" customFormat="1" ht="18" customHeight="1" x14ac:dyDescent="0.3">
      <c r="A278" s="229">
        <v>271</v>
      </c>
      <c r="B278" s="468"/>
      <c r="C278" s="458"/>
      <c r="D278" s="981" t="s">
        <v>796</v>
      </c>
      <c r="E278" s="460"/>
      <c r="F278" s="470"/>
      <c r="G278" s="1385"/>
      <c r="H278" s="471"/>
      <c r="I278" s="1508">
        <f>SUM(J278:N278)</f>
        <v>800</v>
      </c>
      <c r="J278" s="472"/>
      <c r="K278" s="472"/>
      <c r="L278" s="472"/>
      <c r="M278" s="1323">
        <v>800</v>
      </c>
      <c r="N278" s="473"/>
      <c r="P278" s="479"/>
    </row>
    <row r="279" spans="1:16" s="478" customFormat="1" ht="18" customHeight="1" x14ac:dyDescent="0.3">
      <c r="A279" s="229">
        <v>272</v>
      </c>
      <c r="B279" s="468"/>
      <c r="C279" s="458"/>
      <c r="D279" s="981" t="s">
        <v>861</v>
      </c>
      <c r="E279" s="460"/>
      <c r="F279" s="470"/>
      <c r="G279" s="1385"/>
      <c r="H279" s="471"/>
      <c r="I279" s="980">
        <f>SUM(J279:N279)</f>
        <v>0</v>
      </c>
      <c r="J279" s="472"/>
      <c r="K279" s="472"/>
      <c r="L279" s="472"/>
      <c r="M279" s="985"/>
      <c r="N279" s="473"/>
      <c r="P279" s="479"/>
    </row>
    <row r="280" spans="1:16" s="235" customFormat="1" ht="18" customHeight="1" x14ac:dyDescent="0.3">
      <c r="A280" s="229">
        <v>273</v>
      </c>
      <c r="B280" s="81"/>
      <c r="C280" s="78"/>
      <c r="D280" s="188" t="s">
        <v>310</v>
      </c>
      <c r="E280" s="76">
        <v>32</v>
      </c>
      <c r="F280" s="82">
        <v>510</v>
      </c>
      <c r="G280" s="1383">
        <v>0</v>
      </c>
      <c r="H280" s="232" t="s">
        <v>24</v>
      </c>
      <c r="I280" s="455"/>
      <c r="J280" s="578"/>
      <c r="K280" s="578"/>
      <c r="L280" s="578"/>
      <c r="M280" s="578"/>
      <c r="N280" s="579"/>
      <c r="P280" s="236"/>
    </row>
    <row r="281" spans="1:16" s="478" customFormat="1" ht="18" customHeight="1" x14ac:dyDescent="0.3">
      <c r="A281" s="229">
        <v>274</v>
      </c>
      <c r="B281" s="468"/>
      <c r="C281" s="458"/>
      <c r="D281" s="476" t="s">
        <v>268</v>
      </c>
      <c r="E281" s="460"/>
      <c r="F281" s="470"/>
      <c r="G281" s="1385"/>
      <c r="H281" s="471"/>
      <c r="I281" s="455">
        <f>SUM(J281:N281)</f>
        <v>510</v>
      </c>
      <c r="J281" s="472"/>
      <c r="K281" s="472"/>
      <c r="L281" s="472"/>
      <c r="M281" s="472">
        <v>510</v>
      </c>
      <c r="N281" s="473"/>
      <c r="P281" s="479"/>
    </row>
    <row r="282" spans="1:16" s="478" customFormat="1" ht="18" customHeight="1" x14ac:dyDescent="0.3">
      <c r="A282" s="229">
        <v>275</v>
      </c>
      <c r="B282" s="468"/>
      <c r="C282" s="458"/>
      <c r="D282" s="981" t="s">
        <v>796</v>
      </c>
      <c r="E282" s="460"/>
      <c r="F282" s="470"/>
      <c r="G282" s="1385"/>
      <c r="H282" s="471"/>
      <c r="I282" s="1508">
        <f>SUM(J282:N282)</f>
        <v>510</v>
      </c>
      <c r="J282" s="472"/>
      <c r="K282" s="472"/>
      <c r="L282" s="472"/>
      <c r="M282" s="1323">
        <v>510</v>
      </c>
      <c r="N282" s="473"/>
      <c r="P282" s="479"/>
    </row>
    <row r="283" spans="1:16" s="478" customFormat="1" ht="18" customHeight="1" x14ac:dyDescent="0.3">
      <c r="A283" s="229">
        <v>276</v>
      </c>
      <c r="B283" s="468"/>
      <c r="C283" s="458"/>
      <c r="D283" s="981" t="s">
        <v>860</v>
      </c>
      <c r="E283" s="460"/>
      <c r="F283" s="470"/>
      <c r="G283" s="1385"/>
      <c r="H283" s="471"/>
      <c r="I283" s="980">
        <f>SUM(J283:N283)</f>
        <v>0</v>
      </c>
      <c r="J283" s="472"/>
      <c r="K283" s="472"/>
      <c r="L283" s="472"/>
      <c r="M283" s="985"/>
      <c r="N283" s="473"/>
      <c r="P283" s="479"/>
    </row>
    <row r="284" spans="1:16" s="3" customFormat="1" ht="22.5" customHeight="1" x14ac:dyDescent="0.3">
      <c r="A284" s="229">
        <v>277</v>
      </c>
      <c r="B284" s="73"/>
      <c r="C284" s="74">
        <v>51</v>
      </c>
      <c r="D284" s="225" t="s">
        <v>69</v>
      </c>
      <c r="E284" s="76">
        <v>4817</v>
      </c>
      <c r="F284" s="76">
        <v>5000</v>
      </c>
      <c r="G284" s="1380">
        <v>4167</v>
      </c>
      <c r="H284" s="231" t="s">
        <v>23</v>
      </c>
      <c r="I284" s="452"/>
      <c r="J284" s="570"/>
      <c r="K284" s="570"/>
      <c r="L284" s="570"/>
      <c r="M284" s="570"/>
      <c r="N284" s="571"/>
      <c r="P284" s="8"/>
    </row>
    <row r="285" spans="1:16" s="462" customFormat="1" ht="18" customHeight="1" x14ac:dyDescent="0.3">
      <c r="A285" s="229">
        <v>278</v>
      </c>
      <c r="B285" s="457"/>
      <c r="C285" s="458"/>
      <c r="D285" s="459" t="s">
        <v>268</v>
      </c>
      <c r="E285" s="460"/>
      <c r="F285" s="460"/>
      <c r="G285" s="1382"/>
      <c r="H285" s="461"/>
      <c r="I285" s="452">
        <f>SUM(J285:N285)</f>
        <v>6500</v>
      </c>
      <c r="J285" s="453"/>
      <c r="K285" s="453"/>
      <c r="L285" s="453"/>
      <c r="M285" s="453">
        <v>6500</v>
      </c>
      <c r="N285" s="454"/>
    </row>
    <row r="286" spans="1:16" s="462" customFormat="1" ht="18" customHeight="1" x14ac:dyDescent="0.3">
      <c r="A286" s="229">
        <v>279</v>
      </c>
      <c r="B286" s="457"/>
      <c r="C286" s="458"/>
      <c r="D286" s="224" t="s">
        <v>796</v>
      </c>
      <c r="E286" s="460"/>
      <c r="F286" s="460"/>
      <c r="G286" s="1382"/>
      <c r="H286" s="461"/>
      <c r="I286" s="977">
        <f>SUM(J286:N286)</f>
        <v>7500</v>
      </c>
      <c r="J286" s="453"/>
      <c r="K286" s="453"/>
      <c r="L286" s="453"/>
      <c r="M286" s="982">
        <v>7500</v>
      </c>
      <c r="N286" s="454"/>
    </row>
    <row r="287" spans="1:16" s="462" customFormat="1" ht="18" customHeight="1" x14ac:dyDescent="0.3">
      <c r="A287" s="229">
        <v>280</v>
      </c>
      <c r="B287" s="457"/>
      <c r="C287" s="458"/>
      <c r="D287" s="976" t="s">
        <v>861</v>
      </c>
      <c r="E287" s="460"/>
      <c r="F287" s="460"/>
      <c r="G287" s="1382"/>
      <c r="H287" s="461"/>
      <c r="I287" s="980">
        <f>SUM(J287:N287)</f>
        <v>1781</v>
      </c>
      <c r="J287" s="453"/>
      <c r="K287" s="453"/>
      <c r="L287" s="453"/>
      <c r="M287" s="985">
        <v>1781</v>
      </c>
      <c r="N287" s="454"/>
    </row>
    <row r="288" spans="1:16" s="13" customFormat="1" ht="22.5" customHeight="1" x14ac:dyDescent="0.35">
      <c r="A288" s="229">
        <v>281</v>
      </c>
      <c r="B288" s="226"/>
      <c r="C288" s="74">
        <v>52</v>
      </c>
      <c r="D288" s="225" t="s">
        <v>70</v>
      </c>
      <c r="E288" s="76">
        <v>2001</v>
      </c>
      <c r="F288" s="76">
        <v>5515</v>
      </c>
      <c r="G288" s="1380">
        <v>975</v>
      </c>
      <c r="H288" s="231" t="s">
        <v>24</v>
      </c>
      <c r="I288" s="452"/>
      <c r="J288" s="570"/>
      <c r="K288" s="570"/>
      <c r="L288" s="570"/>
      <c r="M288" s="570"/>
      <c r="N288" s="571"/>
      <c r="P288" s="1435"/>
    </row>
    <row r="289" spans="1:16" s="462" customFormat="1" ht="18" customHeight="1" x14ac:dyDescent="0.3">
      <c r="A289" s="229">
        <v>282</v>
      </c>
      <c r="B289" s="457"/>
      <c r="C289" s="458"/>
      <c r="D289" s="459" t="s">
        <v>268</v>
      </c>
      <c r="E289" s="460"/>
      <c r="F289" s="460"/>
      <c r="G289" s="1382"/>
      <c r="H289" s="461"/>
      <c r="I289" s="452">
        <f>SUM(J289:N289)</f>
        <v>6300</v>
      </c>
      <c r="J289" s="453">
        <v>5850</v>
      </c>
      <c r="K289" s="453">
        <v>450</v>
      </c>
      <c r="L289" s="453"/>
      <c r="M289" s="453"/>
      <c r="N289" s="454"/>
    </row>
    <row r="290" spans="1:16" s="462" customFormat="1" ht="18" customHeight="1" x14ac:dyDescent="0.3">
      <c r="A290" s="229">
        <v>283</v>
      </c>
      <c r="B290" s="457"/>
      <c r="C290" s="458"/>
      <c r="D290" s="224" t="s">
        <v>796</v>
      </c>
      <c r="E290" s="460"/>
      <c r="F290" s="460"/>
      <c r="G290" s="1382"/>
      <c r="H290" s="461"/>
      <c r="I290" s="977">
        <f>SUM(J290:N290)</f>
        <v>6539</v>
      </c>
      <c r="J290" s="982">
        <v>5850</v>
      </c>
      <c r="K290" s="982">
        <v>450</v>
      </c>
      <c r="L290" s="453"/>
      <c r="M290" s="453"/>
      <c r="N290" s="983">
        <v>239</v>
      </c>
    </row>
    <row r="291" spans="1:16" s="462" customFormat="1" ht="18" customHeight="1" x14ac:dyDescent="0.3">
      <c r="A291" s="229">
        <v>284</v>
      </c>
      <c r="B291" s="457"/>
      <c r="C291" s="458"/>
      <c r="D291" s="976" t="s">
        <v>861</v>
      </c>
      <c r="E291" s="460"/>
      <c r="F291" s="460"/>
      <c r="G291" s="1382"/>
      <c r="H291" s="461"/>
      <c r="I291" s="980">
        <f>SUM(J291:N291)</f>
        <v>298</v>
      </c>
      <c r="J291" s="985">
        <v>55</v>
      </c>
      <c r="K291" s="985">
        <v>4</v>
      </c>
      <c r="L291" s="578"/>
      <c r="M291" s="453"/>
      <c r="N291" s="986">
        <v>239</v>
      </c>
    </row>
    <row r="292" spans="1:16" s="13" customFormat="1" ht="22.5" customHeight="1" x14ac:dyDescent="0.35">
      <c r="A292" s="229">
        <v>285</v>
      </c>
      <c r="B292" s="226"/>
      <c r="C292" s="74">
        <v>53</v>
      </c>
      <c r="D292" s="225" t="s">
        <v>238</v>
      </c>
      <c r="E292" s="76">
        <v>1117</v>
      </c>
      <c r="F292" s="76">
        <v>2080</v>
      </c>
      <c r="G292" s="1380">
        <v>1272</v>
      </c>
      <c r="H292" s="231" t="s">
        <v>24</v>
      </c>
      <c r="I292" s="452"/>
      <c r="J292" s="570"/>
      <c r="K292" s="570"/>
      <c r="L292" s="570"/>
      <c r="M292" s="570"/>
      <c r="N292" s="571"/>
      <c r="P292" s="1435"/>
    </row>
    <row r="293" spans="1:16" s="462" customFormat="1" ht="18" customHeight="1" x14ac:dyDescent="0.3">
      <c r="A293" s="229">
        <v>286</v>
      </c>
      <c r="B293" s="457"/>
      <c r="C293" s="458"/>
      <c r="D293" s="459" t="s">
        <v>268</v>
      </c>
      <c r="E293" s="460"/>
      <c r="F293" s="460"/>
      <c r="G293" s="1382"/>
      <c r="H293" s="461"/>
      <c r="I293" s="452">
        <f>SUM(J293:N293)</f>
        <v>2430</v>
      </c>
      <c r="J293" s="453">
        <v>2110</v>
      </c>
      <c r="K293" s="453">
        <v>320</v>
      </c>
      <c r="L293" s="453"/>
      <c r="M293" s="453"/>
      <c r="N293" s="454"/>
    </row>
    <row r="294" spans="1:16" s="462" customFormat="1" ht="18" customHeight="1" x14ac:dyDescent="0.3">
      <c r="A294" s="229">
        <v>287</v>
      </c>
      <c r="B294" s="457"/>
      <c r="C294" s="458"/>
      <c r="D294" s="224" t="s">
        <v>796</v>
      </c>
      <c r="E294" s="460"/>
      <c r="F294" s="460"/>
      <c r="G294" s="1382"/>
      <c r="H294" s="461"/>
      <c r="I294" s="977">
        <f>SUM(J294:N294)</f>
        <v>2430</v>
      </c>
      <c r="J294" s="982">
        <v>2110</v>
      </c>
      <c r="K294" s="982">
        <v>320</v>
      </c>
      <c r="L294" s="453"/>
      <c r="M294" s="453"/>
      <c r="N294" s="454"/>
    </row>
    <row r="295" spans="1:16" s="462" customFormat="1" ht="18" customHeight="1" x14ac:dyDescent="0.3">
      <c r="A295" s="229">
        <v>288</v>
      </c>
      <c r="B295" s="457"/>
      <c r="C295" s="458"/>
      <c r="D295" s="976" t="s">
        <v>860</v>
      </c>
      <c r="E295" s="460"/>
      <c r="F295" s="460"/>
      <c r="G295" s="1382"/>
      <c r="H295" s="461"/>
      <c r="I295" s="980">
        <f>SUM(J295:N295)</f>
        <v>0</v>
      </c>
      <c r="J295" s="982"/>
      <c r="K295" s="982"/>
      <c r="L295" s="453"/>
      <c r="M295" s="453"/>
      <c r="N295" s="454"/>
    </row>
    <row r="296" spans="1:16" s="13" customFormat="1" ht="22.5" customHeight="1" x14ac:dyDescent="0.35">
      <c r="A296" s="229">
        <v>289</v>
      </c>
      <c r="B296" s="226"/>
      <c r="C296" s="74">
        <v>54</v>
      </c>
      <c r="D296" s="225" t="s">
        <v>71</v>
      </c>
      <c r="E296" s="76">
        <v>0</v>
      </c>
      <c r="F296" s="76">
        <v>100</v>
      </c>
      <c r="G296" s="1380">
        <v>0</v>
      </c>
      <c r="H296" s="231" t="s">
        <v>24</v>
      </c>
      <c r="I296" s="452"/>
      <c r="J296" s="570"/>
      <c r="K296" s="570"/>
      <c r="L296" s="570"/>
      <c r="M296" s="570"/>
      <c r="N296" s="571"/>
      <c r="P296" s="1435"/>
    </row>
    <row r="297" spans="1:16" s="462" customFormat="1" ht="18" customHeight="1" x14ac:dyDescent="0.3">
      <c r="A297" s="229">
        <v>290</v>
      </c>
      <c r="B297" s="457"/>
      <c r="C297" s="458"/>
      <c r="D297" s="459" t="s">
        <v>268</v>
      </c>
      <c r="E297" s="460"/>
      <c r="F297" s="460"/>
      <c r="G297" s="1382"/>
      <c r="H297" s="461"/>
      <c r="I297" s="452">
        <f>SUM(J297:N297)</f>
        <v>100</v>
      </c>
      <c r="J297" s="453"/>
      <c r="K297" s="453"/>
      <c r="L297" s="453"/>
      <c r="M297" s="453">
        <v>100</v>
      </c>
      <c r="N297" s="454"/>
    </row>
    <row r="298" spans="1:16" s="462" customFormat="1" ht="18" customHeight="1" x14ac:dyDescent="0.3">
      <c r="A298" s="229">
        <v>291</v>
      </c>
      <c r="B298" s="457"/>
      <c r="C298" s="458"/>
      <c r="D298" s="224" t="s">
        <v>796</v>
      </c>
      <c r="E298" s="460"/>
      <c r="F298" s="460"/>
      <c r="G298" s="1382"/>
      <c r="H298" s="461"/>
      <c r="I298" s="977">
        <f>SUM(J298:N298)</f>
        <v>200</v>
      </c>
      <c r="J298" s="453"/>
      <c r="K298" s="453"/>
      <c r="L298" s="453"/>
      <c r="M298" s="982">
        <v>200</v>
      </c>
      <c r="N298" s="454"/>
    </row>
    <row r="299" spans="1:16" s="462" customFormat="1" ht="18" customHeight="1" x14ac:dyDescent="0.3">
      <c r="A299" s="229">
        <v>292</v>
      </c>
      <c r="B299" s="457"/>
      <c r="C299" s="458"/>
      <c r="D299" s="976" t="s">
        <v>861</v>
      </c>
      <c r="E299" s="460"/>
      <c r="F299" s="460"/>
      <c r="G299" s="1382"/>
      <c r="H299" s="461"/>
      <c r="I299" s="980">
        <f>SUM(J299:N299)</f>
        <v>0</v>
      </c>
      <c r="J299" s="453"/>
      <c r="K299" s="453"/>
      <c r="L299" s="453"/>
      <c r="M299" s="985"/>
      <c r="N299" s="454"/>
    </row>
    <row r="300" spans="1:16" s="13" customFormat="1" ht="22.5" customHeight="1" x14ac:dyDescent="0.35">
      <c r="A300" s="229">
        <v>293</v>
      </c>
      <c r="B300" s="226"/>
      <c r="C300" s="74">
        <v>55</v>
      </c>
      <c r="D300" s="225" t="s">
        <v>254</v>
      </c>
      <c r="E300" s="76">
        <v>6000</v>
      </c>
      <c r="F300" s="76">
        <v>6000</v>
      </c>
      <c r="G300" s="1380">
        <v>6000</v>
      </c>
      <c r="H300" s="231" t="s">
        <v>23</v>
      </c>
      <c r="I300" s="452"/>
      <c r="J300" s="570"/>
      <c r="K300" s="570"/>
      <c r="L300" s="570"/>
      <c r="M300" s="570"/>
      <c r="N300" s="571"/>
      <c r="P300" s="1435"/>
    </row>
    <row r="301" spans="1:16" s="462" customFormat="1" ht="18" customHeight="1" x14ac:dyDescent="0.3">
      <c r="A301" s="229">
        <v>294</v>
      </c>
      <c r="B301" s="457"/>
      <c r="C301" s="458"/>
      <c r="D301" s="459" t="s">
        <v>268</v>
      </c>
      <c r="E301" s="460"/>
      <c r="F301" s="460"/>
      <c r="G301" s="1382"/>
      <c r="H301" s="461"/>
      <c r="I301" s="452">
        <f>SUM(J301:N301)</f>
        <v>6000</v>
      </c>
      <c r="J301" s="453"/>
      <c r="K301" s="453"/>
      <c r="L301" s="453">
        <v>6000</v>
      </c>
      <c r="M301" s="453"/>
      <c r="N301" s="454"/>
    </row>
    <row r="302" spans="1:16" s="462" customFormat="1" ht="18" customHeight="1" x14ac:dyDescent="0.3">
      <c r="A302" s="229">
        <v>295</v>
      </c>
      <c r="B302" s="457"/>
      <c r="C302" s="458"/>
      <c r="D302" s="224" t="s">
        <v>796</v>
      </c>
      <c r="E302" s="460"/>
      <c r="F302" s="460"/>
      <c r="G302" s="1382"/>
      <c r="H302" s="461"/>
      <c r="I302" s="977">
        <f>SUM(J302:N302)</f>
        <v>6000</v>
      </c>
      <c r="J302" s="453"/>
      <c r="K302" s="453"/>
      <c r="L302" s="982">
        <v>6000</v>
      </c>
      <c r="M302" s="453"/>
      <c r="N302" s="454"/>
    </row>
    <row r="303" spans="1:16" s="462" customFormat="1" ht="18" customHeight="1" x14ac:dyDescent="0.3">
      <c r="A303" s="229">
        <v>296</v>
      </c>
      <c r="B303" s="457"/>
      <c r="C303" s="458"/>
      <c r="D303" s="976" t="s">
        <v>860</v>
      </c>
      <c r="E303" s="460"/>
      <c r="F303" s="460"/>
      <c r="G303" s="1382"/>
      <c r="H303" s="461"/>
      <c r="I303" s="980">
        <f>SUM(J303:N303)</f>
        <v>3000</v>
      </c>
      <c r="J303" s="453"/>
      <c r="K303" s="453"/>
      <c r="L303" s="985">
        <v>3000</v>
      </c>
      <c r="M303" s="453"/>
      <c r="N303" s="454"/>
    </row>
    <row r="304" spans="1:16" s="13" customFormat="1" ht="22.5" customHeight="1" x14ac:dyDescent="0.35">
      <c r="A304" s="229">
        <v>297</v>
      </c>
      <c r="B304" s="226"/>
      <c r="C304" s="74">
        <v>56</v>
      </c>
      <c r="D304" s="225" t="s">
        <v>266</v>
      </c>
      <c r="E304" s="76">
        <v>10200</v>
      </c>
      <c r="F304" s="76">
        <v>12000</v>
      </c>
      <c r="G304" s="1380">
        <v>12000</v>
      </c>
      <c r="H304" s="231" t="s">
        <v>23</v>
      </c>
      <c r="I304" s="452"/>
      <c r="J304" s="570"/>
      <c r="K304" s="570"/>
      <c r="L304" s="570"/>
      <c r="M304" s="570"/>
      <c r="N304" s="571"/>
      <c r="P304" s="1435"/>
    </row>
    <row r="305" spans="1:16" s="462" customFormat="1" ht="18" customHeight="1" x14ac:dyDescent="0.3">
      <c r="A305" s="229">
        <v>298</v>
      </c>
      <c r="B305" s="457"/>
      <c r="C305" s="458"/>
      <c r="D305" s="459" t="s">
        <v>268</v>
      </c>
      <c r="E305" s="460"/>
      <c r="F305" s="460"/>
      <c r="G305" s="1382"/>
      <c r="H305" s="461"/>
      <c r="I305" s="452">
        <f>SUM(J305:N305)</f>
        <v>12000</v>
      </c>
      <c r="J305" s="453"/>
      <c r="K305" s="453"/>
      <c r="L305" s="453"/>
      <c r="M305" s="453"/>
      <c r="N305" s="454">
        <v>12000</v>
      </c>
    </row>
    <row r="306" spans="1:16" s="462" customFormat="1" ht="18" customHeight="1" x14ac:dyDescent="0.3">
      <c r="A306" s="229">
        <v>299</v>
      </c>
      <c r="B306" s="457"/>
      <c r="C306" s="458"/>
      <c r="D306" s="224" t="s">
        <v>796</v>
      </c>
      <c r="E306" s="460"/>
      <c r="F306" s="460"/>
      <c r="G306" s="1382"/>
      <c r="H306" s="461"/>
      <c r="I306" s="977">
        <f>SUM(J306:N306)</f>
        <v>12000</v>
      </c>
      <c r="J306" s="453"/>
      <c r="K306" s="453"/>
      <c r="L306" s="453"/>
      <c r="M306" s="453"/>
      <c r="N306" s="983">
        <v>12000</v>
      </c>
    </row>
    <row r="307" spans="1:16" s="462" customFormat="1" ht="18" customHeight="1" x14ac:dyDescent="0.3">
      <c r="A307" s="229">
        <v>300</v>
      </c>
      <c r="B307" s="457"/>
      <c r="C307" s="458"/>
      <c r="D307" s="976" t="s">
        <v>860</v>
      </c>
      <c r="E307" s="460"/>
      <c r="F307" s="460"/>
      <c r="G307" s="1382"/>
      <c r="H307" s="461"/>
      <c r="I307" s="980">
        <f>SUM(J307:N307)</f>
        <v>6000</v>
      </c>
      <c r="J307" s="453"/>
      <c r="K307" s="453"/>
      <c r="L307" s="453"/>
      <c r="M307" s="453"/>
      <c r="N307" s="986">
        <v>6000</v>
      </c>
    </row>
    <row r="308" spans="1:16" s="13" customFormat="1" ht="22.5" customHeight="1" x14ac:dyDescent="0.35">
      <c r="A308" s="229">
        <v>301</v>
      </c>
      <c r="B308" s="226"/>
      <c r="C308" s="74">
        <v>57</v>
      </c>
      <c r="D308" s="225" t="s">
        <v>72</v>
      </c>
      <c r="E308" s="76">
        <v>60000</v>
      </c>
      <c r="F308" s="76">
        <v>60000</v>
      </c>
      <c r="G308" s="1380">
        <v>60000</v>
      </c>
      <c r="H308" s="231" t="s">
        <v>23</v>
      </c>
      <c r="I308" s="452"/>
      <c r="J308" s="570"/>
      <c r="K308" s="570"/>
      <c r="L308" s="570"/>
      <c r="M308" s="570"/>
      <c r="N308" s="571"/>
      <c r="P308" s="1435"/>
    </row>
    <row r="309" spans="1:16" s="462" customFormat="1" ht="18" customHeight="1" x14ac:dyDescent="0.3">
      <c r="A309" s="229">
        <v>302</v>
      </c>
      <c r="B309" s="457"/>
      <c r="C309" s="458"/>
      <c r="D309" s="459" t="s">
        <v>268</v>
      </c>
      <c r="E309" s="460"/>
      <c r="F309" s="460"/>
      <c r="G309" s="1382"/>
      <c r="H309" s="461"/>
      <c r="I309" s="452">
        <f>SUM(J309:N309)</f>
        <v>60000</v>
      </c>
      <c r="J309" s="453"/>
      <c r="K309" s="453"/>
      <c r="L309" s="453"/>
      <c r="M309" s="453"/>
      <c r="N309" s="454">
        <v>60000</v>
      </c>
    </row>
    <row r="310" spans="1:16" s="462" customFormat="1" ht="18" customHeight="1" x14ac:dyDescent="0.3">
      <c r="A310" s="229">
        <v>303</v>
      </c>
      <c r="B310" s="457"/>
      <c r="C310" s="458"/>
      <c r="D310" s="224" t="s">
        <v>796</v>
      </c>
      <c r="E310" s="460"/>
      <c r="F310" s="460"/>
      <c r="G310" s="1382"/>
      <c r="H310" s="461"/>
      <c r="I310" s="977">
        <f>SUM(J310:N310)</f>
        <v>60000</v>
      </c>
      <c r="J310" s="453"/>
      <c r="K310" s="453"/>
      <c r="L310" s="453"/>
      <c r="M310" s="453"/>
      <c r="N310" s="983">
        <v>60000</v>
      </c>
    </row>
    <row r="311" spans="1:16" s="462" customFormat="1" ht="18" customHeight="1" x14ac:dyDescent="0.3">
      <c r="A311" s="229">
        <v>304</v>
      </c>
      <c r="B311" s="457"/>
      <c r="C311" s="458"/>
      <c r="D311" s="976" t="s">
        <v>860</v>
      </c>
      <c r="E311" s="460"/>
      <c r="F311" s="460"/>
      <c r="G311" s="1382"/>
      <c r="H311" s="461"/>
      <c r="I311" s="980">
        <f>SUM(J311:N311)</f>
        <v>30000</v>
      </c>
      <c r="J311" s="453"/>
      <c r="K311" s="453"/>
      <c r="L311" s="453"/>
      <c r="M311" s="453"/>
      <c r="N311" s="986">
        <v>30000</v>
      </c>
    </row>
    <row r="312" spans="1:16" s="13" customFormat="1" ht="22.5" customHeight="1" x14ac:dyDescent="0.35">
      <c r="A312" s="229">
        <v>305</v>
      </c>
      <c r="B312" s="226"/>
      <c r="C312" s="74">
        <v>58</v>
      </c>
      <c r="D312" s="225" t="s">
        <v>336</v>
      </c>
      <c r="E312" s="76">
        <v>569174</v>
      </c>
      <c r="F312" s="76">
        <v>504713</v>
      </c>
      <c r="G312" s="1380">
        <v>605048</v>
      </c>
      <c r="H312" s="231" t="s">
        <v>23</v>
      </c>
      <c r="I312" s="452"/>
      <c r="J312" s="570"/>
      <c r="K312" s="570"/>
      <c r="L312" s="570"/>
      <c r="M312" s="570"/>
      <c r="N312" s="571"/>
      <c r="P312" s="1435"/>
    </row>
    <row r="313" spans="1:16" s="462" customFormat="1" ht="18" customHeight="1" x14ac:dyDescent="0.3">
      <c r="A313" s="229">
        <v>306</v>
      </c>
      <c r="B313" s="457"/>
      <c r="C313" s="458"/>
      <c r="D313" s="459" t="s">
        <v>268</v>
      </c>
      <c r="E313" s="460"/>
      <c r="F313" s="460"/>
      <c r="G313" s="1382"/>
      <c r="H313" s="461"/>
      <c r="I313" s="452">
        <f>SUM(J313:N313)</f>
        <v>614544</v>
      </c>
      <c r="J313" s="453"/>
      <c r="K313" s="453"/>
      <c r="L313" s="453"/>
      <c r="M313" s="453"/>
      <c r="N313" s="454">
        <v>614544</v>
      </c>
    </row>
    <row r="314" spans="1:16" s="462" customFormat="1" ht="18" customHeight="1" x14ac:dyDescent="0.3">
      <c r="A314" s="229">
        <v>307</v>
      </c>
      <c r="B314" s="457"/>
      <c r="C314" s="458"/>
      <c r="D314" s="224" t="s">
        <v>796</v>
      </c>
      <c r="E314" s="460"/>
      <c r="F314" s="460"/>
      <c r="G314" s="1382"/>
      <c r="H314" s="461"/>
      <c r="I314" s="977">
        <f>SUM(J314:N314)</f>
        <v>657354</v>
      </c>
      <c r="J314" s="453"/>
      <c r="K314" s="453"/>
      <c r="L314" s="453"/>
      <c r="M314" s="453"/>
      <c r="N314" s="983">
        <v>657354</v>
      </c>
    </row>
    <row r="315" spans="1:16" s="462" customFormat="1" ht="18" customHeight="1" x14ac:dyDescent="0.3">
      <c r="A315" s="229">
        <v>308</v>
      </c>
      <c r="B315" s="457"/>
      <c r="C315" s="458"/>
      <c r="D315" s="976" t="s">
        <v>861</v>
      </c>
      <c r="E315" s="460"/>
      <c r="F315" s="460"/>
      <c r="G315" s="1382"/>
      <c r="H315" s="461"/>
      <c r="I315" s="980">
        <f>SUM(J315:N315)</f>
        <v>343976</v>
      </c>
      <c r="J315" s="453"/>
      <c r="K315" s="453"/>
      <c r="L315" s="453"/>
      <c r="M315" s="453"/>
      <c r="N315" s="986">
        <v>343976</v>
      </c>
    </row>
    <row r="316" spans="1:16" s="13" customFormat="1" ht="22.5" customHeight="1" x14ac:dyDescent="0.35">
      <c r="A316" s="229">
        <v>309</v>
      </c>
      <c r="B316" s="226"/>
      <c r="C316" s="74">
        <v>59</v>
      </c>
      <c r="D316" s="225" t="s">
        <v>280</v>
      </c>
      <c r="E316" s="76">
        <v>90437</v>
      </c>
      <c r="F316" s="76">
        <v>99619</v>
      </c>
      <c r="G316" s="1380">
        <v>99220</v>
      </c>
      <c r="H316" s="231" t="s">
        <v>23</v>
      </c>
      <c r="I316" s="452"/>
      <c r="J316" s="570"/>
      <c r="K316" s="570"/>
      <c r="L316" s="570"/>
      <c r="M316" s="570"/>
      <c r="N316" s="571"/>
      <c r="P316" s="1435"/>
    </row>
    <row r="317" spans="1:16" s="462" customFormat="1" ht="18" customHeight="1" x14ac:dyDescent="0.3">
      <c r="A317" s="229">
        <v>310</v>
      </c>
      <c r="B317" s="457"/>
      <c r="C317" s="458"/>
      <c r="D317" s="459" t="s">
        <v>268</v>
      </c>
      <c r="E317" s="460"/>
      <c r="F317" s="460"/>
      <c r="G317" s="1382"/>
      <c r="H317" s="461"/>
      <c r="I317" s="452">
        <f>SUM(J317:N317)</f>
        <v>118825</v>
      </c>
      <c r="J317" s="453"/>
      <c r="K317" s="453"/>
      <c r="L317" s="453">
        <v>118825</v>
      </c>
      <c r="M317" s="453"/>
      <c r="N317" s="454"/>
    </row>
    <row r="318" spans="1:16" s="462" customFormat="1" ht="18" customHeight="1" x14ac:dyDescent="0.3">
      <c r="A318" s="229">
        <v>311</v>
      </c>
      <c r="B318" s="457"/>
      <c r="C318" s="458"/>
      <c r="D318" s="224" t="s">
        <v>796</v>
      </c>
      <c r="E318" s="460"/>
      <c r="F318" s="460"/>
      <c r="G318" s="1382"/>
      <c r="H318" s="461"/>
      <c r="I318" s="977">
        <f>SUM(J318:N318)</f>
        <v>118825</v>
      </c>
      <c r="J318" s="453"/>
      <c r="K318" s="453"/>
      <c r="L318" s="982">
        <v>118825</v>
      </c>
      <c r="M318" s="453"/>
      <c r="N318" s="454"/>
    </row>
    <row r="319" spans="1:16" s="462" customFormat="1" ht="18" customHeight="1" x14ac:dyDescent="0.3">
      <c r="A319" s="229">
        <v>312</v>
      </c>
      <c r="B319" s="457"/>
      <c r="C319" s="458"/>
      <c r="D319" s="976" t="s">
        <v>860</v>
      </c>
      <c r="E319" s="460"/>
      <c r="F319" s="460"/>
      <c r="G319" s="1382"/>
      <c r="H319" s="461"/>
      <c r="I319" s="980">
        <f>SUM(J319:N319)</f>
        <v>54392</v>
      </c>
      <c r="J319" s="453"/>
      <c r="K319" s="453"/>
      <c r="L319" s="985">
        <v>54392</v>
      </c>
      <c r="M319" s="453"/>
      <c r="N319" s="454"/>
    </row>
    <row r="320" spans="1:16" s="8" customFormat="1" ht="22.5" customHeight="1" x14ac:dyDescent="0.3">
      <c r="A320" s="229">
        <v>313</v>
      </c>
      <c r="B320" s="77"/>
      <c r="C320" s="74">
        <v>60</v>
      </c>
      <c r="D320" s="224" t="s">
        <v>328</v>
      </c>
      <c r="E320" s="76">
        <v>2348</v>
      </c>
      <c r="F320" s="76">
        <v>3840</v>
      </c>
      <c r="G320" s="1380">
        <v>2574</v>
      </c>
      <c r="H320" s="231" t="s">
        <v>24</v>
      </c>
      <c r="I320" s="452"/>
      <c r="J320" s="570"/>
      <c r="K320" s="570"/>
      <c r="L320" s="570"/>
      <c r="M320" s="570"/>
      <c r="N320" s="571"/>
    </row>
    <row r="321" spans="1:16" s="462" customFormat="1" ht="18" customHeight="1" x14ac:dyDescent="0.3">
      <c r="A321" s="229">
        <v>314</v>
      </c>
      <c r="B321" s="457"/>
      <c r="C321" s="458"/>
      <c r="D321" s="459" t="s">
        <v>268</v>
      </c>
      <c r="E321" s="460"/>
      <c r="F321" s="460"/>
      <c r="G321" s="1382"/>
      <c r="H321" s="461"/>
      <c r="I321" s="452">
        <f>SUM(J321:N321)</f>
        <v>3840</v>
      </c>
      <c r="J321" s="453"/>
      <c r="K321" s="453"/>
      <c r="L321" s="453">
        <v>3840</v>
      </c>
      <c r="M321" s="453"/>
      <c r="N321" s="454"/>
    </row>
    <row r="322" spans="1:16" s="462" customFormat="1" ht="18" customHeight="1" x14ac:dyDescent="0.3">
      <c r="A322" s="229">
        <v>315</v>
      </c>
      <c r="B322" s="457"/>
      <c r="C322" s="458"/>
      <c r="D322" s="224" t="s">
        <v>796</v>
      </c>
      <c r="E322" s="460"/>
      <c r="F322" s="460"/>
      <c r="G322" s="1382"/>
      <c r="H322" s="461"/>
      <c r="I322" s="977">
        <f>SUM(J322:N322)</f>
        <v>5106</v>
      </c>
      <c r="J322" s="453"/>
      <c r="K322" s="453"/>
      <c r="L322" s="982">
        <v>5106</v>
      </c>
      <c r="M322" s="453"/>
      <c r="N322" s="454"/>
    </row>
    <row r="323" spans="1:16" s="462" customFormat="1" ht="18" customHeight="1" x14ac:dyDescent="0.3">
      <c r="A323" s="229">
        <v>316</v>
      </c>
      <c r="B323" s="457"/>
      <c r="C323" s="458"/>
      <c r="D323" s="976" t="s">
        <v>861</v>
      </c>
      <c r="E323" s="460"/>
      <c r="F323" s="460"/>
      <c r="G323" s="1382"/>
      <c r="H323" s="461"/>
      <c r="I323" s="980">
        <f>SUM(J323:N323)</f>
        <v>504</v>
      </c>
      <c r="J323" s="453"/>
      <c r="K323" s="453"/>
      <c r="L323" s="985">
        <v>504</v>
      </c>
      <c r="M323" s="453"/>
      <c r="N323" s="454"/>
    </row>
    <row r="324" spans="1:16" s="8" customFormat="1" ht="22.5" customHeight="1" x14ac:dyDescent="0.3">
      <c r="A324" s="229">
        <v>317</v>
      </c>
      <c r="B324" s="77"/>
      <c r="C324" s="74">
        <v>61</v>
      </c>
      <c r="D324" s="224" t="s">
        <v>329</v>
      </c>
      <c r="E324" s="76">
        <v>0</v>
      </c>
      <c r="F324" s="76">
        <v>0</v>
      </c>
      <c r="G324" s="1380">
        <v>0</v>
      </c>
      <c r="H324" s="231" t="s">
        <v>24</v>
      </c>
      <c r="I324" s="452"/>
      <c r="J324" s="570"/>
      <c r="K324" s="570"/>
      <c r="L324" s="570"/>
      <c r="M324" s="570"/>
      <c r="N324" s="571"/>
    </row>
    <row r="325" spans="1:16" s="3" customFormat="1" ht="22.5" customHeight="1" x14ac:dyDescent="0.3">
      <c r="A325" s="229">
        <v>318</v>
      </c>
      <c r="B325" s="73"/>
      <c r="C325" s="74">
        <v>62</v>
      </c>
      <c r="D325" s="225" t="s">
        <v>73</v>
      </c>
      <c r="E325" s="76">
        <v>1445</v>
      </c>
      <c r="F325" s="76">
        <v>1700</v>
      </c>
      <c r="G325" s="1380">
        <v>1700</v>
      </c>
      <c r="H325" s="231" t="s">
        <v>24</v>
      </c>
      <c r="I325" s="452"/>
      <c r="J325" s="570"/>
      <c r="K325" s="570"/>
      <c r="L325" s="570"/>
      <c r="M325" s="570"/>
      <c r="N325" s="571"/>
      <c r="P325" s="8"/>
    </row>
    <row r="326" spans="1:16" s="462" customFormat="1" ht="18" customHeight="1" x14ac:dyDescent="0.3">
      <c r="A326" s="229">
        <v>319</v>
      </c>
      <c r="B326" s="457"/>
      <c r="C326" s="458"/>
      <c r="D326" s="459" t="s">
        <v>268</v>
      </c>
      <c r="E326" s="460"/>
      <c r="F326" s="460"/>
      <c r="G326" s="1382"/>
      <c r="H326" s="461"/>
      <c r="I326" s="452">
        <f>SUM(J326:N326)</f>
        <v>2000</v>
      </c>
      <c r="J326" s="453"/>
      <c r="K326" s="453"/>
      <c r="L326" s="453">
        <v>2000</v>
      </c>
      <c r="M326" s="453"/>
      <c r="N326" s="454"/>
    </row>
    <row r="327" spans="1:16" s="462" customFormat="1" ht="18" customHeight="1" x14ac:dyDescent="0.3">
      <c r="A327" s="229">
        <v>320</v>
      </c>
      <c r="B327" s="457"/>
      <c r="C327" s="458"/>
      <c r="D327" s="224" t="s">
        <v>796</v>
      </c>
      <c r="E327" s="460"/>
      <c r="F327" s="460"/>
      <c r="G327" s="1382"/>
      <c r="H327" s="461"/>
      <c r="I327" s="977">
        <f>SUM(J327:N327)</f>
        <v>2000</v>
      </c>
      <c r="J327" s="453"/>
      <c r="K327" s="453"/>
      <c r="L327" s="982">
        <v>2000</v>
      </c>
      <c r="M327" s="453"/>
      <c r="N327" s="454"/>
    </row>
    <row r="328" spans="1:16" s="462" customFormat="1" ht="18" customHeight="1" x14ac:dyDescent="0.3">
      <c r="A328" s="229">
        <v>321</v>
      </c>
      <c r="B328" s="457"/>
      <c r="C328" s="458"/>
      <c r="D328" s="976" t="s">
        <v>860</v>
      </c>
      <c r="E328" s="460"/>
      <c r="F328" s="460"/>
      <c r="G328" s="1382"/>
      <c r="H328" s="461"/>
      <c r="I328" s="980">
        <f>SUM(J328:N328)</f>
        <v>1004</v>
      </c>
      <c r="J328" s="453"/>
      <c r="K328" s="453"/>
      <c r="L328" s="985">
        <v>1004</v>
      </c>
      <c r="M328" s="453"/>
      <c r="N328" s="454"/>
    </row>
    <row r="329" spans="1:16" s="3" customFormat="1" ht="22.5" customHeight="1" x14ac:dyDescent="0.3">
      <c r="A329" s="229">
        <v>322</v>
      </c>
      <c r="B329" s="73"/>
      <c r="C329" s="74">
        <v>63</v>
      </c>
      <c r="D329" s="225" t="s">
        <v>311</v>
      </c>
      <c r="E329" s="76">
        <v>0</v>
      </c>
      <c r="F329" s="76">
        <v>1000</v>
      </c>
      <c r="G329" s="1380">
        <v>0</v>
      </c>
      <c r="H329" s="231" t="s">
        <v>24</v>
      </c>
      <c r="I329" s="452"/>
      <c r="J329" s="570"/>
      <c r="K329" s="570"/>
      <c r="L329" s="570"/>
      <c r="M329" s="570"/>
      <c r="N329" s="571"/>
      <c r="P329" s="8"/>
    </row>
    <row r="330" spans="1:16" s="3" customFormat="1" ht="17.100000000000001" customHeight="1" x14ac:dyDescent="0.3">
      <c r="A330" s="229">
        <v>323</v>
      </c>
      <c r="B330" s="73"/>
      <c r="C330" s="74"/>
      <c r="D330" s="224" t="s">
        <v>796</v>
      </c>
      <c r="E330" s="76"/>
      <c r="F330" s="76"/>
      <c r="G330" s="1380"/>
      <c r="H330" s="231"/>
      <c r="I330" s="977">
        <v>1000</v>
      </c>
      <c r="J330" s="570"/>
      <c r="K330" s="570"/>
      <c r="L330" s="982">
        <v>1000</v>
      </c>
      <c r="M330" s="570"/>
      <c r="N330" s="571"/>
      <c r="P330" s="8"/>
    </row>
    <row r="331" spans="1:16" s="462" customFormat="1" ht="18" customHeight="1" x14ac:dyDescent="0.3">
      <c r="A331" s="229">
        <v>324</v>
      </c>
      <c r="B331" s="457"/>
      <c r="C331" s="458"/>
      <c r="D331" s="976" t="s">
        <v>861</v>
      </c>
      <c r="E331" s="460"/>
      <c r="F331" s="460"/>
      <c r="G331" s="1382"/>
      <c r="H331" s="461"/>
      <c r="I331" s="980">
        <f>SUM(J331:N331)</f>
        <v>0</v>
      </c>
      <c r="J331" s="453"/>
      <c r="K331" s="453"/>
      <c r="L331" s="985"/>
      <c r="M331" s="453"/>
      <c r="N331" s="454"/>
    </row>
    <row r="332" spans="1:16" s="3" customFormat="1" ht="22.5" customHeight="1" x14ac:dyDescent="0.3">
      <c r="A332" s="229">
        <v>325</v>
      </c>
      <c r="B332" s="73"/>
      <c r="C332" s="74">
        <v>64</v>
      </c>
      <c r="D332" s="225" t="s">
        <v>74</v>
      </c>
      <c r="E332" s="76">
        <v>710</v>
      </c>
      <c r="F332" s="76">
        <v>1000</v>
      </c>
      <c r="G332" s="1380">
        <v>1000</v>
      </c>
      <c r="H332" s="231" t="s">
        <v>24</v>
      </c>
      <c r="I332" s="452"/>
      <c r="J332" s="570"/>
      <c r="K332" s="570"/>
      <c r="L332" s="570"/>
      <c r="M332" s="570"/>
      <c r="N332" s="571"/>
      <c r="P332" s="8"/>
    </row>
    <row r="333" spans="1:16" s="462" customFormat="1" ht="18" customHeight="1" x14ac:dyDescent="0.3">
      <c r="A333" s="229">
        <v>326</v>
      </c>
      <c r="B333" s="457"/>
      <c r="C333" s="458"/>
      <c r="D333" s="459" t="s">
        <v>268</v>
      </c>
      <c r="E333" s="460"/>
      <c r="F333" s="460"/>
      <c r="G333" s="1382"/>
      <c r="H333" s="461"/>
      <c r="I333" s="452">
        <f>SUM(J333:N333)</f>
        <v>1000</v>
      </c>
      <c r="J333" s="453"/>
      <c r="K333" s="453"/>
      <c r="L333" s="453"/>
      <c r="M333" s="453"/>
      <c r="N333" s="454">
        <v>1000</v>
      </c>
    </row>
    <row r="334" spans="1:16" s="462" customFormat="1" ht="18" customHeight="1" x14ac:dyDescent="0.3">
      <c r="A334" s="229">
        <v>327</v>
      </c>
      <c r="B334" s="457"/>
      <c r="C334" s="458"/>
      <c r="D334" s="224" t="s">
        <v>796</v>
      </c>
      <c r="E334" s="460"/>
      <c r="F334" s="460"/>
      <c r="G334" s="1382"/>
      <c r="H334" s="461"/>
      <c r="I334" s="977">
        <f>SUM(J334:N334)</f>
        <v>1000</v>
      </c>
      <c r="J334" s="453"/>
      <c r="K334" s="453"/>
      <c r="L334" s="982">
        <v>1000</v>
      </c>
      <c r="M334" s="453"/>
      <c r="N334" s="983"/>
    </row>
    <row r="335" spans="1:16" s="462" customFormat="1" ht="18" customHeight="1" x14ac:dyDescent="0.3">
      <c r="A335" s="229">
        <v>328</v>
      </c>
      <c r="B335" s="457"/>
      <c r="C335" s="458"/>
      <c r="D335" s="976" t="s">
        <v>860</v>
      </c>
      <c r="E335" s="460"/>
      <c r="F335" s="460"/>
      <c r="G335" s="1382"/>
      <c r="H335" s="461"/>
      <c r="I335" s="980">
        <f>SUM(J335:N335)</f>
        <v>502</v>
      </c>
      <c r="J335" s="578"/>
      <c r="K335" s="578"/>
      <c r="L335" s="985">
        <v>502</v>
      </c>
      <c r="M335" s="578"/>
      <c r="N335" s="986"/>
    </row>
    <row r="336" spans="1:16" s="8" customFormat="1" ht="22.5" customHeight="1" x14ac:dyDescent="0.3">
      <c r="A336" s="229">
        <v>329</v>
      </c>
      <c r="B336" s="77"/>
      <c r="C336" s="74">
        <v>65</v>
      </c>
      <c r="D336" s="225" t="s">
        <v>438</v>
      </c>
      <c r="E336" s="76">
        <v>1275</v>
      </c>
      <c r="F336" s="76">
        <v>0</v>
      </c>
      <c r="G336" s="1380">
        <v>0</v>
      </c>
      <c r="H336" s="231" t="s">
        <v>24</v>
      </c>
      <c r="I336" s="452"/>
      <c r="J336" s="570"/>
      <c r="K336" s="570"/>
      <c r="L336" s="570"/>
      <c r="M336" s="570"/>
      <c r="N336" s="571"/>
    </row>
    <row r="337" spans="1:16" s="3" customFormat="1" ht="22.5" customHeight="1" x14ac:dyDescent="0.3">
      <c r="A337" s="229">
        <v>330</v>
      </c>
      <c r="B337" s="73"/>
      <c r="C337" s="74">
        <v>66</v>
      </c>
      <c r="D337" s="225" t="s">
        <v>75</v>
      </c>
      <c r="E337" s="76">
        <v>5500</v>
      </c>
      <c r="F337" s="76">
        <v>5500</v>
      </c>
      <c r="G337" s="1380">
        <v>5500</v>
      </c>
      <c r="H337" s="231" t="s">
        <v>23</v>
      </c>
      <c r="I337" s="452"/>
      <c r="J337" s="570"/>
      <c r="K337" s="570"/>
      <c r="L337" s="570"/>
      <c r="M337" s="570"/>
      <c r="N337" s="571"/>
      <c r="P337" s="8"/>
    </row>
    <row r="338" spans="1:16" s="462" customFormat="1" ht="18" customHeight="1" x14ac:dyDescent="0.3">
      <c r="A338" s="229">
        <v>331</v>
      </c>
      <c r="B338" s="457"/>
      <c r="C338" s="458"/>
      <c r="D338" s="459" t="s">
        <v>268</v>
      </c>
      <c r="E338" s="460"/>
      <c r="F338" s="460"/>
      <c r="G338" s="1382"/>
      <c r="H338" s="461"/>
      <c r="I338" s="452">
        <f>SUM(J338:N338)</f>
        <v>1375</v>
      </c>
      <c r="J338" s="453"/>
      <c r="K338" s="453"/>
      <c r="L338" s="453">
        <v>1375</v>
      </c>
      <c r="M338" s="453"/>
      <c r="N338" s="454"/>
    </row>
    <row r="339" spans="1:16" s="462" customFormat="1" ht="18" customHeight="1" x14ac:dyDescent="0.3">
      <c r="A339" s="229">
        <v>332</v>
      </c>
      <c r="B339" s="457"/>
      <c r="C339" s="458"/>
      <c r="D339" s="224" t="s">
        <v>796</v>
      </c>
      <c r="E339" s="460"/>
      <c r="F339" s="460"/>
      <c r="G339" s="1382"/>
      <c r="H339" s="461"/>
      <c r="I339" s="977">
        <f>SUM(J339:N339)</f>
        <v>1375</v>
      </c>
      <c r="J339" s="453"/>
      <c r="K339" s="453"/>
      <c r="L339" s="982">
        <v>1375</v>
      </c>
      <c r="M339" s="453"/>
      <c r="N339" s="454"/>
    </row>
    <row r="340" spans="1:16" s="462" customFormat="1" ht="18" customHeight="1" x14ac:dyDescent="0.3">
      <c r="A340" s="229">
        <v>333</v>
      </c>
      <c r="B340" s="457"/>
      <c r="C340" s="458"/>
      <c r="D340" s="976" t="s">
        <v>860</v>
      </c>
      <c r="E340" s="460"/>
      <c r="F340" s="460"/>
      <c r="G340" s="1382"/>
      <c r="H340" s="461"/>
      <c r="I340" s="980">
        <f>SUM(J340:N340)</f>
        <v>1375</v>
      </c>
      <c r="J340" s="453"/>
      <c r="K340" s="453"/>
      <c r="L340" s="985">
        <v>1375</v>
      </c>
      <c r="M340" s="453"/>
      <c r="N340" s="454"/>
    </row>
    <row r="341" spans="1:16" s="3" customFormat="1" ht="22.5" customHeight="1" x14ac:dyDescent="0.3">
      <c r="A341" s="229">
        <v>334</v>
      </c>
      <c r="B341" s="73"/>
      <c r="C341" s="74">
        <v>67</v>
      </c>
      <c r="D341" s="225" t="s">
        <v>76</v>
      </c>
      <c r="E341" s="76">
        <v>5160</v>
      </c>
      <c r="F341" s="76">
        <v>5280</v>
      </c>
      <c r="G341" s="1380">
        <v>5280</v>
      </c>
      <c r="H341" s="231" t="s">
        <v>23</v>
      </c>
      <c r="I341" s="452"/>
      <c r="J341" s="570"/>
      <c r="K341" s="570"/>
      <c r="L341" s="570"/>
      <c r="M341" s="570"/>
      <c r="N341" s="571"/>
      <c r="P341" s="8"/>
    </row>
    <row r="342" spans="1:16" s="462" customFormat="1" ht="18" customHeight="1" x14ac:dyDescent="0.3">
      <c r="A342" s="229">
        <v>335</v>
      </c>
      <c r="B342" s="457"/>
      <c r="C342" s="458"/>
      <c r="D342" s="459" t="s">
        <v>268</v>
      </c>
      <c r="E342" s="460"/>
      <c r="F342" s="460"/>
      <c r="G342" s="1382"/>
      <c r="H342" s="461"/>
      <c r="I342" s="452">
        <f>SUM(J342:N342)</f>
        <v>5730</v>
      </c>
      <c r="J342" s="453"/>
      <c r="K342" s="453"/>
      <c r="L342" s="453">
        <v>5730</v>
      </c>
      <c r="M342" s="453"/>
      <c r="N342" s="454"/>
    </row>
    <row r="343" spans="1:16" s="462" customFormat="1" ht="18" customHeight="1" x14ac:dyDescent="0.3">
      <c r="A343" s="229">
        <v>336</v>
      </c>
      <c r="B343" s="457"/>
      <c r="C343" s="458"/>
      <c r="D343" s="224" t="s">
        <v>796</v>
      </c>
      <c r="E343" s="460"/>
      <c r="F343" s="460"/>
      <c r="G343" s="1382"/>
      <c r="H343" s="461"/>
      <c r="I343" s="977">
        <f>SUM(J343:N343)</f>
        <v>5730</v>
      </c>
      <c r="J343" s="453"/>
      <c r="K343" s="453"/>
      <c r="L343" s="982">
        <v>5730</v>
      </c>
      <c r="M343" s="453"/>
      <c r="N343" s="454"/>
    </row>
    <row r="344" spans="1:16" s="462" customFormat="1" ht="18" customHeight="1" x14ac:dyDescent="0.3">
      <c r="A344" s="229">
        <v>337</v>
      </c>
      <c r="B344" s="457"/>
      <c r="C344" s="458"/>
      <c r="D344" s="976" t="s">
        <v>860</v>
      </c>
      <c r="E344" s="460"/>
      <c r="F344" s="460"/>
      <c r="G344" s="1382"/>
      <c r="H344" s="461"/>
      <c r="I344" s="980">
        <f>SUM(J344:N344)</f>
        <v>2775</v>
      </c>
      <c r="J344" s="453"/>
      <c r="K344" s="453"/>
      <c r="L344" s="985">
        <v>2775</v>
      </c>
      <c r="M344" s="453"/>
      <c r="N344" s="454"/>
    </row>
    <row r="345" spans="1:16" s="3" customFormat="1" ht="22.5" customHeight="1" x14ac:dyDescent="0.3">
      <c r="A345" s="229">
        <v>338</v>
      </c>
      <c r="B345" s="73"/>
      <c r="C345" s="74">
        <v>68</v>
      </c>
      <c r="D345" s="225" t="s">
        <v>77</v>
      </c>
      <c r="E345" s="76">
        <v>5177</v>
      </c>
      <c r="F345" s="76">
        <v>2945</v>
      </c>
      <c r="G345" s="1380">
        <v>1572</v>
      </c>
      <c r="H345" s="231" t="s">
        <v>24</v>
      </c>
      <c r="I345" s="452"/>
      <c r="J345" s="570"/>
      <c r="K345" s="570"/>
      <c r="L345" s="570"/>
      <c r="M345" s="570"/>
      <c r="N345" s="571"/>
      <c r="P345" s="8"/>
    </row>
    <row r="346" spans="1:16" s="462" customFormat="1" ht="18" customHeight="1" x14ac:dyDescent="0.3">
      <c r="A346" s="229">
        <v>339</v>
      </c>
      <c r="B346" s="457"/>
      <c r="C346" s="458"/>
      <c r="D346" s="459" t="s">
        <v>268</v>
      </c>
      <c r="E346" s="460"/>
      <c r="F346" s="460"/>
      <c r="G346" s="1382"/>
      <c r="H346" s="461"/>
      <c r="I346" s="452">
        <f>SUM(J346:N346)</f>
        <v>2845</v>
      </c>
      <c r="J346" s="453"/>
      <c r="K346" s="453"/>
      <c r="L346" s="453">
        <v>2845</v>
      </c>
      <c r="M346" s="453"/>
      <c r="N346" s="454"/>
    </row>
    <row r="347" spans="1:16" s="462" customFormat="1" ht="18" customHeight="1" x14ac:dyDescent="0.3">
      <c r="A347" s="229">
        <v>340</v>
      </c>
      <c r="B347" s="457"/>
      <c r="C347" s="458"/>
      <c r="D347" s="224" t="s">
        <v>796</v>
      </c>
      <c r="E347" s="460"/>
      <c r="F347" s="460"/>
      <c r="G347" s="1382"/>
      <c r="H347" s="461"/>
      <c r="I347" s="977">
        <f>SUM(J347:N347)</f>
        <v>4959</v>
      </c>
      <c r="J347" s="453"/>
      <c r="K347" s="453"/>
      <c r="L347" s="982">
        <v>4959</v>
      </c>
      <c r="M347" s="453"/>
      <c r="N347" s="454"/>
    </row>
    <row r="348" spans="1:16" s="462" customFormat="1" ht="18" customHeight="1" x14ac:dyDescent="0.3">
      <c r="A348" s="229">
        <v>341</v>
      </c>
      <c r="B348" s="457"/>
      <c r="C348" s="458"/>
      <c r="D348" s="976" t="s">
        <v>861</v>
      </c>
      <c r="E348" s="460"/>
      <c r="F348" s="460"/>
      <c r="G348" s="1382"/>
      <c r="H348" s="461"/>
      <c r="I348" s="980">
        <f>SUM(J348:N348)</f>
        <v>201</v>
      </c>
      <c r="J348" s="453"/>
      <c r="K348" s="453"/>
      <c r="L348" s="985">
        <v>201</v>
      </c>
      <c r="M348" s="453"/>
      <c r="N348" s="454"/>
    </row>
    <row r="349" spans="1:16" s="3" customFormat="1" ht="22.5" customHeight="1" x14ac:dyDescent="0.3">
      <c r="A349" s="229">
        <v>342</v>
      </c>
      <c r="B349" s="73"/>
      <c r="C349" s="74">
        <v>69</v>
      </c>
      <c r="D349" s="225" t="s">
        <v>78</v>
      </c>
      <c r="E349" s="76">
        <v>202279</v>
      </c>
      <c r="F349" s="76">
        <v>261840</v>
      </c>
      <c r="G349" s="1380">
        <v>213914</v>
      </c>
      <c r="H349" s="231" t="s">
        <v>23</v>
      </c>
      <c r="I349" s="452"/>
      <c r="J349" s="570"/>
      <c r="K349" s="570"/>
      <c r="L349" s="570"/>
      <c r="M349" s="570"/>
      <c r="N349" s="571"/>
      <c r="P349" s="8"/>
    </row>
    <row r="350" spans="1:16" s="462" customFormat="1" ht="18" customHeight="1" x14ac:dyDescent="0.3">
      <c r="A350" s="229">
        <v>343</v>
      </c>
      <c r="B350" s="457"/>
      <c r="C350" s="458"/>
      <c r="D350" s="459" t="s">
        <v>268</v>
      </c>
      <c r="E350" s="460"/>
      <c r="F350" s="460"/>
      <c r="G350" s="1382"/>
      <c r="H350" s="461"/>
      <c r="I350" s="452">
        <f>SUM(J350:N350)</f>
        <v>269906</v>
      </c>
      <c r="J350" s="453">
        <v>155727</v>
      </c>
      <c r="K350" s="453">
        <v>20271</v>
      </c>
      <c r="L350" s="453">
        <v>93908</v>
      </c>
      <c r="M350" s="453"/>
      <c r="N350" s="454"/>
    </row>
    <row r="351" spans="1:16" s="462" customFormat="1" ht="18" customHeight="1" x14ac:dyDescent="0.3">
      <c r="A351" s="229">
        <v>344</v>
      </c>
      <c r="B351" s="457"/>
      <c r="C351" s="458"/>
      <c r="D351" s="224" t="s">
        <v>796</v>
      </c>
      <c r="E351" s="460"/>
      <c r="F351" s="460"/>
      <c r="G351" s="1382"/>
      <c r="H351" s="461"/>
      <c r="I351" s="977">
        <f>SUM(J351:N351)</f>
        <v>377177</v>
      </c>
      <c r="J351" s="982">
        <v>207836</v>
      </c>
      <c r="K351" s="982">
        <v>37548</v>
      </c>
      <c r="L351" s="982">
        <v>131793</v>
      </c>
      <c r="M351" s="453"/>
      <c r="N351" s="454"/>
    </row>
    <row r="352" spans="1:16" s="462" customFormat="1" ht="18" customHeight="1" x14ac:dyDescent="0.3">
      <c r="A352" s="229">
        <v>345</v>
      </c>
      <c r="B352" s="457"/>
      <c r="C352" s="458"/>
      <c r="D352" s="976" t="s">
        <v>861</v>
      </c>
      <c r="E352" s="460"/>
      <c r="F352" s="460"/>
      <c r="G352" s="1382"/>
      <c r="H352" s="461"/>
      <c r="I352" s="980">
        <f>SUM(J352:N352)</f>
        <v>116514</v>
      </c>
      <c r="J352" s="985">
        <v>68948</v>
      </c>
      <c r="K352" s="985">
        <v>7956</v>
      </c>
      <c r="L352" s="985">
        <v>39610</v>
      </c>
      <c r="M352" s="453"/>
      <c r="N352" s="454"/>
    </row>
    <row r="353" spans="1:16" s="8" customFormat="1" ht="22.5" customHeight="1" x14ac:dyDescent="0.3">
      <c r="A353" s="229">
        <v>346</v>
      </c>
      <c r="B353" s="77"/>
      <c r="C353" s="74">
        <v>70</v>
      </c>
      <c r="D353" s="224" t="s">
        <v>312</v>
      </c>
      <c r="E353" s="76">
        <v>180</v>
      </c>
      <c r="F353" s="76">
        <v>180</v>
      </c>
      <c r="G353" s="1380">
        <v>90</v>
      </c>
      <c r="H353" s="231" t="s">
        <v>23</v>
      </c>
      <c r="I353" s="452"/>
      <c r="J353" s="570"/>
      <c r="K353" s="570"/>
      <c r="L353" s="570"/>
      <c r="M353" s="570"/>
      <c r="N353" s="571"/>
    </row>
    <row r="354" spans="1:16" s="462" customFormat="1" ht="18" customHeight="1" x14ac:dyDescent="0.3">
      <c r="A354" s="229">
        <v>347</v>
      </c>
      <c r="B354" s="457"/>
      <c r="C354" s="458"/>
      <c r="D354" s="459" t="s">
        <v>268</v>
      </c>
      <c r="E354" s="460"/>
      <c r="F354" s="460"/>
      <c r="G354" s="1382"/>
      <c r="H354" s="461"/>
      <c r="I354" s="452">
        <f>SUM(J354:N354)</f>
        <v>180</v>
      </c>
      <c r="J354" s="453"/>
      <c r="K354" s="453"/>
      <c r="L354" s="453">
        <v>180</v>
      </c>
      <c r="M354" s="453"/>
      <c r="N354" s="454"/>
    </row>
    <row r="355" spans="1:16" s="462" customFormat="1" ht="18" customHeight="1" x14ac:dyDescent="0.3">
      <c r="A355" s="229">
        <v>348</v>
      </c>
      <c r="B355" s="457"/>
      <c r="C355" s="458"/>
      <c r="D355" s="224" t="s">
        <v>796</v>
      </c>
      <c r="E355" s="460"/>
      <c r="F355" s="460"/>
      <c r="G355" s="1382"/>
      <c r="H355" s="461"/>
      <c r="I355" s="977">
        <f>SUM(J355:N355)</f>
        <v>180</v>
      </c>
      <c r="J355" s="453"/>
      <c r="K355" s="453"/>
      <c r="L355" s="982">
        <v>180</v>
      </c>
      <c r="M355" s="453"/>
      <c r="N355" s="454"/>
    </row>
    <row r="356" spans="1:16" s="462" customFormat="1" ht="18" customHeight="1" x14ac:dyDescent="0.3">
      <c r="A356" s="229">
        <v>349</v>
      </c>
      <c r="B356" s="457"/>
      <c r="C356" s="458"/>
      <c r="D356" s="976" t="s">
        <v>860</v>
      </c>
      <c r="E356" s="460"/>
      <c r="F356" s="460"/>
      <c r="G356" s="1382"/>
      <c r="H356" s="461"/>
      <c r="I356" s="980">
        <f>SUM(J356:N356)</f>
        <v>0</v>
      </c>
      <c r="J356" s="453"/>
      <c r="K356" s="453"/>
      <c r="L356" s="982"/>
      <c r="M356" s="453"/>
      <c r="N356" s="454"/>
    </row>
    <row r="357" spans="1:16" s="3" customFormat="1" ht="22.5" customHeight="1" x14ac:dyDescent="0.3">
      <c r="A357" s="229">
        <v>350</v>
      </c>
      <c r="B357" s="73"/>
      <c r="C357" s="74">
        <v>71</v>
      </c>
      <c r="D357" s="225" t="s">
        <v>79</v>
      </c>
      <c r="E357" s="76">
        <v>16203</v>
      </c>
      <c r="F357" s="76">
        <v>62975</v>
      </c>
      <c r="G357" s="1380">
        <v>38246</v>
      </c>
      <c r="H357" s="231" t="s">
        <v>23</v>
      </c>
      <c r="I357" s="452"/>
      <c r="J357" s="570"/>
      <c r="K357" s="570"/>
      <c r="L357" s="570"/>
      <c r="M357" s="570"/>
      <c r="N357" s="571"/>
      <c r="P357" s="8"/>
    </row>
    <row r="358" spans="1:16" s="462" customFormat="1" ht="18" customHeight="1" x14ac:dyDescent="0.3">
      <c r="A358" s="229">
        <v>351</v>
      </c>
      <c r="B358" s="477"/>
      <c r="C358" s="458"/>
      <c r="D358" s="459" t="s">
        <v>268</v>
      </c>
      <c r="E358" s="463"/>
      <c r="F358" s="463"/>
      <c r="G358" s="1388"/>
      <c r="H358" s="464"/>
      <c r="I358" s="452">
        <f>SUM(J358:N358)</f>
        <v>204027</v>
      </c>
      <c r="J358" s="465"/>
      <c r="K358" s="465"/>
      <c r="L358" s="465">
        <v>4000</v>
      </c>
      <c r="M358" s="465"/>
      <c r="N358" s="466">
        <f>65498+141029-5000-1500</f>
        <v>200027</v>
      </c>
    </row>
    <row r="359" spans="1:16" s="462" customFormat="1" ht="18" customHeight="1" x14ac:dyDescent="0.3">
      <c r="A359" s="229">
        <v>352</v>
      </c>
      <c r="B359" s="477"/>
      <c r="C359" s="458"/>
      <c r="D359" s="224" t="s">
        <v>796</v>
      </c>
      <c r="E359" s="463"/>
      <c r="F359" s="463"/>
      <c r="G359" s="1388"/>
      <c r="H359" s="464"/>
      <c r="I359" s="977">
        <f>SUM(J359:N359)</f>
        <v>496217</v>
      </c>
      <c r="J359" s="465"/>
      <c r="K359" s="465"/>
      <c r="L359" s="975">
        <v>4000</v>
      </c>
      <c r="M359" s="975"/>
      <c r="N359" s="995">
        <v>492217</v>
      </c>
    </row>
    <row r="360" spans="1:16" s="462" customFormat="1" ht="18" customHeight="1" x14ac:dyDescent="0.3">
      <c r="A360" s="229">
        <v>353</v>
      </c>
      <c r="B360" s="477"/>
      <c r="C360" s="458"/>
      <c r="D360" s="976" t="s">
        <v>861</v>
      </c>
      <c r="E360" s="463"/>
      <c r="F360" s="463"/>
      <c r="G360" s="1388"/>
      <c r="H360" s="464"/>
      <c r="I360" s="980">
        <f>SUM(J360:N360)</f>
        <v>8562</v>
      </c>
      <c r="J360" s="465"/>
      <c r="K360" s="465"/>
      <c r="L360" s="975"/>
      <c r="M360" s="975"/>
      <c r="N360" s="979">
        <v>8562</v>
      </c>
    </row>
    <row r="361" spans="1:16" s="3" customFormat="1" ht="22.5" customHeight="1" x14ac:dyDescent="0.3">
      <c r="A361" s="229">
        <v>354</v>
      </c>
      <c r="B361" s="73"/>
      <c r="C361" s="74">
        <v>72</v>
      </c>
      <c r="D361" s="225" t="s">
        <v>80</v>
      </c>
      <c r="E361" s="76">
        <v>119740</v>
      </c>
      <c r="F361" s="76">
        <v>138289</v>
      </c>
      <c r="G361" s="1380">
        <v>176033</v>
      </c>
      <c r="H361" s="231" t="s">
        <v>23</v>
      </c>
      <c r="I361" s="452"/>
      <c r="J361" s="570"/>
      <c r="K361" s="570"/>
      <c r="L361" s="570"/>
      <c r="M361" s="570"/>
      <c r="N361" s="571"/>
      <c r="P361" s="8"/>
    </row>
    <row r="362" spans="1:16" s="462" customFormat="1" ht="18" customHeight="1" x14ac:dyDescent="0.3">
      <c r="A362" s="229">
        <v>355</v>
      </c>
      <c r="B362" s="457"/>
      <c r="C362" s="458"/>
      <c r="D362" s="459" t="s">
        <v>268</v>
      </c>
      <c r="E362" s="460"/>
      <c r="F362" s="460"/>
      <c r="G362" s="1382"/>
      <c r="H362" s="461"/>
      <c r="I362" s="452">
        <f>SUM(J362:N362)</f>
        <v>149569</v>
      </c>
      <c r="J362" s="453"/>
      <c r="K362" s="453"/>
      <c r="L362" s="453">
        <v>149569</v>
      </c>
      <c r="M362" s="453"/>
      <c r="N362" s="454"/>
    </row>
    <row r="363" spans="1:16" s="462" customFormat="1" ht="18" customHeight="1" x14ac:dyDescent="0.3">
      <c r="A363" s="229">
        <v>356</v>
      </c>
      <c r="B363" s="457"/>
      <c r="C363" s="458"/>
      <c r="D363" s="224" t="s">
        <v>796</v>
      </c>
      <c r="E363" s="460"/>
      <c r="F363" s="460"/>
      <c r="G363" s="1382"/>
      <c r="H363" s="461"/>
      <c r="I363" s="977">
        <f>SUM(J363:N363)</f>
        <v>534218</v>
      </c>
      <c r="J363" s="453"/>
      <c r="K363" s="453"/>
      <c r="L363" s="982">
        <v>534218</v>
      </c>
      <c r="M363" s="453"/>
      <c r="N363" s="454"/>
    </row>
    <row r="364" spans="1:16" s="462" customFormat="1" ht="18" customHeight="1" x14ac:dyDescent="0.3">
      <c r="A364" s="229">
        <v>357</v>
      </c>
      <c r="B364" s="457"/>
      <c r="C364" s="458"/>
      <c r="D364" s="976" t="s">
        <v>861</v>
      </c>
      <c r="E364" s="460"/>
      <c r="F364" s="460"/>
      <c r="G364" s="1382"/>
      <c r="H364" s="461"/>
      <c r="I364" s="980">
        <f>SUM(J364:N364)</f>
        <v>78892</v>
      </c>
      <c r="J364" s="453"/>
      <c r="K364" s="453"/>
      <c r="L364" s="985">
        <v>78892</v>
      </c>
      <c r="M364" s="453"/>
      <c r="N364" s="454"/>
    </row>
    <row r="365" spans="1:16" s="3" customFormat="1" ht="22.5" customHeight="1" x14ac:dyDescent="0.3">
      <c r="A365" s="229">
        <v>358</v>
      </c>
      <c r="B365" s="73"/>
      <c r="C365" s="74">
        <v>73</v>
      </c>
      <c r="D365" s="225" t="s">
        <v>81</v>
      </c>
      <c r="E365" s="76">
        <v>14245</v>
      </c>
      <c r="F365" s="76">
        <v>51870</v>
      </c>
      <c r="G365" s="1380">
        <v>26826</v>
      </c>
      <c r="H365" s="231" t="s">
        <v>24</v>
      </c>
      <c r="I365" s="452"/>
      <c r="J365" s="570"/>
      <c r="K365" s="570"/>
      <c r="L365" s="570"/>
      <c r="M365" s="570"/>
      <c r="N365" s="571"/>
      <c r="P365" s="8"/>
    </row>
    <row r="366" spans="1:16" s="462" customFormat="1" ht="18" customHeight="1" x14ac:dyDescent="0.3">
      <c r="A366" s="229">
        <v>359</v>
      </c>
      <c r="B366" s="457"/>
      <c r="C366" s="458"/>
      <c r="D366" s="459" t="s">
        <v>268</v>
      </c>
      <c r="E366" s="460"/>
      <c r="F366" s="460"/>
      <c r="G366" s="1382"/>
      <c r="H366" s="461"/>
      <c r="I366" s="452">
        <f>SUM(J366:N366)</f>
        <v>125311</v>
      </c>
      <c r="J366" s="453"/>
      <c r="K366" s="453"/>
      <c r="L366" s="453">
        <v>125311</v>
      </c>
      <c r="M366" s="453"/>
      <c r="N366" s="454"/>
    </row>
    <row r="367" spans="1:16" s="462" customFormat="1" ht="18" customHeight="1" x14ac:dyDescent="0.3">
      <c r="A367" s="229">
        <v>360</v>
      </c>
      <c r="B367" s="457"/>
      <c r="C367" s="458"/>
      <c r="D367" s="224" t="s">
        <v>796</v>
      </c>
      <c r="E367" s="460"/>
      <c r="F367" s="460"/>
      <c r="G367" s="1382"/>
      <c r="H367" s="461"/>
      <c r="I367" s="977">
        <f>SUM(J367:N367)</f>
        <v>125311</v>
      </c>
      <c r="J367" s="453"/>
      <c r="K367" s="453"/>
      <c r="L367" s="982">
        <v>125311</v>
      </c>
      <c r="M367" s="453"/>
      <c r="N367" s="454"/>
    </row>
    <row r="368" spans="1:16" s="462" customFormat="1" ht="18" customHeight="1" x14ac:dyDescent="0.3">
      <c r="A368" s="229">
        <v>361</v>
      </c>
      <c r="B368" s="457"/>
      <c r="C368" s="458"/>
      <c r="D368" s="976" t="s">
        <v>860</v>
      </c>
      <c r="E368" s="460"/>
      <c r="F368" s="460"/>
      <c r="G368" s="1382"/>
      <c r="H368" s="461"/>
      <c r="I368" s="980">
        <f>SUM(J368:N368)</f>
        <v>37016</v>
      </c>
      <c r="J368" s="453"/>
      <c r="K368" s="453"/>
      <c r="L368" s="985">
        <f>38791-1775</f>
        <v>37016</v>
      </c>
      <c r="M368" s="453"/>
      <c r="N368" s="454"/>
    </row>
    <row r="369" spans="1:16" s="8" customFormat="1" ht="22.5" customHeight="1" x14ac:dyDescent="0.3">
      <c r="A369" s="229">
        <v>362</v>
      </c>
      <c r="B369" s="77"/>
      <c r="C369" s="74">
        <v>74</v>
      </c>
      <c r="D369" s="224" t="s">
        <v>313</v>
      </c>
      <c r="E369" s="76">
        <v>304689</v>
      </c>
      <c r="F369" s="76">
        <v>1618046</v>
      </c>
      <c r="G369" s="1380">
        <v>1618046</v>
      </c>
      <c r="H369" s="231" t="s">
        <v>23</v>
      </c>
      <c r="I369" s="452"/>
      <c r="J369" s="570"/>
      <c r="K369" s="570"/>
      <c r="L369" s="570"/>
      <c r="M369" s="570"/>
      <c r="N369" s="571"/>
    </row>
    <row r="370" spans="1:16" s="462" customFormat="1" ht="18" customHeight="1" x14ac:dyDescent="0.3">
      <c r="A370" s="229">
        <v>363</v>
      </c>
      <c r="B370" s="457"/>
      <c r="C370" s="458"/>
      <c r="D370" s="459" t="s">
        <v>268</v>
      </c>
      <c r="E370" s="460"/>
      <c r="F370" s="460"/>
      <c r="G370" s="1382"/>
      <c r="H370" s="461"/>
      <c r="I370" s="452">
        <f>SUM(J370:N370)</f>
        <v>1667835</v>
      </c>
      <c r="J370" s="453"/>
      <c r="K370" s="453"/>
      <c r="L370" s="453"/>
      <c r="M370" s="453"/>
      <c r="N370" s="454">
        <v>1667835</v>
      </c>
    </row>
    <row r="371" spans="1:16" s="462" customFormat="1" ht="18" customHeight="1" x14ac:dyDescent="0.3">
      <c r="A371" s="229">
        <v>364</v>
      </c>
      <c r="B371" s="457"/>
      <c r="C371" s="458"/>
      <c r="D371" s="224" t="s">
        <v>796</v>
      </c>
      <c r="E371" s="460"/>
      <c r="F371" s="460"/>
      <c r="G371" s="1382"/>
      <c r="H371" s="461"/>
      <c r="I371" s="977">
        <f>SUM(J371:N371)</f>
        <v>1667835</v>
      </c>
      <c r="J371" s="453"/>
      <c r="K371" s="453"/>
      <c r="L371" s="453"/>
      <c r="M371" s="453"/>
      <c r="N371" s="983">
        <v>1667835</v>
      </c>
    </row>
    <row r="372" spans="1:16" s="462" customFormat="1" ht="18" customHeight="1" x14ac:dyDescent="0.3">
      <c r="A372" s="229">
        <v>365</v>
      </c>
      <c r="B372" s="457"/>
      <c r="C372" s="458"/>
      <c r="D372" s="976" t="s">
        <v>860</v>
      </c>
      <c r="E372" s="460"/>
      <c r="F372" s="460"/>
      <c r="G372" s="1382"/>
      <c r="H372" s="461"/>
      <c r="I372" s="980">
        <f>SUM(J372:N372)</f>
        <v>867274</v>
      </c>
      <c r="J372" s="453"/>
      <c r="K372" s="453"/>
      <c r="L372" s="453"/>
      <c r="M372" s="453"/>
      <c r="N372" s="986">
        <v>867274</v>
      </c>
    </row>
    <row r="373" spans="1:16" s="3" customFormat="1" ht="22.5" customHeight="1" x14ac:dyDescent="0.3">
      <c r="A373" s="229">
        <v>366</v>
      </c>
      <c r="B373" s="73"/>
      <c r="C373" s="74">
        <v>75</v>
      </c>
      <c r="D373" s="225" t="s">
        <v>82</v>
      </c>
      <c r="E373" s="76">
        <v>12750</v>
      </c>
      <c r="F373" s="76">
        <v>7500</v>
      </c>
      <c r="G373" s="1380">
        <v>4500</v>
      </c>
      <c r="H373" s="231" t="s">
        <v>24</v>
      </c>
      <c r="I373" s="452"/>
      <c r="J373" s="570"/>
      <c r="K373" s="570"/>
      <c r="L373" s="570"/>
      <c r="M373" s="570"/>
      <c r="N373" s="571"/>
      <c r="P373" s="8"/>
    </row>
    <row r="374" spans="1:16" s="462" customFormat="1" ht="18" customHeight="1" x14ac:dyDescent="0.3">
      <c r="A374" s="229">
        <v>367</v>
      </c>
      <c r="B374" s="457"/>
      <c r="C374" s="458"/>
      <c r="D374" s="459" t="s">
        <v>268</v>
      </c>
      <c r="E374" s="460"/>
      <c r="F374" s="460"/>
      <c r="G374" s="1382"/>
      <c r="H374" s="461"/>
      <c r="I374" s="452">
        <f>SUM(J374:N374)</f>
        <v>2000</v>
      </c>
      <c r="J374" s="453"/>
      <c r="K374" s="453"/>
      <c r="L374" s="453"/>
      <c r="M374" s="453"/>
      <c r="N374" s="454">
        <v>2000</v>
      </c>
    </row>
    <row r="375" spans="1:16" s="462" customFormat="1" ht="18" customHeight="1" x14ac:dyDescent="0.3">
      <c r="A375" s="229">
        <v>368</v>
      </c>
      <c r="B375" s="457"/>
      <c r="C375" s="458"/>
      <c r="D375" s="224" t="s">
        <v>796</v>
      </c>
      <c r="E375" s="460"/>
      <c r="F375" s="460"/>
      <c r="G375" s="1382"/>
      <c r="H375" s="461"/>
      <c r="I375" s="977">
        <f>SUM(J375:N375)</f>
        <v>3276</v>
      </c>
      <c r="J375" s="453"/>
      <c r="K375" s="453"/>
      <c r="L375" s="453"/>
      <c r="M375" s="453"/>
      <c r="N375" s="983">
        <v>3276</v>
      </c>
    </row>
    <row r="376" spans="1:16" s="462" customFormat="1" ht="18" customHeight="1" x14ac:dyDescent="0.3">
      <c r="A376" s="229">
        <v>369</v>
      </c>
      <c r="B376" s="457"/>
      <c r="C376" s="458"/>
      <c r="D376" s="976" t="s">
        <v>861</v>
      </c>
      <c r="E376" s="460"/>
      <c r="F376" s="460"/>
      <c r="G376" s="1382"/>
      <c r="H376" s="461"/>
      <c r="I376" s="980">
        <f>SUM(J376:N376)</f>
        <v>2500</v>
      </c>
      <c r="J376" s="453"/>
      <c r="K376" s="453"/>
      <c r="L376" s="453"/>
      <c r="M376" s="453"/>
      <c r="N376" s="986">
        <v>2500</v>
      </c>
    </row>
    <row r="377" spans="1:16" s="462" customFormat="1" ht="18" customHeight="1" x14ac:dyDescent="0.3">
      <c r="A377" s="229">
        <v>370</v>
      </c>
      <c r="B377" s="457"/>
      <c r="C377" s="458"/>
      <c r="D377" s="1427" t="s">
        <v>822</v>
      </c>
      <c r="E377" s="460"/>
      <c r="F377" s="460"/>
      <c r="G377" s="1382"/>
      <c r="H377" s="461"/>
      <c r="I377" s="977"/>
      <c r="J377" s="453"/>
      <c r="K377" s="453"/>
      <c r="L377" s="453"/>
      <c r="M377" s="453"/>
      <c r="N377" s="983"/>
    </row>
    <row r="378" spans="1:16" s="462" customFormat="1" ht="18" customHeight="1" x14ac:dyDescent="0.3">
      <c r="A378" s="229">
        <v>371</v>
      </c>
      <c r="B378" s="457"/>
      <c r="C378" s="458"/>
      <c r="D378" s="981" t="s">
        <v>796</v>
      </c>
      <c r="E378" s="460"/>
      <c r="F378" s="460"/>
      <c r="G378" s="1382"/>
      <c r="H378" s="461"/>
      <c r="I378" s="977">
        <f>SUM(J378:N378)</f>
        <v>500</v>
      </c>
      <c r="J378" s="453"/>
      <c r="K378" s="453"/>
      <c r="L378" s="453"/>
      <c r="M378" s="453"/>
      <c r="N378" s="983">
        <v>500</v>
      </c>
    </row>
    <row r="379" spans="1:16" s="462" customFormat="1" ht="18" customHeight="1" x14ac:dyDescent="0.3">
      <c r="A379" s="229">
        <v>372</v>
      </c>
      <c r="B379" s="457"/>
      <c r="C379" s="458"/>
      <c r="D379" s="981" t="s">
        <v>861</v>
      </c>
      <c r="E379" s="460"/>
      <c r="F379" s="460"/>
      <c r="G379" s="1382"/>
      <c r="H379" s="461"/>
      <c r="I379" s="980">
        <f>SUM(J379:N379)</f>
        <v>0</v>
      </c>
      <c r="J379" s="453"/>
      <c r="K379" s="453"/>
      <c r="L379" s="453"/>
      <c r="M379" s="453"/>
      <c r="N379" s="986"/>
    </row>
    <row r="380" spans="1:16" s="3" customFormat="1" ht="22.5" customHeight="1" x14ac:dyDescent="0.3">
      <c r="A380" s="229">
        <v>373</v>
      </c>
      <c r="B380" s="73"/>
      <c r="C380" s="74">
        <v>76</v>
      </c>
      <c r="D380" s="225" t="s">
        <v>85</v>
      </c>
      <c r="E380" s="76">
        <v>58150</v>
      </c>
      <c r="F380" s="76">
        <v>28000</v>
      </c>
      <c r="G380" s="1380">
        <v>28000</v>
      </c>
      <c r="H380" s="231" t="s">
        <v>24</v>
      </c>
      <c r="I380" s="452"/>
      <c r="J380" s="570"/>
      <c r="K380" s="570"/>
      <c r="L380" s="570"/>
      <c r="M380" s="570"/>
      <c r="N380" s="571"/>
      <c r="P380" s="8"/>
    </row>
    <row r="381" spans="1:16" s="462" customFormat="1" ht="18" customHeight="1" x14ac:dyDescent="0.3">
      <c r="A381" s="229">
        <v>374</v>
      </c>
      <c r="B381" s="457"/>
      <c r="C381" s="458"/>
      <c r="D381" s="459" t="s">
        <v>268</v>
      </c>
      <c r="E381" s="460"/>
      <c r="F381" s="460"/>
      <c r="G381" s="1382"/>
      <c r="H381" s="461"/>
      <c r="I381" s="452">
        <f>SUM(J381:N381)</f>
        <v>10000</v>
      </c>
      <c r="J381" s="453"/>
      <c r="K381" s="453"/>
      <c r="L381" s="453"/>
      <c r="M381" s="453"/>
      <c r="N381" s="454">
        <v>10000</v>
      </c>
    </row>
    <row r="382" spans="1:16" s="462" customFormat="1" ht="18" customHeight="1" x14ac:dyDescent="0.3">
      <c r="A382" s="229">
        <v>375</v>
      </c>
      <c r="B382" s="457"/>
      <c r="C382" s="458"/>
      <c r="D382" s="224" t="s">
        <v>796</v>
      </c>
      <c r="E382" s="460"/>
      <c r="F382" s="460"/>
      <c r="G382" s="1382"/>
      <c r="H382" s="461"/>
      <c r="I382" s="977">
        <f>SUM(J382:N382)</f>
        <v>30000</v>
      </c>
      <c r="J382" s="453"/>
      <c r="K382" s="453"/>
      <c r="L382" s="453"/>
      <c r="M382" s="453"/>
      <c r="N382" s="983">
        <v>30000</v>
      </c>
    </row>
    <row r="383" spans="1:16" s="462" customFormat="1" ht="18" customHeight="1" x14ac:dyDescent="0.3">
      <c r="A383" s="229">
        <v>376</v>
      </c>
      <c r="B383" s="457"/>
      <c r="C383" s="458"/>
      <c r="D383" s="976" t="s">
        <v>861</v>
      </c>
      <c r="E383" s="460"/>
      <c r="F383" s="460"/>
      <c r="G383" s="1382"/>
      <c r="H383" s="461"/>
      <c r="I383" s="980">
        <f>SUM(J383:N383)</f>
        <v>30000</v>
      </c>
      <c r="J383" s="453"/>
      <c r="K383" s="453"/>
      <c r="L383" s="453"/>
      <c r="M383" s="453"/>
      <c r="N383" s="986">
        <v>30000</v>
      </c>
    </row>
    <row r="384" spans="1:16" s="3" customFormat="1" ht="22.5" customHeight="1" x14ac:dyDescent="0.3">
      <c r="A384" s="229">
        <v>377</v>
      </c>
      <c r="B384" s="73"/>
      <c r="C384" s="74">
        <v>77</v>
      </c>
      <c r="D384" s="225" t="s">
        <v>86</v>
      </c>
      <c r="E384" s="76">
        <v>103000</v>
      </c>
      <c r="F384" s="76">
        <v>0</v>
      </c>
      <c r="G384" s="1380">
        <v>0</v>
      </c>
      <c r="H384" s="231" t="s">
        <v>24</v>
      </c>
      <c r="I384" s="452"/>
      <c r="J384" s="570"/>
      <c r="K384" s="570"/>
      <c r="L384" s="570"/>
      <c r="M384" s="570"/>
      <c r="N384" s="571"/>
      <c r="P384" s="8"/>
    </row>
    <row r="385" spans="1:16" s="3" customFormat="1" ht="20.100000000000001" customHeight="1" x14ac:dyDescent="0.3">
      <c r="A385" s="229">
        <v>378</v>
      </c>
      <c r="B385" s="73"/>
      <c r="C385" s="74"/>
      <c r="D385" s="459" t="s">
        <v>268</v>
      </c>
      <c r="E385" s="76"/>
      <c r="F385" s="76"/>
      <c r="G385" s="1380"/>
      <c r="H385" s="231"/>
      <c r="I385" s="452">
        <f>SUM(J385:N385)</f>
        <v>50000</v>
      </c>
      <c r="J385" s="570"/>
      <c r="K385" s="570"/>
      <c r="L385" s="570"/>
      <c r="M385" s="570"/>
      <c r="N385" s="454">
        <v>50000</v>
      </c>
      <c r="P385" s="8"/>
    </row>
    <row r="386" spans="1:16" s="3" customFormat="1" ht="20.100000000000001" customHeight="1" x14ac:dyDescent="0.3">
      <c r="A386" s="229">
        <v>379</v>
      </c>
      <c r="B386" s="73"/>
      <c r="C386" s="74"/>
      <c r="D386" s="224" t="s">
        <v>796</v>
      </c>
      <c r="E386" s="76"/>
      <c r="F386" s="76"/>
      <c r="G386" s="1380"/>
      <c r="H386" s="231"/>
      <c r="I386" s="977">
        <f>SUM(J386:N386)</f>
        <v>50000</v>
      </c>
      <c r="J386" s="570"/>
      <c r="K386" s="570"/>
      <c r="L386" s="570"/>
      <c r="M386" s="570"/>
      <c r="N386" s="983">
        <v>50000</v>
      </c>
      <c r="P386" s="8"/>
    </row>
    <row r="387" spans="1:16" s="3" customFormat="1" ht="20.100000000000001" customHeight="1" x14ac:dyDescent="0.3">
      <c r="A387" s="229">
        <v>380</v>
      </c>
      <c r="B387" s="73"/>
      <c r="C387" s="74"/>
      <c r="D387" s="976" t="s">
        <v>860</v>
      </c>
      <c r="E387" s="76"/>
      <c r="F387" s="76"/>
      <c r="G387" s="1380"/>
      <c r="H387" s="231"/>
      <c r="I387" s="980">
        <f>SUM(J387:N387)</f>
        <v>35000</v>
      </c>
      <c r="J387" s="570"/>
      <c r="K387" s="570"/>
      <c r="L387" s="570"/>
      <c r="M387" s="570"/>
      <c r="N387" s="986">
        <v>35000</v>
      </c>
      <c r="P387" s="8"/>
    </row>
    <row r="388" spans="1:16" s="3" customFormat="1" ht="22.5" customHeight="1" x14ac:dyDescent="0.3">
      <c r="A388" s="229">
        <v>381</v>
      </c>
      <c r="B388" s="73"/>
      <c r="C388" s="74">
        <v>78</v>
      </c>
      <c r="D388" s="225" t="s">
        <v>87</v>
      </c>
      <c r="E388" s="76">
        <v>0</v>
      </c>
      <c r="F388" s="76">
        <v>0</v>
      </c>
      <c r="G388" s="1380">
        <v>0</v>
      </c>
      <c r="H388" s="231" t="s">
        <v>24</v>
      </c>
      <c r="I388" s="452"/>
      <c r="J388" s="570"/>
      <c r="K388" s="570"/>
      <c r="L388" s="570"/>
      <c r="M388" s="570"/>
      <c r="N388" s="571"/>
      <c r="P388" s="8"/>
    </row>
    <row r="389" spans="1:16" s="3" customFormat="1" ht="22.5" customHeight="1" x14ac:dyDescent="0.3">
      <c r="A389" s="229">
        <v>382</v>
      </c>
      <c r="B389" s="73"/>
      <c r="C389" s="74">
        <v>79</v>
      </c>
      <c r="D389" s="225" t="s">
        <v>88</v>
      </c>
      <c r="E389" s="76">
        <v>22000</v>
      </c>
      <c r="F389" s="76">
        <v>22000</v>
      </c>
      <c r="G389" s="1380">
        <v>22000</v>
      </c>
      <c r="H389" s="231" t="s">
        <v>24</v>
      </c>
      <c r="I389" s="452"/>
      <c r="J389" s="570"/>
      <c r="K389" s="570"/>
      <c r="L389" s="570"/>
      <c r="M389" s="570"/>
      <c r="N389" s="571"/>
      <c r="P389" s="8"/>
    </row>
    <row r="390" spans="1:16" s="462" customFormat="1" ht="18" customHeight="1" x14ac:dyDescent="0.3">
      <c r="A390" s="229">
        <v>383</v>
      </c>
      <c r="B390" s="457"/>
      <c r="C390" s="458"/>
      <c r="D390" s="459" t="s">
        <v>268</v>
      </c>
      <c r="E390" s="460"/>
      <c r="F390" s="460"/>
      <c r="G390" s="1382"/>
      <c r="H390" s="461"/>
      <c r="I390" s="452">
        <f>SUM(J390:N390)</f>
        <v>22000</v>
      </c>
      <c r="J390" s="453"/>
      <c r="K390" s="453"/>
      <c r="L390" s="453">
        <v>22000</v>
      </c>
      <c r="M390" s="453"/>
      <c r="N390" s="454"/>
    </row>
    <row r="391" spans="1:16" s="462" customFormat="1" ht="18" customHeight="1" x14ac:dyDescent="0.3">
      <c r="A391" s="229">
        <v>384</v>
      </c>
      <c r="B391" s="457"/>
      <c r="C391" s="458"/>
      <c r="D391" s="224" t="s">
        <v>796</v>
      </c>
      <c r="E391" s="460"/>
      <c r="F391" s="460"/>
      <c r="G391" s="1382"/>
      <c r="H391" s="461"/>
      <c r="I391" s="977">
        <f>SUM(J391:N391)</f>
        <v>22000</v>
      </c>
      <c r="J391" s="453"/>
      <c r="K391" s="453"/>
      <c r="L391" s="982">
        <v>22000</v>
      </c>
      <c r="M391" s="453"/>
      <c r="N391" s="454"/>
    </row>
    <row r="392" spans="1:16" s="462" customFormat="1" ht="18" customHeight="1" x14ac:dyDescent="0.3">
      <c r="A392" s="229">
        <v>385</v>
      </c>
      <c r="B392" s="457"/>
      <c r="C392" s="458"/>
      <c r="D392" s="976" t="s">
        <v>860</v>
      </c>
      <c r="E392" s="460"/>
      <c r="F392" s="460"/>
      <c r="G392" s="1382"/>
      <c r="H392" s="461"/>
      <c r="I392" s="980">
        <f>SUM(J392:N392)</f>
        <v>11000</v>
      </c>
      <c r="J392" s="453"/>
      <c r="K392" s="453"/>
      <c r="L392" s="985">
        <v>11000</v>
      </c>
      <c r="M392" s="453"/>
      <c r="N392" s="454"/>
    </row>
    <row r="393" spans="1:16" s="3" customFormat="1" ht="22.5" customHeight="1" x14ac:dyDescent="0.3">
      <c r="A393" s="229">
        <v>386</v>
      </c>
      <c r="B393" s="73"/>
      <c r="C393" s="74">
        <v>80</v>
      </c>
      <c r="D393" s="225" t="s">
        <v>224</v>
      </c>
      <c r="E393" s="76">
        <v>38100</v>
      </c>
      <c r="F393" s="76">
        <v>38100</v>
      </c>
      <c r="G393" s="1380">
        <v>38100</v>
      </c>
      <c r="H393" s="231" t="s">
        <v>24</v>
      </c>
      <c r="I393" s="452"/>
      <c r="J393" s="570"/>
      <c r="K393" s="570"/>
      <c r="L393" s="570"/>
      <c r="M393" s="570"/>
      <c r="N393" s="571"/>
      <c r="P393" s="8"/>
    </row>
    <row r="394" spans="1:16" s="3" customFormat="1" ht="17.25" customHeight="1" x14ac:dyDescent="0.3">
      <c r="A394" s="229">
        <v>387</v>
      </c>
      <c r="B394" s="73"/>
      <c r="C394" s="74"/>
      <c r="D394" s="224" t="s">
        <v>796</v>
      </c>
      <c r="E394" s="76"/>
      <c r="F394" s="76"/>
      <c r="G394" s="1380"/>
      <c r="H394" s="231"/>
      <c r="I394" s="977">
        <f>SUM(J394:N394)</f>
        <v>3175</v>
      </c>
      <c r="J394" s="570"/>
      <c r="K394" s="570"/>
      <c r="L394" s="982">
        <v>3175</v>
      </c>
      <c r="M394" s="570"/>
      <c r="N394" s="571"/>
      <c r="P394" s="8"/>
    </row>
    <row r="395" spans="1:16" s="3" customFormat="1" ht="18" customHeight="1" x14ac:dyDescent="0.3">
      <c r="A395" s="229">
        <v>388</v>
      </c>
      <c r="B395" s="73"/>
      <c r="C395" s="74"/>
      <c r="D395" s="976" t="s">
        <v>861</v>
      </c>
      <c r="E395" s="76"/>
      <c r="F395" s="76"/>
      <c r="G395" s="1380"/>
      <c r="H395" s="231"/>
      <c r="I395" s="980">
        <f>SUM(J395:N395)</f>
        <v>3175</v>
      </c>
      <c r="J395" s="570"/>
      <c r="K395" s="570"/>
      <c r="L395" s="985">
        <v>3175</v>
      </c>
      <c r="M395" s="570"/>
      <c r="N395" s="571"/>
      <c r="P395" s="8"/>
    </row>
    <row r="396" spans="1:16" s="3" customFormat="1" ht="22.5" customHeight="1" x14ac:dyDescent="0.3">
      <c r="A396" s="229">
        <v>389</v>
      </c>
      <c r="B396" s="73"/>
      <c r="C396" s="74">
        <v>81</v>
      </c>
      <c r="D396" s="225" t="s">
        <v>89</v>
      </c>
      <c r="E396" s="76">
        <v>2503</v>
      </c>
      <c r="F396" s="76">
        <v>0</v>
      </c>
      <c r="G396" s="1380">
        <v>0</v>
      </c>
      <c r="H396" s="231" t="s">
        <v>24</v>
      </c>
      <c r="I396" s="452"/>
      <c r="J396" s="570"/>
      <c r="K396" s="570"/>
      <c r="L396" s="570"/>
      <c r="M396" s="570"/>
      <c r="N396" s="571"/>
      <c r="P396" s="8"/>
    </row>
    <row r="397" spans="1:16" s="3" customFormat="1" ht="22.5" customHeight="1" x14ac:dyDescent="0.3">
      <c r="A397" s="229">
        <v>390</v>
      </c>
      <c r="B397" s="73"/>
      <c r="C397" s="74">
        <v>82</v>
      </c>
      <c r="D397" s="225" t="s">
        <v>650</v>
      </c>
      <c r="E397" s="76">
        <v>29882</v>
      </c>
      <c r="F397" s="76">
        <v>34150</v>
      </c>
      <c r="G397" s="1380">
        <v>34150</v>
      </c>
      <c r="H397" s="231" t="s">
        <v>24</v>
      </c>
      <c r="I397" s="452"/>
      <c r="J397" s="570"/>
      <c r="K397" s="570"/>
      <c r="L397" s="570"/>
      <c r="M397" s="570"/>
      <c r="N397" s="571"/>
      <c r="P397" s="8"/>
    </row>
    <row r="398" spans="1:16" s="462" customFormat="1" ht="18" customHeight="1" x14ac:dyDescent="0.3">
      <c r="A398" s="229">
        <v>391</v>
      </c>
      <c r="B398" s="457"/>
      <c r="C398" s="458"/>
      <c r="D398" s="459" t="s">
        <v>268</v>
      </c>
      <c r="E398" s="460"/>
      <c r="F398" s="460"/>
      <c r="G398" s="1382"/>
      <c r="H398" s="461"/>
      <c r="I398" s="452">
        <f>SUM(J398:N398)</f>
        <v>65000</v>
      </c>
      <c r="J398" s="453"/>
      <c r="K398" s="453"/>
      <c r="L398" s="453"/>
      <c r="M398" s="453"/>
      <c r="N398" s="454">
        <v>65000</v>
      </c>
    </row>
    <row r="399" spans="1:16" s="462" customFormat="1" ht="18" customHeight="1" x14ac:dyDescent="0.3">
      <c r="A399" s="229">
        <v>392</v>
      </c>
      <c r="B399" s="457"/>
      <c r="C399" s="458"/>
      <c r="D399" s="224" t="s">
        <v>796</v>
      </c>
      <c r="E399" s="460"/>
      <c r="F399" s="460"/>
      <c r="G399" s="1382"/>
      <c r="H399" s="461"/>
      <c r="I399" s="977">
        <f>SUM(J399:N399)</f>
        <v>65000</v>
      </c>
      <c r="J399" s="453"/>
      <c r="K399" s="453"/>
      <c r="L399" s="453"/>
      <c r="M399" s="453"/>
      <c r="N399" s="983">
        <v>65000</v>
      </c>
    </row>
    <row r="400" spans="1:16" s="462" customFormat="1" ht="18" customHeight="1" x14ac:dyDescent="0.3">
      <c r="A400" s="229">
        <v>393</v>
      </c>
      <c r="B400" s="457"/>
      <c r="C400" s="458"/>
      <c r="D400" s="976" t="s">
        <v>860</v>
      </c>
      <c r="E400" s="460"/>
      <c r="F400" s="460"/>
      <c r="G400" s="1382"/>
      <c r="H400" s="461"/>
      <c r="I400" s="980">
        <f>SUM(J400:N400)</f>
        <v>32400</v>
      </c>
      <c r="J400" s="453"/>
      <c r="K400" s="453"/>
      <c r="L400" s="453"/>
      <c r="M400" s="453"/>
      <c r="N400" s="986">
        <v>32400</v>
      </c>
    </row>
    <row r="401" spans="1:16" s="3" customFormat="1" ht="30" x14ac:dyDescent="0.3">
      <c r="A401" s="229">
        <v>394</v>
      </c>
      <c r="B401" s="73"/>
      <c r="C401" s="219">
        <v>83</v>
      </c>
      <c r="D401" s="224" t="s">
        <v>274</v>
      </c>
      <c r="E401" s="76">
        <v>2153</v>
      </c>
      <c r="F401" s="76">
        <v>6000</v>
      </c>
      <c r="G401" s="1380">
        <v>9075</v>
      </c>
      <c r="H401" s="231" t="s">
        <v>24</v>
      </c>
      <c r="I401" s="452"/>
      <c r="J401" s="570"/>
      <c r="K401" s="570"/>
      <c r="L401" s="570"/>
      <c r="M401" s="570"/>
      <c r="N401" s="454"/>
      <c r="P401" s="8"/>
    </row>
    <row r="402" spans="1:16" s="462" customFormat="1" ht="18" customHeight="1" x14ac:dyDescent="0.3">
      <c r="A402" s="229">
        <v>395</v>
      </c>
      <c r="B402" s="457"/>
      <c r="C402" s="458"/>
      <c r="D402" s="459" t="s">
        <v>268</v>
      </c>
      <c r="E402" s="460"/>
      <c r="F402" s="460"/>
      <c r="G402" s="1382"/>
      <c r="H402" s="461"/>
      <c r="I402" s="452">
        <f>SUM(J402:N402)</f>
        <v>31000</v>
      </c>
      <c r="J402" s="453"/>
      <c r="K402" s="453"/>
      <c r="L402" s="453">
        <v>31000</v>
      </c>
      <c r="M402" s="453"/>
      <c r="N402" s="454"/>
    </row>
    <row r="403" spans="1:16" s="462" customFormat="1" ht="18" customHeight="1" x14ac:dyDescent="0.3">
      <c r="A403" s="229">
        <v>396</v>
      </c>
      <c r="B403" s="457"/>
      <c r="C403" s="458"/>
      <c r="D403" s="224" t="s">
        <v>796</v>
      </c>
      <c r="E403" s="460"/>
      <c r="F403" s="460"/>
      <c r="G403" s="1382"/>
      <c r="H403" s="461"/>
      <c r="I403" s="977">
        <f>SUM(J403:N403)</f>
        <v>40117</v>
      </c>
      <c r="J403" s="453"/>
      <c r="K403" s="453"/>
      <c r="L403" s="982">
        <v>40117</v>
      </c>
      <c r="M403" s="453"/>
      <c r="N403" s="454"/>
    </row>
    <row r="404" spans="1:16" s="462" customFormat="1" ht="18" customHeight="1" x14ac:dyDescent="0.3">
      <c r="A404" s="229">
        <v>397</v>
      </c>
      <c r="B404" s="457"/>
      <c r="C404" s="458"/>
      <c r="D404" s="976" t="s">
        <v>861</v>
      </c>
      <c r="E404" s="460"/>
      <c r="F404" s="460"/>
      <c r="G404" s="1382"/>
      <c r="H404" s="461"/>
      <c r="I404" s="980">
        <f>SUM(J404:N404)</f>
        <v>27857</v>
      </c>
      <c r="J404" s="453"/>
      <c r="K404" s="453"/>
      <c r="L404" s="985">
        <v>27857</v>
      </c>
      <c r="M404" s="453"/>
      <c r="N404" s="454"/>
    </row>
    <row r="405" spans="1:16" s="8" customFormat="1" ht="22.5" customHeight="1" x14ac:dyDescent="0.3">
      <c r="A405" s="229">
        <v>398</v>
      </c>
      <c r="B405" s="77"/>
      <c r="C405" s="74">
        <v>84</v>
      </c>
      <c r="D405" s="224" t="s">
        <v>331</v>
      </c>
      <c r="E405" s="76">
        <v>0</v>
      </c>
      <c r="F405" s="76">
        <v>0</v>
      </c>
      <c r="G405" s="1380">
        <v>0</v>
      </c>
      <c r="H405" s="231" t="s">
        <v>24</v>
      </c>
      <c r="I405" s="452"/>
      <c r="J405" s="570"/>
      <c r="K405" s="570"/>
      <c r="L405" s="570"/>
      <c r="M405" s="570"/>
      <c r="N405" s="571"/>
    </row>
    <row r="406" spans="1:16" s="8" customFormat="1" ht="22.5" customHeight="1" x14ac:dyDescent="0.3">
      <c r="A406" s="229">
        <v>399</v>
      </c>
      <c r="B406" s="77"/>
      <c r="C406" s="74">
        <v>85</v>
      </c>
      <c r="D406" s="225" t="s">
        <v>62</v>
      </c>
      <c r="E406" s="76">
        <v>0</v>
      </c>
      <c r="F406" s="76">
        <v>0</v>
      </c>
      <c r="G406" s="1380">
        <v>2400</v>
      </c>
      <c r="H406" s="233" t="s">
        <v>24</v>
      </c>
      <c r="I406" s="575"/>
      <c r="J406" s="576"/>
      <c r="K406" s="576"/>
      <c r="L406" s="576"/>
      <c r="M406" s="576"/>
      <c r="N406" s="577"/>
    </row>
    <row r="407" spans="1:16" s="3" customFormat="1" ht="22.5" customHeight="1" x14ac:dyDescent="0.3">
      <c r="A407" s="229">
        <v>400</v>
      </c>
      <c r="B407" s="73"/>
      <c r="C407" s="74">
        <v>86</v>
      </c>
      <c r="D407" s="225" t="s">
        <v>90</v>
      </c>
      <c r="E407" s="76">
        <v>1342</v>
      </c>
      <c r="F407" s="76">
        <v>2100</v>
      </c>
      <c r="G407" s="1380">
        <v>1723</v>
      </c>
      <c r="H407" s="231" t="s">
        <v>23</v>
      </c>
      <c r="I407" s="452"/>
      <c r="J407" s="570"/>
      <c r="K407" s="570"/>
      <c r="L407" s="570"/>
      <c r="M407" s="570"/>
      <c r="N407" s="571"/>
      <c r="P407" s="8"/>
    </row>
    <row r="408" spans="1:16" s="462" customFormat="1" ht="18" customHeight="1" x14ac:dyDescent="0.3">
      <c r="A408" s="229">
        <v>401</v>
      </c>
      <c r="B408" s="457"/>
      <c r="C408" s="458"/>
      <c r="D408" s="459" t="s">
        <v>268</v>
      </c>
      <c r="E408" s="460"/>
      <c r="F408" s="460"/>
      <c r="G408" s="1382"/>
      <c r="H408" s="461"/>
      <c r="I408" s="452">
        <f>SUM(J408:N408)</f>
        <v>2100</v>
      </c>
      <c r="J408" s="453"/>
      <c r="K408" s="453">
        <v>100</v>
      </c>
      <c r="L408" s="453">
        <v>2000</v>
      </c>
      <c r="M408" s="453"/>
      <c r="N408" s="454"/>
    </row>
    <row r="409" spans="1:16" s="462" customFormat="1" ht="18" customHeight="1" x14ac:dyDescent="0.3">
      <c r="A409" s="229">
        <v>402</v>
      </c>
      <c r="B409" s="457"/>
      <c r="C409" s="458"/>
      <c r="D409" s="224" t="s">
        <v>796</v>
      </c>
      <c r="E409" s="460"/>
      <c r="F409" s="460"/>
      <c r="G409" s="1382"/>
      <c r="H409" s="461"/>
      <c r="I409" s="977">
        <f>SUM(J409:N409)</f>
        <v>3655</v>
      </c>
      <c r="J409" s="982">
        <v>244</v>
      </c>
      <c r="K409" s="982">
        <v>350</v>
      </c>
      <c r="L409" s="982">
        <v>3061</v>
      </c>
      <c r="M409" s="453"/>
      <c r="N409" s="454"/>
    </row>
    <row r="410" spans="1:16" s="462" customFormat="1" ht="18" customHeight="1" x14ac:dyDescent="0.3">
      <c r="A410" s="229">
        <v>403</v>
      </c>
      <c r="B410" s="457"/>
      <c r="C410" s="458"/>
      <c r="D410" s="976" t="s">
        <v>861</v>
      </c>
      <c r="E410" s="460"/>
      <c r="F410" s="460"/>
      <c r="G410" s="1382"/>
      <c r="H410" s="461"/>
      <c r="I410" s="980">
        <f>SUM(J410:N410)</f>
        <v>400</v>
      </c>
      <c r="J410" s="985">
        <v>219</v>
      </c>
      <c r="K410" s="985"/>
      <c r="L410" s="985">
        <v>181</v>
      </c>
      <c r="M410" s="453"/>
      <c r="N410" s="454"/>
    </row>
    <row r="411" spans="1:16" s="8" customFormat="1" ht="22.5" customHeight="1" x14ac:dyDescent="0.3">
      <c r="A411" s="229">
        <v>404</v>
      </c>
      <c r="B411" s="77"/>
      <c r="C411" s="74">
        <v>87</v>
      </c>
      <c r="D411" s="224" t="s">
        <v>332</v>
      </c>
      <c r="E411" s="76">
        <v>812</v>
      </c>
      <c r="F411" s="76">
        <v>100</v>
      </c>
      <c r="G411" s="1380">
        <v>362</v>
      </c>
      <c r="H411" s="231" t="s">
        <v>24</v>
      </c>
      <c r="I411" s="452"/>
      <c r="J411" s="570"/>
      <c r="K411" s="570"/>
      <c r="L411" s="570"/>
      <c r="M411" s="570"/>
      <c r="N411" s="571"/>
    </row>
    <row r="412" spans="1:16" s="462" customFormat="1" ht="18" customHeight="1" x14ac:dyDescent="0.3">
      <c r="A412" s="229">
        <v>405</v>
      </c>
      <c r="B412" s="457"/>
      <c r="C412" s="458"/>
      <c r="D412" s="459" t="s">
        <v>268</v>
      </c>
      <c r="E412" s="460"/>
      <c r="F412" s="460"/>
      <c r="G412" s="1382"/>
      <c r="H412" s="461"/>
      <c r="I412" s="452">
        <f>SUM(J412:N412)</f>
        <v>1200</v>
      </c>
      <c r="J412" s="453"/>
      <c r="K412" s="453"/>
      <c r="L412" s="453">
        <v>1200</v>
      </c>
      <c r="M412" s="453"/>
      <c r="N412" s="454"/>
    </row>
    <row r="413" spans="1:16" s="462" customFormat="1" ht="18" customHeight="1" x14ac:dyDescent="0.3">
      <c r="A413" s="229">
        <v>406</v>
      </c>
      <c r="B413" s="457"/>
      <c r="C413" s="458"/>
      <c r="D413" s="224" t="s">
        <v>796</v>
      </c>
      <c r="E413" s="460"/>
      <c r="F413" s="460"/>
      <c r="G413" s="1382"/>
      <c r="H413" s="461"/>
      <c r="I413" s="977">
        <f>SUM(J413:N413)</f>
        <v>1866</v>
      </c>
      <c r="J413" s="453"/>
      <c r="K413" s="453"/>
      <c r="L413" s="982">
        <v>1866</v>
      </c>
      <c r="M413" s="453"/>
      <c r="N413" s="454"/>
    </row>
    <row r="414" spans="1:16" s="462" customFormat="1" ht="18" customHeight="1" x14ac:dyDescent="0.3">
      <c r="A414" s="229">
        <v>407</v>
      </c>
      <c r="B414" s="457"/>
      <c r="C414" s="458"/>
      <c r="D414" s="976" t="s">
        <v>861</v>
      </c>
      <c r="E414" s="460"/>
      <c r="F414" s="460"/>
      <c r="G414" s="1382"/>
      <c r="H414" s="461"/>
      <c r="I414" s="980">
        <f>SUM(J414:N414)</f>
        <v>46</v>
      </c>
      <c r="J414" s="453"/>
      <c r="K414" s="453"/>
      <c r="L414" s="985">
        <v>46</v>
      </c>
      <c r="M414" s="453"/>
      <c r="N414" s="454"/>
    </row>
    <row r="415" spans="1:16" s="3" customFormat="1" ht="22.5" customHeight="1" x14ac:dyDescent="0.3">
      <c r="A415" s="229">
        <v>408</v>
      </c>
      <c r="B415" s="73"/>
      <c r="C415" s="74">
        <v>88</v>
      </c>
      <c r="D415" s="225" t="s">
        <v>337</v>
      </c>
      <c r="E415" s="76">
        <v>142569</v>
      </c>
      <c r="F415" s="76">
        <v>155000</v>
      </c>
      <c r="G415" s="1380">
        <v>133365</v>
      </c>
      <c r="H415" s="231" t="s">
        <v>23</v>
      </c>
      <c r="I415" s="452"/>
      <c r="J415" s="570"/>
      <c r="K415" s="570"/>
      <c r="L415" s="570"/>
      <c r="M415" s="570"/>
      <c r="N415" s="571"/>
      <c r="P415" s="8"/>
    </row>
    <row r="416" spans="1:16" s="462" customFormat="1" ht="18" customHeight="1" x14ac:dyDescent="0.3">
      <c r="A416" s="229">
        <v>409</v>
      </c>
      <c r="B416" s="457"/>
      <c r="C416" s="458"/>
      <c r="D416" s="459" t="s">
        <v>268</v>
      </c>
      <c r="E416" s="460"/>
      <c r="F416" s="460"/>
      <c r="G416" s="1382"/>
      <c r="H416" s="461"/>
      <c r="I416" s="452">
        <f>SUM(J416:N416)</f>
        <v>150000</v>
      </c>
      <c r="J416" s="453"/>
      <c r="K416" s="453"/>
      <c r="L416" s="453">
        <v>150000</v>
      </c>
      <c r="M416" s="453"/>
      <c r="N416" s="454"/>
    </row>
    <row r="417" spans="1:16" s="462" customFormat="1" ht="18" customHeight="1" x14ac:dyDescent="0.3">
      <c r="A417" s="229">
        <v>410</v>
      </c>
      <c r="B417" s="457"/>
      <c r="C417" s="458"/>
      <c r="D417" s="224" t="s">
        <v>796</v>
      </c>
      <c r="E417" s="460"/>
      <c r="F417" s="460"/>
      <c r="G417" s="1382"/>
      <c r="H417" s="461"/>
      <c r="I417" s="977">
        <f>SUM(J417:N417)</f>
        <v>206694</v>
      </c>
      <c r="J417" s="453"/>
      <c r="K417" s="453"/>
      <c r="L417" s="982">
        <v>206694</v>
      </c>
      <c r="M417" s="453"/>
      <c r="N417" s="454"/>
    </row>
    <row r="418" spans="1:16" s="462" customFormat="1" ht="18" customHeight="1" x14ac:dyDescent="0.3">
      <c r="A418" s="229">
        <v>411</v>
      </c>
      <c r="B418" s="457"/>
      <c r="C418" s="458"/>
      <c r="D418" s="976" t="s">
        <v>861</v>
      </c>
      <c r="E418" s="460"/>
      <c r="F418" s="460"/>
      <c r="G418" s="1382"/>
      <c r="H418" s="461"/>
      <c r="I418" s="980">
        <f>SUM(J418:N418)</f>
        <v>30977</v>
      </c>
      <c r="J418" s="453"/>
      <c r="K418" s="453"/>
      <c r="L418" s="985">
        <v>30977</v>
      </c>
      <c r="M418" s="453"/>
      <c r="N418" s="454"/>
    </row>
    <row r="419" spans="1:16" s="3" customFormat="1" ht="22.5" customHeight="1" x14ac:dyDescent="0.3">
      <c r="A419" s="229">
        <v>412</v>
      </c>
      <c r="B419" s="73"/>
      <c r="C419" s="74">
        <v>89</v>
      </c>
      <c r="D419" s="225" t="s">
        <v>83</v>
      </c>
      <c r="E419" s="84">
        <v>38369</v>
      </c>
      <c r="F419" s="84">
        <v>60000</v>
      </c>
      <c r="G419" s="1389">
        <v>51240</v>
      </c>
      <c r="H419" s="231" t="s">
        <v>23</v>
      </c>
      <c r="I419" s="452"/>
      <c r="J419" s="570"/>
      <c r="K419" s="570"/>
      <c r="L419" s="570"/>
      <c r="M419" s="570"/>
      <c r="N419" s="571"/>
      <c r="P419" s="8"/>
    </row>
    <row r="420" spans="1:16" s="462" customFormat="1" ht="18" customHeight="1" x14ac:dyDescent="0.3">
      <c r="A420" s="229">
        <v>413</v>
      </c>
      <c r="B420" s="457"/>
      <c r="C420" s="458"/>
      <c r="D420" s="459" t="s">
        <v>268</v>
      </c>
      <c r="E420" s="460"/>
      <c r="F420" s="460"/>
      <c r="G420" s="1382"/>
      <c r="H420" s="461"/>
      <c r="I420" s="452">
        <f>SUM(J420:N420)</f>
        <v>142115</v>
      </c>
      <c r="J420" s="453"/>
      <c r="K420" s="453"/>
      <c r="L420" s="453">
        <v>142115</v>
      </c>
      <c r="M420" s="453"/>
      <c r="N420" s="454"/>
    </row>
    <row r="421" spans="1:16" s="462" customFormat="1" ht="18" customHeight="1" x14ac:dyDescent="0.3">
      <c r="A421" s="229">
        <v>414</v>
      </c>
      <c r="B421" s="457"/>
      <c r="C421" s="458"/>
      <c r="D421" s="224" t="s">
        <v>796</v>
      </c>
      <c r="E421" s="460"/>
      <c r="F421" s="460"/>
      <c r="G421" s="1382"/>
      <c r="H421" s="461"/>
      <c r="I421" s="977">
        <f>SUM(J421:N421)</f>
        <v>167795</v>
      </c>
      <c r="J421" s="453"/>
      <c r="K421" s="453"/>
      <c r="L421" s="982">
        <v>167795</v>
      </c>
      <c r="M421" s="453"/>
      <c r="N421" s="454"/>
    </row>
    <row r="422" spans="1:16" s="462" customFormat="1" ht="18" customHeight="1" x14ac:dyDescent="0.3">
      <c r="A422" s="229">
        <v>415</v>
      </c>
      <c r="B422" s="457"/>
      <c r="C422" s="458"/>
      <c r="D422" s="976" t="s">
        <v>861</v>
      </c>
      <c r="E422" s="460"/>
      <c r="F422" s="460"/>
      <c r="G422" s="1382"/>
      <c r="H422" s="461"/>
      <c r="I422" s="980">
        <f>SUM(J422:N422)</f>
        <v>56176</v>
      </c>
      <c r="J422" s="453"/>
      <c r="K422" s="453"/>
      <c r="L422" s="985">
        <v>56176</v>
      </c>
      <c r="M422" s="453"/>
      <c r="N422" s="454"/>
    </row>
    <row r="423" spans="1:16" s="3" customFormat="1" ht="22.5" customHeight="1" x14ac:dyDescent="0.3">
      <c r="A423" s="229">
        <v>416</v>
      </c>
      <c r="B423" s="73"/>
      <c r="C423" s="74">
        <v>90</v>
      </c>
      <c r="D423" s="225" t="s">
        <v>84</v>
      </c>
      <c r="E423" s="76">
        <v>1974</v>
      </c>
      <c r="F423" s="76">
        <v>4905</v>
      </c>
      <c r="G423" s="1380">
        <v>10656</v>
      </c>
      <c r="H423" s="231" t="s">
        <v>23</v>
      </c>
      <c r="I423" s="452"/>
      <c r="J423" s="570"/>
      <c r="K423" s="570"/>
      <c r="L423" s="570"/>
      <c r="M423" s="570"/>
      <c r="N423" s="571"/>
      <c r="P423" s="8"/>
    </row>
    <row r="424" spans="1:16" s="462" customFormat="1" ht="18" customHeight="1" x14ac:dyDescent="0.3">
      <c r="A424" s="229">
        <v>417</v>
      </c>
      <c r="B424" s="457"/>
      <c r="C424" s="458"/>
      <c r="D424" s="459" t="s">
        <v>268</v>
      </c>
      <c r="E424" s="460"/>
      <c r="F424" s="460"/>
      <c r="G424" s="1382"/>
      <c r="H424" s="461"/>
      <c r="I424" s="452">
        <f>SUM(J424:N424)</f>
        <v>5000</v>
      </c>
      <c r="J424" s="453"/>
      <c r="K424" s="453"/>
      <c r="L424" s="453">
        <v>5000</v>
      </c>
      <c r="M424" s="453"/>
      <c r="N424" s="454"/>
    </row>
    <row r="425" spans="1:16" s="462" customFormat="1" ht="18" customHeight="1" x14ac:dyDescent="0.3">
      <c r="A425" s="229">
        <v>418</v>
      </c>
      <c r="B425" s="457"/>
      <c r="C425" s="458"/>
      <c r="D425" s="224" t="s">
        <v>796</v>
      </c>
      <c r="E425" s="460"/>
      <c r="F425" s="460"/>
      <c r="G425" s="1382"/>
      <c r="H425" s="461"/>
      <c r="I425" s="977">
        <f>SUM(J425:N425)</f>
        <v>5000</v>
      </c>
      <c r="J425" s="453"/>
      <c r="K425" s="453"/>
      <c r="L425" s="982">
        <v>5000</v>
      </c>
      <c r="M425" s="453"/>
      <c r="N425" s="454"/>
    </row>
    <row r="426" spans="1:16" s="462" customFormat="1" ht="18" customHeight="1" x14ac:dyDescent="0.3">
      <c r="A426" s="229">
        <v>419</v>
      </c>
      <c r="B426" s="457"/>
      <c r="C426" s="458"/>
      <c r="D426" s="976" t="s">
        <v>860</v>
      </c>
      <c r="E426" s="460"/>
      <c r="F426" s="460"/>
      <c r="G426" s="1382"/>
      <c r="H426" s="461"/>
      <c r="I426" s="980">
        <f>SUM(J426:N426)</f>
        <v>1873</v>
      </c>
      <c r="J426" s="453"/>
      <c r="K426" s="453"/>
      <c r="L426" s="985">
        <v>1873</v>
      </c>
      <c r="M426" s="453"/>
      <c r="N426" s="454"/>
    </row>
    <row r="427" spans="1:16" s="3" customFormat="1" ht="22.5" customHeight="1" x14ac:dyDescent="0.3">
      <c r="A427" s="229">
        <v>420</v>
      </c>
      <c r="B427" s="73"/>
      <c r="C427" s="74">
        <v>91</v>
      </c>
      <c r="D427" s="225" t="s">
        <v>458</v>
      </c>
      <c r="E427" s="76">
        <v>881516</v>
      </c>
      <c r="F427" s="76">
        <v>469480</v>
      </c>
      <c r="G427" s="1380">
        <v>576703</v>
      </c>
      <c r="H427" s="231" t="s">
        <v>23</v>
      </c>
      <c r="I427" s="452"/>
      <c r="J427" s="570"/>
      <c r="K427" s="570"/>
      <c r="L427" s="570"/>
      <c r="M427" s="570"/>
      <c r="N427" s="571"/>
    </row>
    <row r="428" spans="1:16" s="462" customFormat="1" ht="18" customHeight="1" x14ac:dyDescent="0.3">
      <c r="A428" s="229">
        <v>421</v>
      </c>
      <c r="B428" s="457"/>
      <c r="C428" s="458"/>
      <c r="D428" s="459" t="s">
        <v>268</v>
      </c>
      <c r="E428" s="460"/>
      <c r="F428" s="460"/>
      <c r="G428" s="1382"/>
      <c r="H428" s="461"/>
      <c r="I428" s="452">
        <f>SUM(J428:N428)</f>
        <v>1363617</v>
      </c>
      <c r="J428" s="453"/>
      <c r="K428" s="453"/>
      <c r="L428" s="453"/>
      <c r="M428" s="453"/>
      <c r="N428" s="454">
        <v>1363617</v>
      </c>
    </row>
    <row r="429" spans="1:16" s="462" customFormat="1" ht="18" customHeight="1" x14ac:dyDescent="0.3">
      <c r="A429" s="229">
        <v>422</v>
      </c>
      <c r="B429" s="457"/>
      <c r="C429" s="458"/>
      <c r="D429" s="224" t="s">
        <v>796</v>
      </c>
      <c r="E429" s="460"/>
      <c r="F429" s="460"/>
      <c r="G429" s="1382"/>
      <c r="H429" s="461"/>
      <c r="I429" s="977">
        <f>SUM(J429:N429)</f>
        <v>1488721</v>
      </c>
      <c r="J429" s="453"/>
      <c r="K429" s="453"/>
      <c r="L429" s="453"/>
      <c r="M429" s="453"/>
      <c r="N429" s="983">
        <v>1488721</v>
      </c>
    </row>
    <row r="430" spans="1:16" s="462" customFormat="1" ht="18" customHeight="1" x14ac:dyDescent="0.3">
      <c r="A430" s="229">
        <v>423</v>
      </c>
      <c r="B430" s="457"/>
      <c r="C430" s="458"/>
      <c r="D430" s="976" t="s">
        <v>861</v>
      </c>
      <c r="E430" s="460"/>
      <c r="F430" s="460"/>
      <c r="G430" s="1382"/>
      <c r="H430" s="461"/>
      <c r="I430" s="980">
        <f>SUM(J430:N430)</f>
        <v>935048</v>
      </c>
      <c r="J430" s="453"/>
      <c r="K430" s="453"/>
      <c r="L430" s="453"/>
      <c r="M430" s="453"/>
      <c r="N430" s="986">
        <v>935048</v>
      </c>
    </row>
    <row r="431" spans="1:16" s="462" customFormat="1" ht="30" x14ac:dyDescent="0.3">
      <c r="A431" s="229">
        <v>424</v>
      </c>
      <c r="B431" s="457"/>
      <c r="C431" s="219">
        <v>92</v>
      </c>
      <c r="D431" s="225" t="s">
        <v>624</v>
      </c>
      <c r="E431" s="76">
        <v>0</v>
      </c>
      <c r="F431" s="76">
        <v>0</v>
      </c>
      <c r="G431" s="1380">
        <v>7777</v>
      </c>
      <c r="H431" s="461"/>
      <c r="I431" s="452"/>
      <c r="J431" s="453"/>
      <c r="K431" s="453"/>
      <c r="L431" s="453"/>
      <c r="M431" s="453"/>
      <c r="N431" s="454"/>
    </row>
    <row r="432" spans="1:16" s="462" customFormat="1" ht="18" customHeight="1" x14ac:dyDescent="0.3">
      <c r="A432" s="229">
        <v>425</v>
      </c>
      <c r="B432" s="457"/>
      <c r="C432" s="458"/>
      <c r="D432" s="459" t="s">
        <v>268</v>
      </c>
      <c r="E432" s="460"/>
      <c r="F432" s="460"/>
      <c r="G432" s="1382"/>
      <c r="H432" s="231" t="s">
        <v>23</v>
      </c>
      <c r="I432" s="452">
        <f>SUM(J432:N432)</f>
        <v>21000</v>
      </c>
      <c r="J432" s="453"/>
      <c r="K432" s="453"/>
      <c r="L432" s="453"/>
      <c r="M432" s="453"/>
      <c r="N432" s="454">
        <v>21000</v>
      </c>
    </row>
    <row r="433" spans="1:16" s="462" customFormat="1" ht="18" customHeight="1" x14ac:dyDescent="0.3">
      <c r="A433" s="229">
        <v>426</v>
      </c>
      <c r="B433" s="457"/>
      <c r="C433" s="458"/>
      <c r="D433" s="224" t="s">
        <v>796</v>
      </c>
      <c r="E433" s="460"/>
      <c r="F433" s="460"/>
      <c r="G433" s="1382"/>
      <c r="H433" s="231"/>
      <c r="I433" s="977">
        <f>SUM(J433:N433)</f>
        <v>21000</v>
      </c>
      <c r="J433" s="453"/>
      <c r="K433" s="453"/>
      <c r="L433" s="453"/>
      <c r="M433" s="453"/>
      <c r="N433" s="983">
        <v>21000</v>
      </c>
    </row>
    <row r="434" spans="1:16" s="462" customFormat="1" ht="18" customHeight="1" x14ac:dyDescent="0.3">
      <c r="A434" s="229">
        <v>427</v>
      </c>
      <c r="B434" s="457"/>
      <c r="C434" s="458"/>
      <c r="D434" s="976" t="s">
        <v>860</v>
      </c>
      <c r="E434" s="460"/>
      <c r="F434" s="460"/>
      <c r="G434" s="1382"/>
      <c r="H434" s="231"/>
      <c r="I434" s="980">
        <f>SUM(J434:N434)</f>
        <v>12243</v>
      </c>
      <c r="J434" s="453"/>
      <c r="K434" s="453"/>
      <c r="L434" s="453"/>
      <c r="M434" s="453"/>
      <c r="N434" s="986">
        <v>12243</v>
      </c>
    </row>
    <row r="435" spans="1:16" s="3" customFormat="1" ht="22.5" customHeight="1" x14ac:dyDescent="0.3">
      <c r="A435" s="229">
        <v>428</v>
      </c>
      <c r="B435" s="73"/>
      <c r="C435" s="74">
        <v>93</v>
      </c>
      <c r="D435" s="225" t="s">
        <v>352</v>
      </c>
      <c r="E435" s="76">
        <v>41158</v>
      </c>
      <c r="F435" s="76">
        <v>48761</v>
      </c>
      <c r="G435" s="1380">
        <v>40815</v>
      </c>
      <c r="H435" s="231" t="s">
        <v>24</v>
      </c>
      <c r="I435" s="452"/>
      <c r="J435" s="570"/>
      <c r="K435" s="570"/>
      <c r="L435" s="570"/>
      <c r="M435" s="570"/>
      <c r="N435" s="571"/>
    </row>
    <row r="436" spans="1:16" s="462" customFormat="1" ht="18" customHeight="1" x14ac:dyDescent="0.3">
      <c r="A436" s="229">
        <v>429</v>
      </c>
      <c r="B436" s="457"/>
      <c r="C436" s="458"/>
      <c r="D436" s="459" t="s">
        <v>268</v>
      </c>
      <c r="E436" s="460"/>
      <c r="F436" s="460"/>
      <c r="G436" s="1382"/>
      <c r="H436" s="461"/>
      <c r="I436" s="452">
        <f>SUM(J436:N436)</f>
        <v>52179</v>
      </c>
      <c r="J436" s="453"/>
      <c r="K436" s="453"/>
      <c r="L436" s="453">
        <v>52179</v>
      </c>
      <c r="M436" s="453"/>
      <c r="N436" s="454"/>
    </row>
    <row r="437" spans="1:16" s="462" customFormat="1" ht="18" customHeight="1" x14ac:dyDescent="0.3">
      <c r="A437" s="229">
        <v>430</v>
      </c>
      <c r="B437" s="457"/>
      <c r="C437" s="458"/>
      <c r="D437" s="224" t="s">
        <v>796</v>
      </c>
      <c r="E437" s="460"/>
      <c r="F437" s="460"/>
      <c r="G437" s="1382"/>
      <c r="H437" s="461"/>
      <c r="I437" s="977">
        <f>SUM(J437:N437)</f>
        <v>52179</v>
      </c>
      <c r="J437" s="453"/>
      <c r="K437" s="453"/>
      <c r="L437" s="982">
        <v>52179</v>
      </c>
      <c r="M437" s="453"/>
      <c r="N437" s="454"/>
    </row>
    <row r="438" spans="1:16" s="462" customFormat="1" ht="18" customHeight="1" x14ac:dyDescent="0.3">
      <c r="A438" s="229">
        <v>431</v>
      </c>
      <c r="B438" s="457"/>
      <c r="C438" s="458"/>
      <c r="D438" s="976" t="s">
        <v>860</v>
      </c>
      <c r="E438" s="460"/>
      <c r="F438" s="460"/>
      <c r="G438" s="1382"/>
      <c r="H438" s="461"/>
      <c r="I438" s="980">
        <f>SUM(J438:N438)</f>
        <v>22800</v>
      </c>
      <c r="J438" s="453"/>
      <c r="K438" s="453"/>
      <c r="L438" s="985">
        <v>22800</v>
      </c>
      <c r="M438" s="453"/>
      <c r="N438" s="454"/>
    </row>
    <row r="439" spans="1:16" s="3" customFormat="1" ht="22.5" customHeight="1" x14ac:dyDescent="0.3">
      <c r="A439" s="229">
        <v>432</v>
      </c>
      <c r="B439" s="73"/>
      <c r="C439" s="74"/>
      <c r="D439" s="143" t="s">
        <v>263</v>
      </c>
      <c r="E439" s="76"/>
      <c r="F439" s="76"/>
      <c r="G439" s="1380"/>
      <c r="H439" s="231"/>
      <c r="I439" s="575"/>
      <c r="J439" s="576"/>
      <c r="K439" s="576"/>
      <c r="L439" s="576"/>
      <c r="M439" s="576"/>
      <c r="N439" s="577"/>
      <c r="O439" s="8"/>
      <c r="P439" s="8"/>
    </row>
    <row r="440" spans="1:16" s="3" customFormat="1" ht="22.5" customHeight="1" x14ac:dyDescent="0.3">
      <c r="A440" s="229">
        <v>433</v>
      </c>
      <c r="B440" s="73"/>
      <c r="C440" s="74">
        <v>94</v>
      </c>
      <c r="D440" s="90" t="s">
        <v>8</v>
      </c>
      <c r="E440" s="76">
        <v>278486</v>
      </c>
      <c r="F440" s="76">
        <v>121336</v>
      </c>
      <c r="G440" s="1380">
        <v>121332</v>
      </c>
      <c r="H440" s="231" t="s">
        <v>23</v>
      </c>
      <c r="I440" s="452"/>
      <c r="J440" s="570"/>
      <c r="K440" s="570"/>
      <c r="L440" s="570"/>
      <c r="M440" s="570"/>
      <c r="N440" s="571"/>
      <c r="P440" s="8"/>
    </row>
    <row r="441" spans="1:16" s="462" customFormat="1" ht="18" customHeight="1" x14ac:dyDescent="0.3">
      <c r="A441" s="229">
        <v>434</v>
      </c>
      <c r="B441" s="457"/>
      <c r="C441" s="458"/>
      <c r="D441" s="480" t="s">
        <v>268</v>
      </c>
      <c r="E441" s="460"/>
      <c r="F441" s="460"/>
      <c r="G441" s="1382"/>
      <c r="H441" s="461"/>
      <c r="I441" s="452">
        <f>SUM(J441:N441)</f>
        <v>280000</v>
      </c>
      <c r="J441" s="453"/>
      <c r="K441" s="453"/>
      <c r="L441" s="453">
        <v>5000</v>
      </c>
      <c r="M441" s="453"/>
      <c r="N441" s="454">
        <v>275000</v>
      </c>
    </row>
    <row r="442" spans="1:16" s="462" customFormat="1" ht="18" customHeight="1" x14ac:dyDescent="0.3">
      <c r="A442" s="229">
        <v>435</v>
      </c>
      <c r="B442" s="457"/>
      <c r="C442" s="458"/>
      <c r="D442" s="981" t="s">
        <v>796</v>
      </c>
      <c r="E442" s="460"/>
      <c r="F442" s="460"/>
      <c r="G442" s="1382"/>
      <c r="H442" s="461"/>
      <c r="I442" s="977">
        <f>SUM(J442:N442)</f>
        <v>283500</v>
      </c>
      <c r="J442" s="453"/>
      <c r="K442" s="453"/>
      <c r="L442" s="982">
        <v>8500</v>
      </c>
      <c r="M442" s="982"/>
      <c r="N442" s="983">
        <v>275000</v>
      </c>
    </row>
    <row r="443" spans="1:16" s="462" customFormat="1" ht="18" customHeight="1" x14ac:dyDescent="0.3">
      <c r="A443" s="229">
        <v>436</v>
      </c>
      <c r="B443" s="457"/>
      <c r="C443" s="458"/>
      <c r="D443" s="981" t="s">
        <v>861</v>
      </c>
      <c r="E443" s="460"/>
      <c r="F443" s="460"/>
      <c r="G443" s="1382"/>
      <c r="H443" s="461"/>
      <c r="I443" s="980">
        <f>SUM(J443:N443)</f>
        <v>162549</v>
      </c>
      <c r="J443" s="453"/>
      <c r="K443" s="453"/>
      <c r="L443" s="985">
        <v>2132</v>
      </c>
      <c r="M443" s="982"/>
      <c r="N443" s="986">
        <v>160417</v>
      </c>
    </row>
    <row r="444" spans="1:16" s="3" customFormat="1" ht="22.5" customHeight="1" x14ac:dyDescent="0.3">
      <c r="A444" s="229">
        <v>437</v>
      </c>
      <c r="B444" s="73"/>
      <c r="C444" s="74">
        <v>95</v>
      </c>
      <c r="D444" s="90" t="s">
        <v>262</v>
      </c>
      <c r="E444" s="76">
        <v>45900</v>
      </c>
      <c r="F444" s="76">
        <v>31600</v>
      </c>
      <c r="G444" s="1380">
        <v>31600</v>
      </c>
      <c r="H444" s="231" t="s">
        <v>23</v>
      </c>
      <c r="I444" s="452"/>
      <c r="J444" s="570"/>
      <c r="K444" s="570"/>
      <c r="L444" s="570"/>
      <c r="M444" s="570"/>
      <c r="N444" s="571"/>
      <c r="P444" s="8"/>
    </row>
    <row r="445" spans="1:16" s="462" customFormat="1" ht="18" customHeight="1" x14ac:dyDescent="0.3">
      <c r="A445" s="229">
        <v>438</v>
      </c>
      <c r="B445" s="457"/>
      <c r="C445" s="458"/>
      <c r="D445" s="480" t="s">
        <v>268</v>
      </c>
      <c r="E445" s="460"/>
      <c r="F445" s="460"/>
      <c r="G445" s="1382"/>
      <c r="H445" s="461"/>
      <c r="I445" s="452">
        <f>SUM(J445:N445)</f>
        <v>57000</v>
      </c>
      <c r="J445" s="453"/>
      <c r="K445" s="453"/>
      <c r="L445" s="453"/>
      <c r="M445" s="453"/>
      <c r="N445" s="454">
        <v>57000</v>
      </c>
    </row>
    <row r="446" spans="1:16" s="462" customFormat="1" ht="18" customHeight="1" x14ac:dyDescent="0.3">
      <c r="A446" s="229">
        <v>439</v>
      </c>
      <c r="B446" s="457"/>
      <c r="C446" s="458"/>
      <c r="D446" s="981" t="s">
        <v>796</v>
      </c>
      <c r="E446" s="460"/>
      <c r="F446" s="460"/>
      <c r="G446" s="1382"/>
      <c r="H446" s="461"/>
      <c r="I446" s="977">
        <f>SUM(J446:N446)</f>
        <v>57000</v>
      </c>
      <c r="J446" s="453"/>
      <c r="K446" s="453"/>
      <c r="L446" s="453"/>
      <c r="M446" s="453"/>
      <c r="N446" s="983">
        <v>57000</v>
      </c>
    </row>
    <row r="447" spans="1:16" s="462" customFormat="1" ht="18" customHeight="1" x14ac:dyDescent="0.3">
      <c r="A447" s="229">
        <v>440</v>
      </c>
      <c r="B447" s="457"/>
      <c r="C447" s="458"/>
      <c r="D447" s="981" t="s">
        <v>860</v>
      </c>
      <c r="E447" s="460"/>
      <c r="F447" s="460"/>
      <c r="G447" s="1382"/>
      <c r="H447" s="461"/>
      <c r="I447" s="980">
        <f>SUM(J447:N447)</f>
        <v>33250</v>
      </c>
      <c r="J447" s="453"/>
      <c r="K447" s="453"/>
      <c r="L447" s="453"/>
      <c r="M447" s="453"/>
      <c r="N447" s="986">
        <v>33250</v>
      </c>
    </row>
    <row r="448" spans="1:16" s="3" customFormat="1" ht="22.5" customHeight="1" x14ac:dyDescent="0.3">
      <c r="A448" s="229">
        <v>441</v>
      </c>
      <c r="B448" s="73"/>
      <c r="C448" s="74">
        <v>96</v>
      </c>
      <c r="D448" s="90" t="s">
        <v>9</v>
      </c>
      <c r="E448" s="76">
        <v>259250</v>
      </c>
      <c r="F448" s="76">
        <v>231700</v>
      </c>
      <c r="G448" s="1380">
        <v>231700</v>
      </c>
      <c r="H448" s="231" t="s">
        <v>23</v>
      </c>
      <c r="I448" s="452"/>
      <c r="J448" s="570"/>
      <c r="K448" s="570"/>
      <c r="L448" s="570"/>
      <c r="M448" s="570"/>
      <c r="N448" s="571"/>
      <c r="P448" s="8"/>
    </row>
    <row r="449" spans="1:16" s="462" customFormat="1" ht="18" customHeight="1" x14ac:dyDescent="0.3">
      <c r="A449" s="229">
        <v>442</v>
      </c>
      <c r="B449" s="457"/>
      <c r="C449" s="458"/>
      <c r="D449" s="480" t="s">
        <v>268</v>
      </c>
      <c r="E449" s="460"/>
      <c r="F449" s="460"/>
      <c r="G449" s="1382"/>
      <c r="H449" s="461"/>
      <c r="I449" s="452">
        <f>SUM(J449:N449)</f>
        <v>270000</v>
      </c>
      <c r="J449" s="453"/>
      <c r="K449" s="453"/>
      <c r="L449" s="453"/>
      <c r="M449" s="453"/>
      <c r="N449" s="454">
        <v>270000</v>
      </c>
    </row>
    <row r="450" spans="1:16" s="462" customFormat="1" ht="18" customHeight="1" x14ac:dyDescent="0.3">
      <c r="A450" s="229">
        <v>443</v>
      </c>
      <c r="B450" s="457"/>
      <c r="C450" s="458"/>
      <c r="D450" s="981" t="s">
        <v>796</v>
      </c>
      <c r="E450" s="460"/>
      <c r="F450" s="460"/>
      <c r="G450" s="1382"/>
      <c r="H450" s="461"/>
      <c r="I450" s="977">
        <f>SUM(J450:N450)</f>
        <v>270000</v>
      </c>
      <c r="J450" s="453"/>
      <c r="K450" s="453"/>
      <c r="L450" s="453"/>
      <c r="M450" s="453"/>
      <c r="N450" s="983">
        <v>270000</v>
      </c>
    </row>
    <row r="451" spans="1:16" s="462" customFormat="1" ht="18" customHeight="1" x14ac:dyDescent="0.3">
      <c r="A451" s="229">
        <v>444</v>
      </c>
      <c r="B451" s="457"/>
      <c r="C451" s="458"/>
      <c r="D451" s="981" t="s">
        <v>860</v>
      </c>
      <c r="E451" s="460"/>
      <c r="F451" s="460"/>
      <c r="G451" s="1382"/>
      <c r="H451" s="461"/>
      <c r="I451" s="980">
        <f>SUM(J451:N451)</f>
        <v>157500</v>
      </c>
      <c r="J451" s="453"/>
      <c r="K451" s="453"/>
      <c r="L451" s="453"/>
      <c r="M451" s="453"/>
      <c r="N451" s="986">
        <v>157500</v>
      </c>
    </row>
    <row r="452" spans="1:16" s="3" customFormat="1" ht="22.5" customHeight="1" x14ac:dyDescent="0.3">
      <c r="A452" s="229">
        <v>445</v>
      </c>
      <c r="B452" s="73"/>
      <c r="C452" s="74">
        <v>97</v>
      </c>
      <c r="D452" s="90" t="s">
        <v>7</v>
      </c>
      <c r="E452" s="76">
        <v>36550</v>
      </c>
      <c r="F452" s="76">
        <v>37700</v>
      </c>
      <c r="G452" s="1380">
        <v>37700</v>
      </c>
      <c r="H452" s="231" t="s">
        <v>23</v>
      </c>
      <c r="I452" s="452"/>
      <c r="J452" s="570"/>
      <c r="K452" s="570"/>
      <c r="L452" s="570"/>
      <c r="M452" s="570"/>
      <c r="N452" s="571"/>
      <c r="P452" s="8"/>
    </row>
    <row r="453" spans="1:16" s="462" customFormat="1" ht="18" customHeight="1" x14ac:dyDescent="0.3">
      <c r="A453" s="229">
        <v>446</v>
      </c>
      <c r="B453" s="457"/>
      <c r="C453" s="458"/>
      <c r="D453" s="480" t="s">
        <v>268</v>
      </c>
      <c r="E453" s="460"/>
      <c r="F453" s="460"/>
      <c r="G453" s="1382"/>
      <c r="H453" s="461"/>
      <c r="I453" s="452">
        <f>SUM(J453:N453)</f>
        <v>45000</v>
      </c>
      <c r="J453" s="453"/>
      <c r="K453" s="453"/>
      <c r="L453" s="453"/>
      <c r="M453" s="453"/>
      <c r="N453" s="454">
        <v>45000</v>
      </c>
    </row>
    <row r="454" spans="1:16" s="462" customFormat="1" ht="18" customHeight="1" x14ac:dyDescent="0.3">
      <c r="A454" s="229">
        <v>447</v>
      </c>
      <c r="B454" s="457"/>
      <c r="C454" s="458"/>
      <c r="D454" s="981" t="s">
        <v>796</v>
      </c>
      <c r="E454" s="460"/>
      <c r="F454" s="460"/>
      <c r="G454" s="1382"/>
      <c r="H454" s="461"/>
      <c r="I454" s="977">
        <f>SUM(J454:N454)</f>
        <v>45000</v>
      </c>
      <c r="J454" s="453"/>
      <c r="K454" s="453"/>
      <c r="L454" s="453"/>
      <c r="M454" s="453"/>
      <c r="N454" s="983">
        <v>45000</v>
      </c>
    </row>
    <row r="455" spans="1:16" s="462" customFormat="1" ht="18" customHeight="1" x14ac:dyDescent="0.3">
      <c r="A455" s="229">
        <v>448</v>
      </c>
      <c r="B455" s="457"/>
      <c r="C455" s="458"/>
      <c r="D455" s="981" t="s">
        <v>860</v>
      </c>
      <c r="E455" s="460"/>
      <c r="F455" s="460"/>
      <c r="G455" s="1382"/>
      <c r="H455" s="461"/>
      <c r="I455" s="980">
        <f>SUM(J455:N455)</f>
        <v>26250</v>
      </c>
      <c r="J455" s="453"/>
      <c r="K455" s="453"/>
      <c r="L455" s="453"/>
      <c r="M455" s="453"/>
      <c r="N455" s="986">
        <v>26250</v>
      </c>
    </row>
    <row r="456" spans="1:16" s="3" customFormat="1" ht="22.5" customHeight="1" x14ac:dyDescent="0.3">
      <c r="A456" s="229">
        <v>449</v>
      </c>
      <c r="B456" s="73"/>
      <c r="C456" s="74"/>
      <c r="D456" s="143" t="s">
        <v>264</v>
      </c>
      <c r="E456" s="76"/>
      <c r="F456" s="76"/>
      <c r="G456" s="1380"/>
      <c r="H456" s="231"/>
      <c r="I456" s="575"/>
      <c r="J456" s="576"/>
      <c r="K456" s="576"/>
      <c r="L456" s="576"/>
      <c r="M456" s="576"/>
      <c r="N456" s="577"/>
      <c r="O456" s="8"/>
      <c r="P456" s="8"/>
    </row>
    <row r="457" spans="1:16" s="3" customFormat="1" ht="22.5" customHeight="1" x14ac:dyDescent="0.3">
      <c r="A457" s="229">
        <v>450</v>
      </c>
      <c r="B457" s="73"/>
      <c r="C457" s="74">
        <v>98</v>
      </c>
      <c r="D457" s="90" t="s">
        <v>440</v>
      </c>
      <c r="E457" s="76">
        <v>42500</v>
      </c>
      <c r="F457" s="76">
        <v>0</v>
      </c>
      <c r="G457" s="1380">
        <v>0</v>
      </c>
      <c r="H457" s="231" t="s">
        <v>23</v>
      </c>
      <c r="I457" s="452"/>
      <c r="J457" s="570"/>
      <c r="K457" s="570"/>
      <c r="L457" s="570"/>
      <c r="M457" s="570"/>
      <c r="N457" s="571"/>
      <c r="P457" s="8"/>
    </row>
    <row r="458" spans="1:16" s="3" customFormat="1" ht="18" customHeight="1" x14ac:dyDescent="0.3">
      <c r="A458" s="229">
        <v>451</v>
      </c>
      <c r="B458" s="73"/>
      <c r="C458" s="74"/>
      <c r="D458" s="480" t="s">
        <v>268</v>
      </c>
      <c r="E458" s="76"/>
      <c r="F458" s="76"/>
      <c r="G458" s="1380"/>
      <c r="H458" s="231"/>
      <c r="I458" s="452">
        <f>SUM(J458:N458)</f>
        <v>40000</v>
      </c>
      <c r="J458" s="570"/>
      <c r="K458" s="570"/>
      <c r="L458" s="570"/>
      <c r="M458" s="570"/>
      <c r="N458" s="454">
        <v>40000</v>
      </c>
      <c r="P458" s="8"/>
    </row>
    <row r="459" spans="1:16" s="3" customFormat="1" ht="18" customHeight="1" x14ac:dyDescent="0.3">
      <c r="A459" s="229">
        <v>452</v>
      </c>
      <c r="B459" s="73"/>
      <c r="C459" s="74"/>
      <c r="D459" s="981" t="s">
        <v>796</v>
      </c>
      <c r="E459" s="76"/>
      <c r="F459" s="76"/>
      <c r="G459" s="1380"/>
      <c r="H459" s="231"/>
      <c r="I459" s="977">
        <f>SUM(J459:N459)</f>
        <v>40000</v>
      </c>
      <c r="J459" s="570"/>
      <c r="K459" s="570"/>
      <c r="L459" s="570"/>
      <c r="M459" s="570"/>
      <c r="N459" s="983">
        <v>40000</v>
      </c>
      <c r="P459" s="8"/>
    </row>
    <row r="460" spans="1:16" s="3" customFormat="1" ht="18" customHeight="1" x14ac:dyDescent="0.3">
      <c r="A460" s="229">
        <v>453</v>
      </c>
      <c r="B460" s="73"/>
      <c r="C460" s="74"/>
      <c r="D460" s="981" t="s">
        <v>860</v>
      </c>
      <c r="E460" s="76"/>
      <c r="F460" s="76"/>
      <c r="G460" s="1380"/>
      <c r="H460" s="231"/>
      <c r="I460" s="980">
        <f>SUM(J460:N460)</f>
        <v>23333</v>
      </c>
      <c r="J460" s="570"/>
      <c r="K460" s="570"/>
      <c r="L460" s="570"/>
      <c r="M460" s="570"/>
      <c r="N460" s="986">
        <v>23333</v>
      </c>
      <c r="P460" s="8"/>
    </row>
    <row r="461" spans="1:16" s="3" customFormat="1" ht="22.5" customHeight="1" x14ac:dyDescent="0.3">
      <c r="A461" s="229">
        <v>454</v>
      </c>
      <c r="B461" s="73"/>
      <c r="C461" s="74">
        <v>99</v>
      </c>
      <c r="D461" s="90" t="s">
        <v>265</v>
      </c>
      <c r="E461" s="76">
        <v>169738</v>
      </c>
      <c r="F461" s="76">
        <v>0</v>
      </c>
      <c r="G461" s="1380">
        <v>0</v>
      </c>
      <c r="H461" s="231" t="s">
        <v>23</v>
      </c>
      <c r="I461" s="452"/>
      <c r="J461" s="570"/>
      <c r="K461" s="570"/>
      <c r="L461" s="570"/>
      <c r="M461" s="570"/>
      <c r="N461" s="454"/>
      <c r="P461" s="8"/>
    </row>
    <row r="462" spans="1:16" s="3" customFormat="1" ht="18" customHeight="1" x14ac:dyDescent="0.3">
      <c r="A462" s="229">
        <v>455</v>
      </c>
      <c r="B462" s="73"/>
      <c r="C462" s="74"/>
      <c r="D462" s="480" t="s">
        <v>268</v>
      </c>
      <c r="E462" s="76"/>
      <c r="F462" s="76"/>
      <c r="G462" s="1380"/>
      <c r="H462" s="231"/>
      <c r="I462" s="452">
        <f>SUM(J462:N462)</f>
        <v>200436</v>
      </c>
      <c r="J462" s="570"/>
      <c r="K462" s="570"/>
      <c r="L462" s="570"/>
      <c r="M462" s="570"/>
      <c r="N462" s="454">
        <v>200436</v>
      </c>
      <c r="P462" s="8"/>
    </row>
    <row r="463" spans="1:16" s="3" customFormat="1" ht="18" customHeight="1" x14ac:dyDescent="0.3">
      <c r="A463" s="229">
        <v>456</v>
      </c>
      <c r="B463" s="73"/>
      <c r="C463" s="74"/>
      <c r="D463" s="981" t="s">
        <v>796</v>
      </c>
      <c r="E463" s="76"/>
      <c r="F463" s="76"/>
      <c r="G463" s="1380"/>
      <c r="H463" s="231"/>
      <c r="I463" s="977">
        <f>SUM(J463:N463)</f>
        <v>200436</v>
      </c>
      <c r="J463" s="570"/>
      <c r="K463" s="570"/>
      <c r="L463" s="570"/>
      <c r="M463" s="570"/>
      <c r="N463" s="983">
        <v>200436</v>
      </c>
      <c r="P463" s="8"/>
    </row>
    <row r="464" spans="1:16" s="3" customFormat="1" ht="18" customHeight="1" x14ac:dyDescent="0.3">
      <c r="A464" s="229">
        <v>457</v>
      </c>
      <c r="B464" s="73"/>
      <c r="C464" s="74"/>
      <c r="D464" s="981" t="s">
        <v>860</v>
      </c>
      <c r="E464" s="76"/>
      <c r="F464" s="76"/>
      <c r="G464" s="1380"/>
      <c r="H464" s="231"/>
      <c r="I464" s="980">
        <f>SUM(J464:N464)</f>
        <v>116921</v>
      </c>
      <c r="J464" s="570"/>
      <c r="K464" s="570"/>
      <c r="L464" s="570"/>
      <c r="M464" s="570"/>
      <c r="N464" s="986">
        <v>116921</v>
      </c>
      <c r="P464" s="8"/>
    </row>
    <row r="465" spans="1:16" s="8" customFormat="1" ht="22.5" customHeight="1" x14ac:dyDescent="0.3">
      <c r="A465" s="229">
        <v>458</v>
      </c>
      <c r="B465" s="77"/>
      <c r="C465" s="74">
        <v>100</v>
      </c>
      <c r="D465" s="225" t="s">
        <v>441</v>
      </c>
      <c r="E465" s="76">
        <v>127855</v>
      </c>
      <c r="F465" s="76">
        <v>147218</v>
      </c>
      <c r="G465" s="1380">
        <v>123073</v>
      </c>
      <c r="H465" s="231" t="s">
        <v>23</v>
      </c>
      <c r="I465" s="452"/>
      <c r="J465" s="570"/>
      <c r="K465" s="570"/>
      <c r="L465" s="570"/>
      <c r="M465" s="570"/>
      <c r="N465" s="571"/>
    </row>
    <row r="466" spans="1:16" s="462" customFormat="1" ht="18" customHeight="1" x14ac:dyDescent="0.3">
      <c r="A466" s="229">
        <v>459</v>
      </c>
      <c r="B466" s="457"/>
      <c r="C466" s="458"/>
      <c r="D466" s="480" t="s">
        <v>268</v>
      </c>
      <c r="E466" s="460"/>
      <c r="F466" s="460"/>
      <c r="G466" s="1382"/>
      <c r="H466" s="461"/>
      <c r="I466" s="452">
        <f>SUM(J466:N466)</f>
        <v>139000</v>
      </c>
      <c r="J466" s="453"/>
      <c r="K466" s="453"/>
      <c r="L466" s="453">
        <v>139000</v>
      </c>
      <c r="M466" s="453"/>
      <c r="N466" s="454"/>
    </row>
    <row r="467" spans="1:16" s="462" customFormat="1" ht="18" customHeight="1" x14ac:dyDescent="0.3">
      <c r="A467" s="229">
        <v>460</v>
      </c>
      <c r="B467" s="457"/>
      <c r="C467" s="458"/>
      <c r="D467" s="224" t="s">
        <v>796</v>
      </c>
      <c r="E467" s="460"/>
      <c r="F467" s="460"/>
      <c r="G467" s="1382"/>
      <c r="H467" s="461"/>
      <c r="I467" s="977">
        <f>SUM(J467:N467)</f>
        <v>146119</v>
      </c>
      <c r="J467" s="453"/>
      <c r="K467" s="453"/>
      <c r="L467" s="982">
        <v>146119</v>
      </c>
      <c r="M467" s="453"/>
      <c r="N467" s="454"/>
    </row>
    <row r="468" spans="1:16" s="462" customFormat="1" ht="18" customHeight="1" x14ac:dyDescent="0.3">
      <c r="A468" s="229">
        <v>461</v>
      </c>
      <c r="B468" s="457"/>
      <c r="C468" s="458"/>
      <c r="D468" s="976" t="s">
        <v>861</v>
      </c>
      <c r="E468" s="460"/>
      <c r="F468" s="460"/>
      <c r="G468" s="1382"/>
      <c r="H468" s="461"/>
      <c r="I468" s="980">
        <f>SUM(J468:N468)</f>
        <v>64215</v>
      </c>
      <c r="J468" s="453"/>
      <c r="K468" s="453"/>
      <c r="L468" s="985">
        <v>64215</v>
      </c>
      <c r="M468" s="453"/>
      <c r="N468" s="454"/>
    </row>
    <row r="469" spans="1:16" s="3" customFormat="1" ht="22.5" customHeight="1" x14ac:dyDescent="0.3">
      <c r="A469" s="229">
        <v>462</v>
      </c>
      <c r="B469" s="73"/>
      <c r="C469" s="74">
        <v>101</v>
      </c>
      <c r="D469" s="225" t="s">
        <v>91</v>
      </c>
      <c r="E469" s="76">
        <v>19000</v>
      </c>
      <c r="F469" s="76">
        <v>20000</v>
      </c>
      <c r="G469" s="1380">
        <v>19000</v>
      </c>
      <c r="H469" s="231" t="s">
        <v>23</v>
      </c>
      <c r="I469" s="452"/>
      <c r="J469" s="570"/>
      <c r="K469" s="570"/>
      <c r="L469" s="570"/>
      <c r="M469" s="570"/>
      <c r="N469" s="571"/>
      <c r="P469" s="8"/>
    </row>
    <row r="470" spans="1:16" s="462" customFormat="1" ht="18" customHeight="1" x14ac:dyDescent="0.3">
      <c r="A470" s="229">
        <v>463</v>
      </c>
      <c r="B470" s="457"/>
      <c r="C470" s="458"/>
      <c r="D470" s="459" t="s">
        <v>268</v>
      </c>
      <c r="E470" s="460"/>
      <c r="F470" s="460"/>
      <c r="G470" s="1382"/>
      <c r="H470" s="461"/>
      <c r="I470" s="452">
        <f>SUM(J470:N470)</f>
        <v>10000</v>
      </c>
      <c r="J470" s="453"/>
      <c r="K470" s="453"/>
      <c r="L470" s="453">
        <v>10000</v>
      </c>
      <c r="M470" s="453"/>
      <c r="N470" s="454"/>
    </row>
    <row r="471" spans="1:16" s="462" customFormat="1" ht="18" customHeight="1" x14ac:dyDescent="0.3">
      <c r="A471" s="229">
        <v>464</v>
      </c>
      <c r="B471" s="457"/>
      <c r="C471" s="458"/>
      <c r="D471" s="224" t="s">
        <v>796</v>
      </c>
      <c r="E471" s="460"/>
      <c r="F471" s="460"/>
      <c r="G471" s="1382"/>
      <c r="H471" s="461"/>
      <c r="I471" s="977">
        <f>SUM(J471:N471)</f>
        <v>16000</v>
      </c>
      <c r="J471" s="453"/>
      <c r="K471" s="453"/>
      <c r="L471" s="982">
        <v>16000</v>
      </c>
      <c r="M471" s="453"/>
      <c r="N471" s="454"/>
    </row>
    <row r="472" spans="1:16" s="462" customFormat="1" ht="18" customHeight="1" x14ac:dyDescent="0.3">
      <c r="A472" s="229">
        <v>465</v>
      </c>
      <c r="B472" s="457"/>
      <c r="C472" s="458"/>
      <c r="D472" s="976" t="s">
        <v>861</v>
      </c>
      <c r="E472" s="460"/>
      <c r="F472" s="460"/>
      <c r="G472" s="1382"/>
      <c r="H472" s="461"/>
      <c r="I472" s="980">
        <f>SUM(J472:N472)</f>
        <v>8500</v>
      </c>
      <c r="J472" s="453"/>
      <c r="K472" s="453"/>
      <c r="L472" s="985">
        <v>8500</v>
      </c>
      <c r="M472" s="453"/>
      <c r="N472" s="454"/>
    </row>
    <row r="473" spans="1:16" s="3" customFormat="1" ht="22.5" customHeight="1" x14ac:dyDescent="0.3">
      <c r="A473" s="229">
        <v>466</v>
      </c>
      <c r="B473" s="73"/>
      <c r="C473" s="74">
        <v>102</v>
      </c>
      <c r="D473" s="225" t="s">
        <v>92</v>
      </c>
      <c r="E473" s="76">
        <v>1020</v>
      </c>
      <c r="F473" s="76">
        <v>1100</v>
      </c>
      <c r="G473" s="1380">
        <v>1100</v>
      </c>
      <c r="H473" s="231" t="s">
        <v>23</v>
      </c>
      <c r="I473" s="452"/>
      <c r="J473" s="570"/>
      <c r="K473" s="570"/>
      <c r="L473" s="570"/>
      <c r="M473" s="570"/>
      <c r="N473" s="571"/>
      <c r="P473" s="8"/>
    </row>
    <row r="474" spans="1:16" s="462" customFormat="1" ht="18" customHeight="1" x14ac:dyDescent="0.3">
      <c r="A474" s="229">
        <v>467</v>
      </c>
      <c r="B474" s="457"/>
      <c r="C474" s="458"/>
      <c r="D474" s="459" t="s">
        <v>268</v>
      </c>
      <c r="E474" s="460"/>
      <c r="F474" s="460"/>
      <c r="G474" s="1382"/>
      <c r="H474" s="461"/>
      <c r="I474" s="452">
        <f>SUM(J474:N474)</f>
        <v>1200</v>
      </c>
      <c r="J474" s="453"/>
      <c r="K474" s="453"/>
      <c r="L474" s="453">
        <v>1200</v>
      </c>
      <c r="M474" s="453"/>
      <c r="N474" s="454"/>
    </row>
    <row r="475" spans="1:16" s="462" customFormat="1" ht="18" customHeight="1" x14ac:dyDescent="0.3">
      <c r="A475" s="229">
        <v>468</v>
      </c>
      <c r="B475" s="457"/>
      <c r="C475" s="458"/>
      <c r="D475" s="224" t="s">
        <v>796</v>
      </c>
      <c r="E475" s="460"/>
      <c r="F475" s="460"/>
      <c r="G475" s="1382"/>
      <c r="H475" s="461"/>
      <c r="I475" s="977">
        <f>SUM(J475:N475)</f>
        <v>1200</v>
      </c>
      <c r="J475" s="453"/>
      <c r="K475" s="453"/>
      <c r="L475" s="982">
        <v>1200</v>
      </c>
      <c r="M475" s="453"/>
      <c r="N475" s="454"/>
    </row>
    <row r="476" spans="1:16" s="462" customFormat="1" ht="18" customHeight="1" x14ac:dyDescent="0.3">
      <c r="A476" s="229">
        <v>469</v>
      </c>
      <c r="B476" s="457"/>
      <c r="C476" s="458"/>
      <c r="D476" s="976" t="s">
        <v>860</v>
      </c>
      <c r="E476" s="460"/>
      <c r="F476" s="460"/>
      <c r="G476" s="1382"/>
      <c r="H476" s="461"/>
      <c r="I476" s="980">
        <f>SUM(J476:N476)</f>
        <v>0</v>
      </c>
      <c r="J476" s="453"/>
      <c r="K476" s="453"/>
      <c r="L476" s="982"/>
      <c r="M476" s="453"/>
      <c r="N476" s="454"/>
    </row>
    <row r="477" spans="1:16" s="3" customFormat="1" ht="22.5" customHeight="1" x14ac:dyDescent="0.3">
      <c r="A477" s="229">
        <v>470</v>
      </c>
      <c r="B477" s="73"/>
      <c r="C477" s="74">
        <v>103</v>
      </c>
      <c r="D477" s="225" t="s">
        <v>93</v>
      </c>
      <c r="E477" s="76">
        <v>1408</v>
      </c>
      <c r="F477" s="76">
        <v>5000</v>
      </c>
      <c r="G477" s="1380">
        <v>1399</v>
      </c>
      <c r="H477" s="231" t="s">
        <v>23</v>
      </c>
      <c r="I477" s="452"/>
      <c r="J477" s="570"/>
      <c r="K477" s="570"/>
      <c r="L477" s="570"/>
      <c r="M477" s="570"/>
      <c r="N477" s="571"/>
      <c r="P477" s="8"/>
    </row>
    <row r="478" spans="1:16" s="462" customFormat="1" ht="18" customHeight="1" x14ac:dyDescent="0.3">
      <c r="A478" s="229">
        <v>471</v>
      </c>
      <c r="B478" s="457"/>
      <c r="C478" s="458"/>
      <c r="D478" s="459" t="s">
        <v>268</v>
      </c>
      <c r="E478" s="460"/>
      <c r="F478" s="460"/>
      <c r="G478" s="1382"/>
      <c r="H478" s="461"/>
      <c r="I478" s="452">
        <f>SUM(J478:N478)</f>
        <v>4000</v>
      </c>
      <c r="J478" s="453"/>
      <c r="K478" s="453"/>
      <c r="L478" s="453">
        <v>4000</v>
      </c>
      <c r="M478" s="453"/>
      <c r="N478" s="454"/>
    </row>
    <row r="479" spans="1:16" s="462" customFormat="1" ht="18" customHeight="1" x14ac:dyDescent="0.3">
      <c r="A479" s="229">
        <v>472</v>
      </c>
      <c r="B479" s="457"/>
      <c r="C479" s="458"/>
      <c r="D479" s="224" t="s">
        <v>796</v>
      </c>
      <c r="E479" s="460"/>
      <c r="F479" s="460"/>
      <c r="G479" s="1382"/>
      <c r="H479" s="461"/>
      <c r="I479" s="977">
        <f>SUM(J479:N479)</f>
        <v>4000</v>
      </c>
      <c r="J479" s="453"/>
      <c r="K479" s="453"/>
      <c r="L479" s="984">
        <v>4000</v>
      </c>
      <c r="M479" s="453"/>
      <c r="N479" s="454"/>
    </row>
    <row r="480" spans="1:16" s="462" customFormat="1" ht="18" customHeight="1" x14ac:dyDescent="0.3">
      <c r="A480" s="229">
        <v>473</v>
      </c>
      <c r="B480" s="457"/>
      <c r="C480" s="458"/>
      <c r="D480" s="976" t="s">
        <v>860</v>
      </c>
      <c r="E480" s="460"/>
      <c r="F480" s="460"/>
      <c r="G480" s="1382"/>
      <c r="H480" s="461"/>
      <c r="I480" s="980">
        <f>SUM(J480:N480)</f>
        <v>137</v>
      </c>
      <c r="J480" s="453"/>
      <c r="K480" s="453"/>
      <c r="L480" s="985">
        <v>137</v>
      </c>
      <c r="M480" s="453"/>
      <c r="N480" s="454"/>
    </row>
    <row r="481" spans="1:16" s="3" customFormat="1" ht="22.5" customHeight="1" x14ac:dyDescent="0.3">
      <c r="A481" s="229">
        <v>474</v>
      </c>
      <c r="B481" s="73"/>
      <c r="C481" s="74">
        <v>104</v>
      </c>
      <c r="D481" s="225" t="s">
        <v>626</v>
      </c>
      <c r="E481" s="76">
        <v>17199</v>
      </c>
      <c r="F481" s="76">
        <v>20000</v>
      </c>
      <c r="G481" s="1380">
        <v>15724</v>
      </c>
      <c r="H481" s="231" t="s">
        <v>23</v>
      </c>
      <c r="I481" s="452"/>
      <c r="J481" s="570"/>
      <c r="K481" s="570"/>
      <c r="L481" s="570"/>
      <c r="M481" s="570"/>
      <c r="N481" s="571"/>
      <c r="P481" s="8"/>
    </row>
    <row r="482" spans="1:16" s="462" customFormat="1" ht="18" customHeight="1" x14ac:dyDescent="0.3">
      <c r="A482" s="229">
        <v>475</v>
      </c>
      <c r="B482" s="457"/>
      <c r="C482" s="458"/>
      <c r="D482" s="459" t="s">
        <v>268</v>
      </c>
      <c r="E482" s="460"/>
      <c r="F482" s="460"/>
      <c r="G482" s="1382"/>
      <c r="H482" s="461"/>
      <c r="I482" s="452">
        <f>SUM(J482:N482)</f>
        <v>20000</v>
      </c>
      <c r="J482" s="453"/>
      <c r="K482" s="453"/>
      <c r="L482" s="453">
        <v>20000</v>
      </c>
      <c r="M482" s="453"/>
      <c r="N482" s="454"/>
    </row>
    <row r="483" spans="1:16" s="462" customFormat="1" ht="18" customHeight="1" x14ac:dyDescent="0.3">
      <c r="A483" s="229">
        <v>476</v>
      </c>
      <c r="B483" s="457"/>
      <c r="C483" s="458"/>
      <c r="D483" s="224" t="s">
        <v>796</v>
      </c>
      <c r="E483" s="460"/>
      <c r="F483" s="460"/>
      <c r="G483" s="1382"/>
      <c r="H483" s="461"/>
      <c r="I483" s="977">
        <f>SUM(J483:N483)</f>
        <v>40081</v>
      </c>
      <c r="J483" s="453"/>
      <c r="K483" s="453"/>
      <c r="L483" s="982">
        <v>40081</v>
      </c>
      <c r="M483" s="453"/>
      <c r="N483" s="454"/>
    </row>
    <row r="484" spans="1:16" s="462" customFormat="1" ht="18" customHeight="1" x14ac:dyDescent="0.3">
      <c r="A484" s="229">
        <v>477</v>
      </c>
      <c r="B484" s="457"/>
      <c r="C484" s="458"/>
      <c r="D484" s="976" t="s">
        <v>861</v>
      </c>
      <c r="E484" s="460"/>
      <c r="F484" s="460"/>
      <c r="G484" s="1382"/>
      <c r="H484" s="461"/>
      <c r="I484" s="980">
        <f>SUM(J484:N484)</f>
        <v>19594</v>
      </c>
      <c r="J484" s="453"/>
      <c r="K484" s="453"/>
      <c r="L484" s="985">
        <v>19594</v>
      </c>
      <c r="M484" s="453"/>
      <c r="N484" s="454"/>
    </row>
    <row r="485" spans="1:16" s="3" customFormat="1" ht="22.5" customHeight="1" x14ac:dyDescent="0.3">
      <c r="A485" s="229">
        <v>478</v>
      </c>
      <c r="B485" s="73"/>
      <c r="C485" s="74">
        <v>105</v>
      </c>
      <c r="D485" s="225" t="s">
        <v>94</v>
      </c>
      <c r="E485" s="76">
        <v>225617</v>
      </c>
      <c r="F485" s="76">
        <v>235000</v>
      </c>
      <c r="G485" s="1380">
        <v>207368</v>
      </c>
      <c r="H485" s="231" t="s">
        <v>23</v>
      </c>
      <c r="I485" s="452"/>
      <c r="J485" s="570"/>
      <c r="K485" s="570"/>
      <c r="L485" s="570"/>
      <c r="M485" s="570"/>
      <c r="N485" s="571"/>
      <c r="P485" s="8"/>
    </row>
    <row r="486" spans="1:16" s="462" customFormat="1" ht="18" customHeight="1" x14ac:dyDescent="0.3">
      <c r="A486" s="229">
        <v>479</v>
      </c>
      <c r="B486" s="457"/>
      <c r="C486" s="458"/>
      <c r="D486" s="459" t="s">
        <v>268</v>
      </c>
      <c r="E486" s="460"/>
      <c r="F486" s="460"/>
      <c r="G486" s="1382"/>
      <c r="H486" s="461"/>
      <c r="I486" s="452">
        <f>SUM(J486:N486)</f>
        <v>246000</v>
      </c>
      <c r="J486" s="453"/>
      <c r="K486" s="453"/>
      <c r="L486" s="453">
        <v>246000</v>
      </c>
      <c r="M486" s="453"/>
      <c r="N486" s="454"/>
    </row>
    <row r="487" spans="1:16" s="462" customFormat="1" ht="18" customHeight="1" x14ac:dyDescent="0.3">
      <c r="A487" s="229">
        <v>480</v>
      </c>
      <c r="B487" s="457"/>
      <c r="C487" s="458"/>
      <c r="D487" s="224" t="s">
        <v>796</v>
      </c>
      <c r="E487" s="460"/>
      <c r="F487" s="460"/>
      <c r="G487" s="1382"/>
      <c r="H487" s="461"/>
      <c r="I487" s="977">
        <f>SUM(J487:N487)</f>
        <v>273633</v>
      </c>
      <c r="J487" s="453"/>
      <c r="K487" s="453"/>
      <c r="L487" s="982">
        <v>273633</v>
      </c>
      <c r="M487" s="453"/>
      <c r="N487" s="454"/>
    </row>
    <row r="488" spans="1:16" s="462" customFormat="1" ht="18" customHeight="1" x14ac:dyDescent="0.3">
      <c r="A488" s="229">
        <v>481</v>
      </c>
      <c r="B488" s="457"/>
      <c r="C488" s="458"/>
      <c r="D488" s="976" t="s">
        <v>861</v>
      </c>
      <c r="E488" s="460"/>
      <c r="F488" s="460"/>
      <c r="G488" s="1382"/>
      <c r="H488" s="461"/>
      <c r="I488" s="980">
        <f>SUM(J488:N488)</f>
        <v>72266</v>
      </c>
      <c r="J488" s="453"/>
      <c r="K488" s="453"/>
      <c r="L488" s="985">
        <v>72266</v>
      </c>
      <c r="M488" s="453"/>
      <c r="N488" s="454"/>
    </row>
    <row r="489" spans="1:16" s="3" customFormat="1" ht="22.5" customHeight="1" x14ac:dyDescent="0.3">
      <c r="A489" s="229">
        <v>482</v>
      </c>
      <c r="B489" s="73"/>
      <c r="C489" s="74">
        <v>106</v>
      </c>
      <c r="D489" s="225" t="s">
        <v>95</v>
      </c>
      <c r="E489" s="76">
        <v>3555</v>
      </c>
      <c r="F489" s="76">
        <v>5000</v>
      </c>
      <c r="G489" s="1380">
        <v>3968</v>
      </c>
      <c r="H489" s="231" t="s">
        <v>23</v>
      </c>
      <c r="I489" s="452"/>
      <c r="J489" s="570"/>
      <c r="K489" s="570"/>
      <c r="L489" s="570"/>
      <c r="M489" s="570"/>
      <c r="N489" s="571"/>
      <c r="P489" s="8"/>
    </row>
    <row r="490" spans="1:16" s="462" customFormat="1" ht="18" customHeight="1" x14ac:dyDescent="0.3">
      <c r="A490" s="229">
        <v>483</v>
      </c>
      <c r="B490" s="457"/>
      <c r="C490" s="458"/>
      <c r="D490" s="459" t="s">
        <v>268</v>
      </c>
      <c r="E490" s="460"/>
      <c r="F490" s="460"/>
      <c r="G490" s="1382"/>
      <c r="H490" s="461"/>
      <c r="I490" s="452">
        <f>SUM(J490:N490)</f>
        <v>5000</v>
      </c>
      <c r="J490" s="453"/>
      <c r="K490" s="453"/>
      <c r="L490" s="453">
        <v>5000</v>
      </c>
      <c r="M490" s="453"/>
      <c r="N490" s="454"/>
    </row>
    <row r="491" spans="1:16" s="462" customFormat="1" ht="18" customHeight="1" x14ac:dyDescent="0.3">
      <c r="A491" s="229">
        <v>484</v>
      </c>
      <c r="B491" s="457"/>
      <c r="C491" s="458"/>
      <c r="D491" s="224" t="s">
        <v>796</v>
      </c>
      <c r="E491" s="460"/>
      <c r="F491" s="460"/>
      <c r="G491" s="1382"/>
      <c r="H491" s="461"/>
      <c r="I491" s="977">
        <f>SUM(J491:N491)</f>
        <v>7913</v>
      </c>
      <c r="J491" s="453"/>
      <c r="K491" s="453"/>
      <c r="L491" s="982">
        <v>7913</v>
      </c>
      <c r="M491" s="453"/>
      <c r="N491" s="454"/>
    </row>
    <row r="492" spans="1:16" s="462" customFormat="1" ht="18" customHeight="1" x14ac:dyDescent="0.3">
      <c r="A492" s="229">
        <v>485</v>
      </c>
      <c r="B492" s="457"/>
      <c r="C492" s="458"/>
      <c r="D492" s="976" t="s">
        <v>861</v>
      </c>
      <c r="E492" s="460"/>
      <c r="F492" s="460"/>
      <c r="G492" s="1382"/>
      <c r="H492" s="461"/>
      <c r="I492" s="980">
        <f>SUM(J492:N492)</f>
        <v>1947</v>
      </c>
      <c r="J492" s="453"/>
      <c r="K492" s="453"/>
      <c r="L492" s="985">
        <v>1947</v>
      </c>
      <c r="M492" s="453"/>
      <c r="N492" s="454"/>
    </row>
    <row r="493" spans="1:16" s="3" customFormat="1" ht="22.5" customHeight="1" x14ac:dyDescent="0.3">
      <c r="A493" s="229">
        <v>486</v>
      </c>
      <c r="B493" s="73"/>
      <c r="C493" s="74">
        <v>107</v>
      </c>
      <c r="D493" s="225" t="s">
        <v>96</v>
      </c>
      <c r="E493" s="76">
        <v>1141</v>
      </c>
      <c r="F493" s="76">
        <v>4000</v>
      </c>
      <c r="G493" s="1380">
        <v>693</v>
      </c>
      <c r="H493" s="231" t="s">
        <v>23</v>
      </c>
      <c r="I493" s="452"/>
      <c r="J493" s="570"/>
      <c r="K493" s="570"/>
      <c r="L493" s="570"/>
      <c r="M493" s="570"/>
      <c r="N493" s="571"/>
      <c r="P493" s="8"/>
    </row>
    <row r="494" spans="1:16" s="462" customFormat="1" ht="18" customHeight="1" x14ac:dyDescent="0.3">
      <c r="A494" s="229">
        <v>487</v>
      </c>
      <c r="B494" s="457"/>
      <c r="C494" s="458"/>
      <c r="D494" s="459" t="s">
        <v>268</v>
      </c>
      <c r="E494" s="460"/>
      <c r="F494" s="460"/>
      <c r="G494" s="1382"/>
      <c r="H494" s="461"/>
      <c r="I494" s="452">
        <f>SUM(J494:N494)</f>
        <v>4000</v>
      </c>
      <c r="J494" s="453"/>
      <c r="K494" s="453"/>
      <c r="L494" s="453">
        <v>4000</v>
      </c>
      <c r="M494" s="453"/>
      <c r="N494" s="454"/>
    </row>
    <row r="495" spans="1:16" s="462" customFormat="1" ht="18" customHeight="1" x14ac:dyDescent="0.3">
      <c r="A495" s="229">
        <v>488</v>
      </c>
      <c r="B495" s="457"/>
      <c r="C495" s="458"/>
      <c r="D495" s="224" t="s">
        <v>796</v>
      </c>
      <c r="E495" s="460"/>
      <c r="F495" s="460"/>
      <c r="G495" s="1382"/>
      <c r="H495" s="461"/>
      <c r="I495" s="977">
        <f>SUM(J495:N495)</f>
        <v>7307</v>
      </c>
      <c r="J495" s="453"/>
      <c r="K495" s="453"/>
      <c r="L495" s="982">
        <v>7307</v>
      </c>
      <c r="M495" s="453"/>
      <c r="N495" s="454"/>
    </row>
    <row r="496" spans="1:16" s="462" customFormat="1" ht="18" customHeight="1" x14ac:dyDescent="0.3">
      <c r="A496" s="229">
        <v>489</v>
      </c>
      <c r="B496" s="457"/>
      <c r="C496" s="458"/>
      <c r="D496" s="976" t="s">
        <v>861</v>
      </c>
      <c r="E496" s="460"/>
      <c r="F496" s="460"/>
      <c r="G496" s="1382"/>
      <c r="H496" s="461"/>
      <c r="I496" s="980">
        <f>SUM(J496:N496)</f>
        <v>199</v>
      </c>
      <c r="J496" s="453"/>
      <c r="K496" s="453"/>
      <c r="L496" s="985">
        <v>199</v>
      </c>
      <c r="M496" s="453"/>
      <c r="N496" s="454"/>
    </row>
    <row r="497" spans="1:16" s="3" customFormat="1" ht="22.5" customHeight="1" x14ac:dyDescent="0.3">
      <c r="A497" s="229">
        <v>490</v>
      </c>
      <c r="B497" s="73"/>
      <c r="C497" s="74">
        <v>108</v>
      </c>
      <c r="D497" s="225" t="s">
        <v>97</v>
      </c>
      <c r="E497" s="76">
        <v>185</v>
      </c>
      <c r="F497" s="76">
        <v>500</v>
      </c>
      <c r="G497" s="1380">
        <v>37</v>
      </c>
      <c r="H497" s="231" t="s">
        <v>23</v>
      </c>
      <c r="I497" s="452"/>
      <c r="J497" s="570"/>
      <c r="K497" s="570"/>
      <c r="L497" s="570"/>
      <c r="M497" s="570"/>
      <c r="N497" s="571"/>
      <c r="P497" s="8"/>
    </row>
    <row r="498" spans="1:16" s="462" customFormat="1" ht="18" customHeight="1" x14ac:dyDescent="0.3">
      <c r="A498" s="229">
        <v>491</v>
      </c>
      <c r="B498" s="457"/>
      <c r="C498" s="458"/>
      <c r="D498" s="459" t="s">
        <v>268</v>
      </c>
      <c r="E498" s="460"/>
      <c r="F498" s="460"/>
      <c r="G498" s="1382"/>
      <c r="H498" s="461"/>
      <c r="I498" s="452">
        <f>SUM(J498:N498)</f>
        <v>1000</v>
      </c>
      <c r="J498" s="453"/>
      <c r="K498" s="453"/>
      <c r="L498" s="453">
        <v>1000</v>
      </c>
      <c r="M498" s="453"/>
      <c r="N498" s="454"/>
    </row>
    <row r="499" spans="1:16" s="462" customFormat="1" ht="18" customHeight="1" x14ac:dyDescent="0.3">
      <c r="A499" s="229">
        <v>492</v>
      </c>
      <c r="B499" s="457"/>
      <c r="C499" s="458"/>
      <c r="D499" s="224" t="s">
        <v>796</v>
      </c>
      <c r="E499" s="460"/>
      <c r="F499" s="460"/>
      <c r="G499" s="1382"/>
      <c r="H499" s="461"/>
      <c r="I499" s="977">
        <f>SUM(J499:N499)</f>
        <v>1763</v>
      </c>
      <c r="J499" s="453"/>
      <c r="K499" s="453"/>
      <c r="L499" s="982">
        <v>1763</v>
      </c>
      <c r="M499" s="453"/>
      <c r="N499" s="454"/>
    </row>
    <row r="500" spans="1:16" s="462" customFormat="1" ht="18" customHeight="1" x14ac:dyDescent="0.3">
      <c r="A500" s="229">
        <v>493</v>
      </c>
      <c r="B500" s="457"/>
      <c r="C500" s="458"/>
      <c r="D500" s="976" t="s">
        <v>861</v>
      </c>
      <c r="E500" s="460"/>
      <c r="F500" s="460"/>
      <c r="G500" s="1382"/>
      <c r="H500" s="461"/>
      <c r="I500" s="980">
        <f>SUM(J500:N500)</f>
        <v>0</v>
      </c>
      <c r="J500" s="453"/>
      <c r="K500" s="453"/>
      <c r="L500" s="985"/>
      <c r="M500" s="453"/>
      <c r="N500" s="454"/>
    </row>
    <row r="501" spans="1:16" s="3" customFormat="1" ht="22.5" customHeight="1" x14ac:dyDescent="0.3">
      <c r="A501" s="229">
        <v>494</v>
      </c>
      <c r="B501" s="73"/>
      <c r="C501" s="74">
        <v>109</v>
      </c>
      <c r="D501" s="228" t="s">
        <v>272</v>
      </c>
      <c r="E501" s="76">
        <v>66237</v>
      </c>
      <c r="F501" s="76">
        <v>67760</v>
      </c>
      <c r="G501" s="1380">
        <v>63747</v>
      </c>
      <c r="H501" s="231" t="s">
        <v>23</v>
      </c>
      <c r="I501" s="452"/>
      <c r="J501" s="570"/>
      <c r="K501" s="570"/>
      <c r="L501" s="570"/>
      <c r="M501" s="570"/>
      <c r="N501" s="571"/>
      <c r="P501" s="8"/>
    </row>
    <row r="502" spans="1:16" s="462" customFormat="1" ht="18" customHeight="1" x14ac:dyDescent="0.3">
      <c r="A502" s="229">
        <v>495</v>
      </c>
      <c r="B502" s="457"/>
      <c r="C502" s="458"/>
      <c r="D502" s="459" t="s">
        <v>268</v>
      </c>
      <c r="E502" s="460"/>
      <c r="F502" s="460"/>
      <c r="G502" s="1382"/>
      <c r="H502" s="461"/>
      <c r="I502" s="452">
        <f>SUM(J502:N502)</f>
        <v>108220</v>
      </c>
      <c r="J502" s="453"/>
      <c r="K502" s="453"/>
      <c r="L502" s="453">
        <v>108220</v>
      </c>
      <c r="M502" s="453"/>
      <c r="N502" s="454"/>
    </row>
    <row r="503" spans="1:16" s="462" customFormat="1" ht="18" customHeight="1" x14ac:dyDescent="0.3">
      <c r="A503" s="229">
        <v>496</v>
      </c>
      <c r="B503" s="457"/>
      <c r="C503" s="458"/>
      <c r="D503" s="224" t="s">
        <v>796</v>
      </c>
      <c r="E503" s="460"/>
      <c r="F503" s="460"/>
      <c r="G503" s="1382"/>
      <c r="H503" s="461"/>
      <c r="I503" s="977">
        <f>SUM(J503:N503)</f>
        <v>114045</v>
      </c>
      <c r="J503" s="453"/>
      <c r="K503" s="453"/>
      <c r="L503" s="982">
        <v>114045</v>
      </c>
      <c r="M503" s="453"/>
      <c r="N503" s="454"/>
    </row>
    <row r="504" spans="1:16" s="462" customFormat="1" ht="18" customHeight="1" x14ac:dyDescent="0.3">
      <c r="A504" s="229">
        <v>497</v>
      </c>
      <c r="B504" s="457"/>
      <c r="C504" s="458"/>
      <c r="D504" s="976" t="s">
        <v>860</v>
      </c>
      <c r="E504" s="460"/>
      <c r="F504" s="460"/>
      <c r="G504" s="1382"/>
      <c r="H504" s="461"/>
      <c r="I504" s="980">
        <f>SUM(J504:N504)</f>
        <v>62903</v>
      </c>
      <c r="J504" s="453"/>
      <c r="K504" s="453"/>
      <c r="L504" s="985">
        <v>62903</v>
      </c>
      <c r="M504" s="453"/>
      <c r="N504" s="454"/>
    </row>
    <row r="505" spans="1:16" s="3" customFormat="1" ht="22.5" customHeight="1" x14ac:dyDescent="0.3">
      <c r="A505" s="229">
        <v>498</v>
      </c>
      <c r="B505" s="73"/>
      <c r="C505" s="74">
        <v>110</v>
      </c>
      <c r="D505" s="228" t="s">
        <v>442</v>
      </c>
      <c r="E505" s="76">
        <v>57448</v>
      </c>
      <c r="F505" s="76">
        <v>67000</v>
      </c>
      <c r="G505" s="1380">
        <v>66501</v>
      </c>
      <c r="H505" s="231" t="s">
        <v>23</v>
      </c>
      <c r="I505" s="452"/>
      <c r="J505" s="570"/>
      <c r="K505" s="570"/>
      <c r="L505" s="570"/>
      <c r="M505" s="570"/>
      <c r="N505" s="571"/>
      <c r="P505" s="8"/>
    </row>
    <row r="506" spans="1:16" s="462" customFormat="1" ht="18" customHeight="1" x14ac:dyDescent="0.3">
      <c r="A506" s="229">
        <v>499</v>
      </c>
      <c r="B506" s="457"/>
      <c r="C506" s="458"/>
      <c r="D506" s="459" t="s">
        <v>268</v>
      </c>
      <c r="E506" s="460"/>
      <c r="F506" s="460"/>
      <c r="G506" s="1382"/>
      <c r="H506" s="461"/>
      <c r="I506" s="452">
        <f>SUM(J506:N506)</f>
        <v>60000</v>
      </c>
      <c r="J506" s="453"/>
      <c r="K506" s="453"/>
      <c r="L506" s="453">
        <v>60000</v>
      </c>
      <c r="M506" s="453"/>
      <c r="N506" s="454"/>
    </row>
    <row r="507" spans="1:16" s="462" customFormat="1" ht="18" customHeight="1" x14ac:dyDescent="0.3">
      <c r="A507" s="229">
        <v>500</v>
      </c>
      <c r="B507" s="457"/>
      <c r="C507" s="458"/>
      <c r="D507" s="224" t="s">
        <v>796</v>
      </c>
      <c r="E507" s="460"/>
      <c r="F507" s="460"/>
      <c r="G507" s="1382"/>
      <c r="H507" s="461"/>
      <c r="I507" s="977">
        <f>SUM(J507:N507)</f>
        <v>73300</v>
      </c>
      <c r="J507" s="453"/>
      <c r="K507" s="453"/>
      <c r="L507" s="982">
        <v>73300</v>
      </c>
      <c r="M507" s="453"/>
      <c r="N507" s="454"/>
    </row>
    <row r="508" spans="1:16" s="462" customFormat="1" ht="18" customHeight="1" x14ac:dyDescent="0.3">
      <c r="A508" s="229">
        <v>501</v>
      </c>
      <c r="B508" s="457"/>
      <c r="C508" s="458"/>
      <c r="D508" s="976" t="s">
        <v>861</v>
      </c>
      <c r="E508" s="460"/>
      <c r="F508" s="460"/>
      <c r="G508" s="1382"/>
      <c r="H508" s="461"/>
      <c r="I508" s="980">
        <f>SUM(J508:N508)</f>
        <v>33500</v>
      </c>
      <c r="J508" s="453"/>
      <c r="K508" s="453"/>
      <c r="L508" s="985">
        <v>33500</v>
      </c>
      <c r="M508" s="453"/>
      <c r="N508" s="454"/>
    </row>
    <row r="509" spans="1:16" s="3" customFormat="1" ht="22.5" customHeight="1" x14ac:dyDescent="0.3">
      <c r="A509" s="229">
        <v>502</v>
      </c>
      <c r="B509" s="73"/>
      <c r="C509" s="74">
        <v>111</v>
      </c>
      <c r="D509" s="228" t="s">
        <v>226</v>
      </c>
      <c r="E509" s="76">
        <v>17000</v>
      </c>
      <c r="F509" s="76">
        <v>19000</v>
      </c>
      <c r="G509" s="1380">
        <v>19000</v>
      </c>
      <c r="H509" s="231" t="s">
        <v>23</v>
      </c>
      <c r="I509" s="452"/>
      <c r="J509" s="570"/>
      <c r="K509" s="570"/>
      <c r="L509" s="570"/>
      <c r="M509" s="570"/>
      <c r="N509" s="571"/>
      <c r="P509" s="8"/>
    </row>
    <row r="510" spans="1:16" s="462" customFormat="1" ht="18" customHeight="1" x14ac:dyDescent="0.3">
      <c r="A510" s="229">
        <v>503</v>
      </c>
      <c r="B510" s="457"/>
      <c r="C510" s="458"/>
      <c r="D510" s="459" t="s">
        <v>268</v>
      </c>
      <c r="E510" s="460"/>
      <c r="F510" s="460"/>
      <c r="G510" s="1382"/>
      <c r="H510" s="461"/>
      <c r="I510" s="452">
        <f>SUM(J510:N510)</f>
        <v>20000</v>
      </c>
      <c r="J510" s="453"/>
      <c r="K510" s="453"/>
      <c r="L510" s="453">
        <v>20000</v>
      </c>
      <c r="M510" s="453"/>
      <c r="N510" s="454"/>
    </row>
    <row r="511" spans="1:16" s="462" customFormat="1" ht="18" customHeight="1" x14ac:dyDescent="0.3">
      <c r="A511" s="229">
        <v>504</v>
      </c>
      <c r="B511" s="457"/>
      <c r="C511" s="458"/>
      <c r="D511" s="224" t="s">
        <v>796</v>
      </c>
      <c r="E511" s="460"/>
      <c r="F511" s="460"/>
      <c r="G511" s="1382"/>
      <c r="H511" s="464"/>
      <c r="I511" s="977">
        <f>SUM(J511:N511)</f>
        <v>20000</v>
      </c>
      <c r="J511" s="453"/>
      <c r="K511" s="453"/>
      <c r="L511" s="982">
        <v>20000</v>
      </c>
      <c r="M511" s="453"/>
      <c r="N511" s="454"/>
    </row>
    <row r="512" spans="1:16" s="462" customFormat="1" ht="18" customHeight="1" x14ac:dyDescent="0.3">
      <c r="A512" s="229">
        <v>505</v>
      </c>
      <c r="B512" s="457"/>
      <c r="C512" s="458"/>
      <c r="D512" s="976" t="s">
        <v>860</v>
      </c>
      <c r="E512" s="460"/>
      <c r="F512" s="460"/>
      <c r="G512" s="1382"/>
      <c r="H512" s="464"/>
      <c r="I512" s="980">
        <f>SUM(J512:N512)</f>
        <v>0</v>
      </c>
      <c r="J512" s="453"/>
      <c r="K512" s="453"/>
      <c r="L512" s="982"/>
      <c r="M512" s="453"/>
      <c r="N512" s="454"/>
    </row>
    <row r="513" spans="1:16" s="3" customFormat="1" ht="22.5" customHeight="1" x14ac:dyDescent="0.3">
      <c r="A513" s="229">
        <v>506</v>
      </c>
      <c r="B513" s="73"/>
      <c r="C513" s="74">
        <v>112</v>
      </c>
      <c r="D513" s="225" t="s">
        <v>225</v>
      </c>
      <c r="E513" s="76">
        <v>778</v>
      </c>
      <c r="F513" s="76">
        <v>1500</v>
      </c>
      <c r="G513" s="1380">
        <v>443</v>
      </c>
      <c r="H513" s="233" t="s">
        <v>23</v>
      </c>
      <c r="I513" s="452"/>
      <c r="J513" s="570"/>
      <c r="K513" s="570"/>
      <c r="L513" s="570"/>
      <c r="M513" s="570"/>
      <c r="N513" s="571"/>
      <c r="P513" s="8"/>
    </row>
    <row r="514" spans="1:16" s="462" customFormat="1" ht="18" customHeight="1" x14ac:dyDescent="0.3">
      <c r="A514" s="229">
        <v>507</v>
      </c>
      <c r="B514" s="477"/>
      <c r="C514" s="458"/>
      <c r="D514" s="459" t="s">
        <v>268</v>
      </c>
      <c r="E514" s="463"/>
      <c r="F514" s="463"/>
      <c r="G514" s="1388"/>
      <c r="H514" s="464"/>
      <c r="I514" s="452">
        <f>SUM(J514:N514)</f>
        <v>1500</v>
      </c>
      <c r="J514" s="465"/>
      <c r="K514" s="465"/>
      <c r="L514" s="465">
        <v>1500</v>
      </c>
      <c r="M514" s="465"/>
      <c r="N514" s="466"/>
    </row>
    <row r="515" spans="1:16" s="462" customFormat="1" ht="18" customHeight="1" x14ac:dyDescent="0.3">
      <c r="A515" s="229">
        <v>508</v>
      </c>
      <c r="B515" s="477"/>
      <c r="C515" s="458"/>
      <c r="D515" s="224" t="s">
        <v>796</v>
      </c>
      <c r="E515" s="463"/>
      <c r="F515" s="463"/>
      <c r="G515" s="1388"/>
      <c r="H515" s="464"/>
      <c r="I515" s="977">
        <f>SUM(J515:N515)</f>
        <v>2113</v>
      </c>
      <c r="J515" s="465"/>
      <c r="K515" s="465"/>
      <c r="L515" s="975">
        <v>2113</v>
      </c>
      <c r="M515" s="465"/>
      <c r="N515" s="466"/>
    </row>
    <row r="516" spans="1:16" s="462" customFormat="1" ht="18" customHeight="1" x14ac:dyDescent="0.3">
      <c r="A516" s="229">
        <v>509</v>
      </c>
      <c r="B516" s="477"/>
      <c r="C516" s="458"/>
      <c r="D516" s="976" t="s">
        <v>861</v>
      </c>
      <c r="E516" s="463"/>
      <c r="F516" s="463"/>
      <c r="G516" s="1388"/>
      <c r="H516" s="464"/>
      <c r="I516" s="980">
        <f>SUM(J516:N516)</f>
        <v>613</v>
      </c>
      <c r="J516" s="465"/>
      <c r="K516" s="465"/>
      <c r="L516" s="978">
        <v>613</v>
      </c>
      <c r="M516" s="465"/>
      <c r="N516" s="466"/>
    </row>
    <row r="517" spans="1:16" s="3" customFormat="1" ht="22.5" customHeight="1" x14ac:dyDescent="0.3">
      <c r="A517" s="229">
        <v>510</v>
      </c>
      <c r="B517" s="73"/>
      <c r="C517" s="74">
        <v>113</v>
      </c>
      <c r="D517" s="225" t="s">
        <v>316</v>
      </c>
      <c r="E517" s="76">
        <v>2087</v>
      </c>
      <c r="F517" s="76">
        <v>3500</v>
      </c>
      <c r="G517" s="1380">
        <v>3753</v>
      </c>
      <c r="H517" s="231" t="s">
        <v>24</v>
      </c>
      <c r="I517" s="452"/>
      <c r="J517" s="570"/>
      <c r="K517" s="570"/>
      <c r="L517" s="570"/>
      <c r="M517" s="570"/>
      <c r="N517" s="571"/>
      <c r="P517" s="8"/>
    </row>
    <row r="518" spans="1:16" s="462" customFormat="1" ht="18" customHeight="1" x14ac:dyDescent="0.3">
      <c r="A518" s="229">
        <v>511</v>
      </c>
      <c r="B518" s="457"/>
      <c r="C518" s="458"/>
      <c r="D518" s="459" t="s">
        <v>268</v>
      </c>
      <c r="E518" s="460"/>
      <c r="F518" s="460"/>
      <c r="G518" s="1382"/>
      <c r="H518" s="461"/>
      <c r="I518" s="452">
        <f>SUM(J518:N518)</f>
        <v>7000</v>
      </c>
      <c r="J518" s="453"/>
      <c r="K518" s="453"/>
      <c r="L518" s="453">
        <v>7000</v>
      </c>
      <c r="M518" s="453"/>
      <c r="N518" s="454"/>
    </row>
    <row r="519" spans="1:16" s="462" customFormat="1" ht="18" customHeight="1" x14ac:dyDescent="0.3">
      <c r="A519" s="229">
        <v>512</v>
      </c>
      <c r="B519" s="457"/>
      <c r="C519" s="458"/>
      <c r="D519" s="224" t="s">
        <v>796</v>
      </c>
      <c r="E519" s="460"/>
      <c r="F519" s="460"/>
      <c r="G519" s="1382"/>
      <c r="H519" s="461"/>
      <c r="I519" s="977">
        <f>SUM(J519:N519)</f>
        <v>10805</v>
      </c>
      <c r="J519" s="453"/>
      <c r="K519" s="453"/>
      <c r="L519" s="982">
        <v>10805</v>
      </c>
      <c r="M519" s="453"/>
      <c r="N519" s="454"/>
    </row>
    <row r="520" spans="1:16" s="462" customFormat="1" ht="18" customHeight="1" x14ac:dyDescent="0.3">
      <c r="A520" s="229">
        <v>513</v>
      </c>
      <c r="B520" s="457"/>
      <c r="C520" s="458"/>
      <c r="D520" s="976" t="s">
        <v>861</v>
      </c>
      <c r="E520" s="460"/>
      <c r="F520" s="460"/>
      <c r="G520" s="1382"/>
      <c r="H520" s="461"/>
      <c r="I520" s="980">
        <f>SUM(J520:N520)</f>
        <v>596</v>
      </c>
      <c r="J520" s="453"/>
      <c r="K520" s="453"/>
      <c r="L520" s="985">
        <v>596</v>
      </c>
      <c r="M520" s="453"/>
      <c r="N520" s="454"/>
    </row>
    <row r="521" spans="1:16" s="3" customFormat="1" ht="22.5" customHeight="1" x14ac:dyDescent="0.3">
      <c r="A521" s="229">
        <v>514</v>
      </c>
      <c r="B521" s="73"/>
      <c r="C521" s="74">
        <v>114</v>
      </c>
      <c r="D521" s="225" t="s">
        <v>490</v>
      </c>
      <c r="E521" s="76">
        <v>7499</v>
      </c>
      <c r="F521" s="76">
        <v>9600</v>
      </c>
      <c r="G521" s="1380">
        <v>4963</v>
      </c>
      <c r="H521" s="231" t="s">
        <v>23</v>
      </c>
      <c r="I521" s="452"/>
      <c r="J521" s="570"/>
      <c r="K521" s="570"/>
      <c r="L521" s="570"/>
      <c r="M521" s="570"/>
      <c r="N521" s="571"/>
      <c r="P521" s="8"/>
    </row>
    <row r="522" spans="1:16" s="462" customFormat="1" ht="18" customHeight="1" x14ac:dyDescent="0.3">
      <c r="A522" s="229">
        <v>515</v>
      </c>
      <c r="B522" s="457"/>
      <c r="C522" s="458"/>
      <c r="D522" s="459" t="s">
        <v>268</v>
      </c>
      <c r="E522" s="460"/>
      <c r="F522" s="460"/>
      <c r="G522" s="1382"/>
      <c r="H522" s="461"/>
      <c r="I522" s="452">
        <f>SUM(J522:N522)</f>
        <v>8000</v>
      </c>
      <c r="J522" s="453"/>
      <c r="K522" s="453"/>
      <c r="L522" s="453">
        <v>8000</v>
      </c>
      <c r="M522" s="453"/>
      <c r="N522" s="454"/>
    </row>
    <row r="523" spans="1:16" s="462" customFormat="1" ht="18" customHeight="1" x14ac:dyDescent="0.3">
      <c r="A523" s="229">
        <v>516</v>
      </c>
      <c r="B523" s="457"/>
      <c r="C523" s="458"/>
      <c r="D523" s="224" t="s">
        <v>796</v>
      </c>
      <c r="E523" s="460"/>
      <c r="F523" s="460"/>
      <c r="G523" s="1382"/>
      <c r="H523" s="461"/>
      <c r="I523" s="977">
        <f>SUM(J523:N523)</f>
        <v>12114</v>
      </c>
      <c r="J523" s="453"/>
      <c r="K523" s="453"/>
      <c r="L523" s="982">
        <v>12114</v>
      </c>
      <c r="M523" s="453"/>
      <c r="N523" s="454"/>
    </row>
    <row r="524" spans="1:16" s="462" customFormat="1" ht="18" customHeight="1" x14ac:dyDescent="0.3">
      <c r="A524" s="229">
        <v>517</v>
      </c>
      <c r="B524" s="457"/>
      <c r="C524" s="458"/>
      <c r="D524" s="976" t="s">
        <v>861</v>
      </c>
      <c r="E524" s="460"/>
      <c r="F524" s="460"/>
      <c r="G524" s="1382"/>
      <c r="H524" s="461"/>
      <c r="I524" s="980">
        <f>SUM(J524:N524)</f>
        <v>2239</v>
      </c>
      <c r="J524" s="453"/>
      <c r="K524" s="453"/>
      <c r="L524" s="985">
        <v>2239</v>
      </c>
      <c r="M524" s="453"/>
      <c r="N524" s="454"/>
    </row>
    <row r="525" spans="1:16" s="462" customFormat="1" ht="22.5" customHeight="1" x14ac:dyDescent="0.3">
      <c r="A525" s="229">
        <v>518</v>
      </c>
      <c r="B525" s="457"/>
      <c r="C525" s="74">
        <v>115</v>
      </c>
      <c r="D525" s="225" t="s">
        <v>489</v>
      </c>
      <c r="E525" s="76">
        <v>5690</v>
      </c>
      <c r="F525" s="76">
        <v>11000</v>
      </c>
      <c r="G525" s="1380">
        <v>10807</v>
      </c>
      <c r="H525" s="231" t="s">
        <v>23</v>
      </c>
      <c r="I525" s="452"/>
      <c r="J525" s="453"/>
      <c r="K525" s="453"/>
      <c r="L525" s="453"/>
      <c r="M525" s="453"/>
      <c r="N525" s="454"/>
    </row>
    <row r="526" spans="1:16" s="462" customFormat="1" ht="18" customHeight="1" x14ac:dyDescent="0.3">
      <c r="A526" s="229">
        <v>519</v>
      </c>
      <c r="B526" s="457"/>
      <c r="C526" s="458"/>
      <c r="D526" s="459" t="s">
        <v>268</v>
      </c>
      <c r="E526" s="460"/>
      <c r="F526" s="460"/>
      <c r="G526" s="1382"/>
      <c r="H526" s="461"/>
      <c r="I526" s="452">
        <f>SUM(J526:N526)</f>
        <v>12000</v>
      </c>
      <c r="J526" s="453"/>
      <c r="K526" s="453"/>
      <c r="L526" s="453">
        <v>12000</v>
      </c>
      <c r="M526" s="453"/>
      <c r="N526" s="454"/>
    </row>
    <row r="527" spans="1:16" s="462" customFormat="1" ht="18" customHeight="1" x14ac:dyDescent="0.3">
      <c r="A527" s="229">
        <v>520</v>
      </c>
      <c r="B527" s="457"/>
      <c r="C527" s="458"/>
      <c r="D527" s="224" t="s">
        <v>796</v>
      </c>
      <c r="E527" s="460"/>
      <c r="F527" s="460"/>
      <c r="G527" s="1382"/>
      <c r="H527" s="461"/>
      <c r="I527" s="977">
        <f>SUM(J527:N527)</f>
        <v>12913</v>
      </c>
      <c r="J527" s="453"/>
      <c r="K527" s="453"/>
      <c r="L527" s="982">
        <v>12913</v>
      </c>
      <c r="M527" s="453"/>
      <c r="N527" s="454"/>
    </row>
    <row r="528" spans="1:16" s="462" customFormat="1" ht="18" customHeight="1" x14ac:dyDescent="0.3">
      <c r="A528" s="229">
        <v>521</v>
      </c>
      <c r="B528" s="457"/>
      <c r="C528" s="458"/>
      <c r="D528" s="976" t="s">
        <v>861</v>
      </c>
      <c r="E528" s="460"/>
      <c r="F528" s="460"/>
      <c r="G528" s="1382"/>
      <c r="H528" s="461"/>
      <c r="I528" s="980">
        <f>SUM(J528:N528)</f>
        <v>4913</v>
      </c>
      <c r="J528" s="453"/>
      <c r="K528" s="453"/>
      <c r="L528" s="985">
        <v>4913</v>
      </c>
      <c r="M528" s="453"/>
      <c r="N528" s="454"/>
    </row>
    <row r="529" spans="1:16" s="8" customFormat="1" ht="22.5" customHeight="1" x14ac:dyDescent="0.3">
      <c r="A529" s="229">
        <v>522</v>
      </c>
      <c r="B529" s="85"/>
      <c r="C529" s="74">
        <v>116</v>
      </c>
      <c r="D529" s="225" t="s">
        <v>250</v>
      </c>
      <c r="E529" s="76">
        <v>146597</v>
      </c>
      <c r="F529" s="76">
        <v>137959</v>
      </c>
      <c r="G529" s="1380">
        <v>154035</v>
      </c>
      <c r="H529" s="231" t="s">
        <v>23</v>
      </c>
      <c r="I529" s="575"/>
      <c r="J529" s="576"/>
      <c r="K529" s="576"/>
      <c r="L529" s="576"/>
      <c r="M529" s="576"/>
      <c r="N529" s="577"/>
    </row>
    <row r="530" spans="1:16" s="462" customFormat="1" ht="18" customHeight="1" x14ac:dyDescent="0.3">
      <c r="A530" s="229">
        <v>523</v>
      </c>
      <c r="B530" s="457"/>
      <c r="C530" s="458"/>
      <c r="D530" s="459" t="s">
        <v>268</v>
      </c>
      <c r="E530" s="460"/>
      <c r="F530" s="460"/>
      <c r="G530" s="1382"/>
      <c r="H530" s="461"/>
      <c r="I530" s="452">
        <f>SUM(J530:N530)</f>
        <v>160000</v>
      </c>
      <c r="J530" s="453"/>
      <c r="K530" s="453"/>
      <c r="L530" s="453">
        <v>160000</v>
      </c>
      <c r="M530" s="453"/>
      <c r="N530" s="454"/>
    </row>
    <row r="531" spans="1:16" s="462" customFormat="1" ht="18" customHeight="1" x14ac:dyDescent="0.3">
      <c r="A531" s="229">
        <v>524</v>
      </c>
      <c r="B531" s="457"/>
      <c r="C531" s="458"/>
      <c r="D531" s="224" t="s">
        <v>796</v>
      </c>
      <c r="E531" s="460"/>
      <c r="F531" s="460"/>
      <c r="G531" s="1382"/>
      <c r="H531" s="461"/>
      <c r="I531" s="977">
        <f>SUM(J531:N531)</f>
        <v>160000</v>
      </c>
      <c r="J531" s="453"/>
      <c r="K531" s="453"/>
      <c r="L531" s="982">
        <v>160000</v>
      </c>
      <c r="M531" s="453"/>
      <c r="N531" s="454"/>
    </row>
    <row r="532" spans="1:16" s="462" customFormat="1" ht="18" customHeight="1" x14ac:dyDescent="0.3">
      <c r="A532" s="229">
        <v>525</v>
      </c>
      <c r="B532" s="457"/>
      <c r="C532" s="458"/>
      <c r="D532" s="976" t="s">
        <v>860</v>
      </c>
      <c r="E532" s="460"/>
      <c r="F532" s="460"/>
      <c r="G532" s="1382"/>
      <c r="H532" s="461"/>
      <c r="I532" s="980">
        <f>SUM(J532:N532)</f>
        <v>82636</v>
      </c>
      <c r="J532" s="453"/>
      <c r="K532" s="453"/>
      <c r="L532" s="985">
        <v>82636</v>
      </c>
      <c r="M532" s="453"/>
      <c r="N532" s="454"/>
    </row>
    <row r="533" spans="1:16" s="8" customFormat="1" ht="22.5" customHeight="1" x14ac:dyDescent="0.3">
      <c r="A533" s="229">
        <v>526</v>
      </c>
      <c r="B533" s="85"/>
      <c r="C533" s="74">
        <v>117</v>
      </c>
      <c r="D533" s="225" t="s">
        <v>315</v>
      </c>
      <c r="E533" s="76">
        <v>2362</v>
      </c>
      <c r="F533" s="76">
        <v>0</v>
      </c>
      <c r="G533" s="1380">
        <v>0</v>
      </c>
      <c r="H533" s="231" t="s">
        <v>24</v>
      </c>
      <c r="I533" s="575"/>
      <c r="J533" s="576"/>
      <c r="K533" s="576"/>
      <c r="L533" s="576"/>
      <c r="M533" s="576"/>
      <c r="N533" s="577"/>
    </row>
    <row r="534" spans="1:16" s="3" customFormat="1" ht="22.5" customHeight="1" x14ac:dyDescent="0.3">
      <c r="A534" s="229">
        <v>527</v>
      </c>
      <c r="B534" s="73"/>
      <c r="C534" s="74">
        <v>118</v>
      </c>
      <c r="D534" s="225" t="s">
        <v>98</v>
      </c>
      <c r="E534" s="76">
        <f>E538+E542+E546+E550+E554</f>
        <v>2765</v>
      </c>
      <c r="F534" s="76">
        <f>F538+F542+F546+F550+F554</f>
        <v>2765</v>
      </c>
      <c r="G534" s="76">
        <f>G538+G542+G546+G550+G554</f>
        <v>2765</v>
      </c>
      <c r="H534" s="231" t="s">
        <v>23</v>
      </c>
      <c r="I534" s="575"/>
      <c r="J534" s="576"/>
      <c r="K534" s="576"/>
      <c r="L534" s="576"/>
      <c r="M534" s="576"/>
      <c r="N534" s="577"/>
      <c r="O534" s="8"/>
      <c r="P534" s="8"/>
    </row>
    <row r="535" spans="1:16" s="462" customFormat="1" ht="18" customHeight="1" x14ac:dyDescent="0.3">
      <c r="A535" s="229">
        <v>528</v>
      </c>
      <c r="B535" s="457"/>
      <c r="C535" s="458"/>
      <c r="D535" s="459" t="s">
        <v>268</v>
      </c>
      <c r="E535" s="460"/>
      <c r="F535" s="460"/>
      <c r="G535" s="1382"/>
      <c r="H535" s="461"/>
      <c r="I535" s="452">
        <f>SUM(J535:N535)</f>
        <v>2765</v>
      </c>
      <c r="J535" s="472"/>
      <c r="K535" s="472"/>
      <c r="L535" s="472"/>
      <c r="M535" s="472"/>
      <c r="N535" s="454">
        <f>N539+N543+N547+N551+N555</f>
        <v>2765</v>
      </c>
    </row>
    <row r="536" spans="1:16" s="462" customFormat="1" ht="18" customHeight="1" x14ac:dyDescent="0.3">
      <c r="A536" s="229">
        <v>529</v>
      </c>
      <c r="B536" s="457"/>
      <c r="C536" s="458"/>
      <c r="D536" s="224" t="s">
        <v>796</v>
      </c>
      <c r="E536" s="460"/>
      <c r="F536" s="460"/>
      <c r="G536" s="1382"/>
      <c r="H536" s="461"/>
      <c r="I536" s="977">
        <f>SUM(J536:N536)</f>
        <v>2765</v>
      </c>
      <c r="J536" s="472"/>
      <c r="K536" s="472"/>
      <c r="L536" s="472"/>
      <c r="M536" s="472"/>
      <c r="N536" s="454">
        <f>N540+N544+N548+N552+N556</f>
        <v>2765</v>
      </c>
    </row>
    <row r="537" spans="1:16" s="462" customFormat="1" ht="18" customHeight="1" x14ac:dyDescent="0.3">
      <c r="A537" s="229">
        <v>530</v>
      </c>
      <c r="B537" s="457"/>
      <c r="C537" s="458"/>
      <c r="D537" s="976" t="s">
        <v>860</v>
      </c>
      <c r="E537" s="460"/>
      <c r="F537" s="460"/>
      <c r="G537" s="1382"/>
      <c r="H537" s="461"/>
      <c r="I537" s="980">
        <f>SUM(J537:N537)</f>
        <v>690</v>
      </c>
      <c r="J537" s="472"/>
      <c r="K537" s="472"/>
      <c r="L537" s="472"/>
      <c r="M537" s="472"/>
      <c r="N537" s="987">
        <f>N541+N545+N549+N553+N557</f>
        <v>690</v>
      </c>
    </row>
    <row r="538" spans="1:16" s="9" customFormat="1" ht="18" customHeight="1" x14ac:dyDescent="0.3">
      <c r="A538" s="229">
        <v>531</v>
      </c>
      <c r="B538" s="81"/>
      <c r="C538" s="78"/>
      <c r="D538" s="83" t="s">
        <v>99</v>
      </c>
      <c r="E538" s="76">
        <v>553</v>
      </c>
      <c r="F538" s="82">
        <v>553</v>
      </c>
      <c r="G538" s="1383">
        <v>553</v>
      </c>
      <c r="H538" s="232"/>
      <c r="I538" s="455"/>
      <c r="J538" s="578"/>
      <c r="K538" s="578"/>
      <c r="L538" s="578"/>
      <c r="M538" s="578"/>
      <c r="N538" s="579"/>
      <c r="P538" s="8"/>
    </row>
    <row r="539" spans="1:16" s="474" customFormat="1" ht="18" customHeight="1" x14ac:dyDescent="0.3">
      <c r="A539" s="229">
        <v>532</v>
      </c>
      <c r="B539" s="468"/>
      <c r="C539" s="458"/>
      <c r="D539" s="469" t="s">
        <v>268</v>
      </c>
      <c r="E539" s="460"/>
      <c r="F539" s="470"/>
      <c r="G539" s="1385"/>
      <c r="H539" s="471"/>
      <c r="I539" s="455">
        <f>SUM(J539:N539)</f>
        <v>553</v>
      </c>
      <c r="J539" s="472"/>
      <c r="K539" s="472"/>
      <c r="L539" s="472"/>
      <c r="M539" s="472"/>
      <c r="N539" s="473">
        <v>553</v>
      </c>
      <c r="P539" s="462"/>
    </row>
    <row r="540" spans="1:16" s="474" customFormat="1" ht="18" customHeight="1" x14ac:dyDescent="0.3">
      <c r="A540" s="229">
        <v>533</v>
      </c>
      <c r="B540" s="468"/>
      <c r="C540" s="458"/>
      <c r="D540" s="981" t="s">
        <v>796</v>
      </c>
      <c r="E540" s="460"/>
      <c r="F540" s="470"/>
      <c r="G540" s="1385"/>
      <c r="H540" s="471"/>
      <c r="I540" s="980">
        <f>SUM(J540:N540)</f>
        <v>553</v>
      </c>
      <c r="J540" s="472"/>
      <c r="K540" s="472"/>
      <c r="L540" s="472"/>
      <c r="M540" s="472"/>
      <c r="N540" s="987">
        <v>553</v>
      </c>
      <c r="P540" s="462"/>
    </row>
    <row r="541" spans="1:16" s="474" customFormat="1" ht="18" customHeight="1" x14ac:dyDescent="0.3">
      <c r="A541" s="229">
        <v>534</v>
      </c>
      <c r="B541" s="468"/>
      <c r="C541" s="458"/>
      <c r="D541" s="981" t="s">
        <v>860</v>
      </c>
      <c r="E541" s="460"/>
      <c r="F541" s="470"/>
      <c r="G541" s="1385"/>
      <c r="H541" s="471"/>
      <c r="I541" s="980">
        <f>SUM(J541:N541)</f>
        <v>138</v>
      </c>
      <c r="J541" s="472"/>
      <c r="K541" s="472"/>
      <c r="L541" s="472"/>
      <c r="M541" s="472"/>
      <c r="N541" s="986">
        <v>138</v>
      </c>
      <c r="P541" s="462"/>
    </row>
    <row r="542" spans="1:16" s="9" customFormat="1" ht="18" customHeight="1" x14ac:dyDescent="0.3">
      <c r="A542" s="229">
        <v>535</v>
      </c>
      <c r="B542" s="81"/>
      <c r="C542" s="78"/>
      <c r="D542" s="86" t="s">
        <v>100</v>
      </c>
      <c r="E542" s="76">
        <v>553</v>
      </c>
      <c r="F542" s="82">
        <v>553</v>
      </c>
      <c r="G542" s="1383">
        <v>553</v>
      </c>
      <c r="H542" s="232"/>
      <c r="I542" s="580"/>
      <c r="J542" s="581"/>
      <c r="K542" s="581"/>
      <c r="L542" s="581"/>
      <c r="M542" s="581"/>
      <c r="N542" s="582"/>
      <c r="P542" s="8"/>
    </row>
    <row r="543" spans="1:16" s="474" customFormat="1" ht="18" customHeight="1" x14ac:dyDescent="0.3">
      <c r="A543" s="229">
        <v>536</v>
      </c>
      <c r="B543" s="468"/>
      <c r="C543" s="458"/>
      <c r="D543" s="469" t="s">
        <v>268</v>
      </c>
      <c r="E543" s="460"/>
      <c r="F543" s="470"/>
      <c r="G543" s="1385"/>
      <c r="H543" s="471"/>
      <c r="I543" s="455">
        <f>SUM(J543:N543)</f>
        <v>553</v>
      </c>
      <c r="J543" s="472"/>
      <c r="K543" s="472"/>
      <c r="L543" s="472"/>
      <c r="M543" s="472"/>
      <c r="N543" s="473">
        <v>553</v>
      </c>
      <c r="P543" s="462"/>
    </row>
    <row r="544" spans="1:16" s="474" customFormat="1" ht="18" customHeight="1" x14ac:dyDescent="0.3">
      <c r="A544" s="229">
        <v>537</v>
      </c>
      <c r="B544" s="468"/>
      <c r="C544" s="458"/>
      <c r="D544" s="981" t="s">
        <v>796</v>
      </c>
      <c r="E544" s="460"/>
      <c r="F544" s="470"/>
      <c r="G544" s="1385"/>
      <c r="H544" s="471"/>
      <c r="I544" s="980">
        <f>SUM(J544:N544)</f>
        <v>553</v>
      </c>
      <c r="J544" s="472"/>
      <c r="K544" s="472"/>
      <c r="L544" s="472"/>
      <c r="M544" s="472"/>
      <c r="N544" s="987">
        <v>553</v>
      </c>
      <c r="P544" s="462"/>
    </row>
    <row r="545" spans="1:16" s="474" customFormat="1" ht="18" customHeight="1" x14ac:dyDescent="0.3">
      <c r="A545" s="229">
        <v>538</v>
      </c>
      <c r="B545" s="468"/>
      <c r="C545" s="458"/>
      <c r="D545" s="981" t="s">
        <v>860</v>
      </c>
      <c r="E545" s="460"/>
      <c r="F545" s="470"/>
      <c r="G545" s="1385"/>
      <c r="H545" s="471"/>
      <c r="I545" s="980">
        <f>SUM(J545:N545)</f>
        <v>138</v>
      </c>
      <c r="J545" s="472"/>
      <c r="K545" s="472"/>
      <c r="L545" s="472"/>
      <c r="M545" s="472"/>
      <c r="N545" s="986">
        <v>138</v>
      </c>
      <c r="P545" s="462"/>
    </row>
    <row r="546" spans="1:16" s="9" customFormat="1" ht="18" customHeight="1" x14ac:dyDescent="0.3">
      <c r="A546" s="229">
        <v>539</v>
      </c>
      <c r="B546" s="81"/>
      <c r="C546" s="78"/>
      <c r="D546" s="86" t="s">
        <v>101</v>
      </c>
      <c r="E546" s="76">
        <v>553</v>
      </c>
      <c r="F546" s="82">
        <v>553</v>
      </c>
      <c r="G546" s="1383">
        <v>553</v>
      </c>
      <c r="H546" s="232"/>
      <c r="I546" s="580"/>
      <c r="J546" s="581"/>
      <c r="K546" s="581"/>
      <c r="L546" s="581"/>
      <c r="M546" s="581"/>
      <c r="N546" s="582"/>
      <c r="P546" s="8"/>
    </row>
    <row r="547" spans="1:16" s="474" customFormat="1" ht="18" customHeight="1" x14ac:dyDescent="0.3">
      <c r="A547" s="229">
        <v>540</v>
      </c>
      <c r="B547" s="468"/>
      <c r="C547" s="458"/>
      <c r="D547" s="469" t="s">
        <v>268</v>
      </c>
      <c r="E547" s="460"/>
      <c r="F547" s="470"/>
      <c r="G547" s="1385"/>
      <c r="H547" s="471"/>
      <c r="I547" s="455">
        <f>SUM(J547:N547)</f>
        <v>553</v>
      </c>
      <c r="J547" s="472"/>
      <c r="K547" s="472"/>
      <c r="L547" s="472"/>
      <c r="M547" s="472"/>
      <c r="N547" s="473">
        <v>553</v>
      </c>
      <c r="P547" s="462"/>
    </row>
    <row r="548" spans="1:16" s="474" customFormat="1" ht="18" customHeight="1" x14ac:dyDescent="0.3">
      <c r="A548" s="229">
        <v>541</v>
      </c>
      <c r="B548" s="468"/>
      <c r="C548" s="458"/>
      <c r="D548" s="981" t="s">
        <v>796</v>
      </c>
      <c r="E548" s="460"/>
      <c r="F548" s="470"/>
      <c r="G548" s="1385"/>
      <c r="H548" s="471"/>
      <c r="I548" s="980">
        <f>SUM(J548:N548)</f>
        <v>553</v>
      </c>
      <c r="J548" s="472"/>
      <c r="K548" s="472"/>
      <c r="L548" s="472"/>
      <c r="M548" s="472"/>
      <c r="N548" s="987">
        <v>553</v>
      </c>
      <c r="P548" s="462"/>
    </row>
    <row r="549" spans="1:16" s="474" customFormat="1" ht="18" customHeight="1" x14ac:dyDescent="0.3">
      <c r="A549" s="229">
        <v>542</v>
      </c>
      <c r="B549" s="468"/>
      <c r="C549" s="458"/>
      <c r="D549" s="981" t="s">
        <v>860</v>
      </c>
      <c r="E549" s="460"/>
      <c r="F549" s="470"/>
      <c r="G549" s="1385"/>
      <c r="H549" s="471"/>
      <c r="I549" s="980">
        <f>SUM(J549:N549)</f>
        <v>138</v>
      </c>
      <c r="J549" s="472"/>
      <c r="K549" s="472"/>
      <c r="L549" s="472"/>
      <c r="M549" s="472"/>
      <c r="N549" s="986">
        <v>138</v>
      </c>
      <c r="P549" s="462"/>
    </row>
    <row r="550" spans="1:16" s="9" customFormat="1" ht="18" customHeight="1" x14ac:dyDescent="0.3">
      <c r="A550" s="229">
        <v>543</v>
      </c>
      <c r="B550" s="81"/>
      <c r="C550" s="78"/>
      <c r="D550" s="86" t="s">
        <v>102</v>
      </c>
      <c r="E550" s="76">
        <v>553</v>
      </c>
      <c r="F550" s="82">
        <v>553</v>
      </c>
      <c r="G550" s="1383">
        <v>553</v>
      </c>
      <c r="H550" s="232"/>
      <c r="I550" s="580"/>
      <c r="J550" s="581"/>
      <c r="K550" s="581"/>
      <c r="L550" s="581"/>
      <c r="M550" s="581"/>
      <c r="N550" s="582"/>
      <c r="P550" s="8"/>
    </row>
    <row r="551" spans="1:16" s="474" customFormat="1" ht="18" customHeight="1" x14ac:dyDescent="0.3">
      <c r="A551" s="229">
        <v>544</v>
      </c>
      <c r="B551" s="468"/>
      <c r="C551" s="458"/>
      <c r="D551" s="469" t="s">
        <v>268</v>
      </c>
      <c r="E551" s="460"/>
      <c r="F551" s="470"/>
      <c r="G551" s="1385"/>
      <c r="H551" s="471"/>
      <c r="I551" s="455">
        <f>SUM(J551:N551)</f>
        <v>553</v>
      </c>
      <c r="J551" s="472"/>
      <c r="K551" s="472"/>
      <c r="L551" s="472"/>
      <c r="M551" s="472"/>
      <c r="N551" s="473">
        <v>553</v>
      </c>
      <c r="P551" s="462"/>
    </row>
    <row r="552" spans="1:16" s="474" customFormat="1" ht="18" customHeight="1" x14ac:dyDescent="0.3">
      <c r="A552" s="229">
        <v>545</v>
      </c>
      <c r="B552" s="468"/>
      <c r="C552" s="458"/>
      <c r="D552" s="981" t="s">
        <v>796</v>
      </c>
      <c r="E552" s="460"/>
      <c r="F552" s="470"/>
      <c r="G552" s="1385"/>
      <c r="H552" s="471"/>
      <c r="I552" s="980">
        <f>SUM(J552:N552)</f>
        <v>553</v>
      </c>
      <c r="J552" s="472"/>
      <c r="K552" s="472"/>
      <c r="L552" s="472"/>
      <c r="M552" s="472"/>
      <c r="N552" s="987">
        <v>553</v>
      </c>
      <c r="P552" s="462"/>
    </row>
    <row r="553" spans="1:16" s="474" customFormat="1" ht="18" customHeight="1" x14ac:dyDescent="0.3">
      <c r="A553" s="229">
        <v>546</v>
      </c>
      <c r="B553" s="468"/>
      <c r="C553" s="458"/>
      <c r="D553" s="981" t="s">
        <v>860</v>
      </c>
      <c r="E553" s="460"/>
      <c r="F553" s="470"/>
      <c r="G553" s="1385"/>
      <c r="H553" s="471"/>
      <c r="I553" s="980">
        <f>SUM(J553:N553)</f>
        <v>138</v>
      </c>
      <c r="J553" s="472"/>
      <c r="K553" s="472"/>
      <c r="L553" s="472"/>
      <c r="M553" s="472"/>
      <c r="N553" s="986">
        <v>138</v>
      </c>
      <c r="P553" s="462"/>
    </row>
    <row r="554" spans="1:16" s="9" customFormat="1" ht="18" customHeight="1" x14ac:dyDescent="0.3">
      <c r="A554" s="229">
        <v>547</v>
      </c>
      <c r="B554" s="81"/>
      <c r="C554" s="78"/>
      <c r="D554" s="86" t="s">
        <v>103</v>
      </c>
      <c r="E554" s="76">
        <v>553</v>
      </c>
      <c r="F554" s="82">
        <v>553</v>
      </c>
      <c r="G554" s="1383">
        <v>553</v>
      </c>
      <c r="H554" s="232"/>
      <c r="I554" s="580"/>
      <c r="J554" s="581"/>
      <c r="K554" s="581"/>
      <c r="L554" s="581"/>
      <c r="M554" s="581"/>
      <c r="N554" s="582"/>
      <c r="P554" s="8"/>
    </row>
    <row r="555" spans="1:16" s="474" customFormat="1" ht="18" customHeight="1" x14ac:dyDescent="0.3">
      <c r="A555" s="229">
        <v>548</v>
      </c>
      <c r="B555" s="468"/>
      <c r="C555" s="458"/>
      <c r="D555" s="469" t="s">
        <v>268</v>
      </c>
      <c r="E555" s="460"/>
      <c r="F555" s="470"/>
      <c r="G555" s="1385"/>
      <c r="H555" s="471"/>
      <c r="I555" s="455">
        <f>SUM(J555:N555)</f>
        <v>553</v>
      </c>
      <c r="J555" s="472"/>
      <c r="K555" s="472"/>
      <c r="L555" s="472"/>
      <c r="M555" s="472"/>
      <c r="N555" s="473">
        <v>553</v>
      </c>
      <c r="P555" s="462"/>
    </row>
    <row r="556" spans="1:16" s="474" customFormat="1" ht="18" customHeight="1" x14ac:dyDescent="0.3">
      <c r="A556" s="229">
        <v>549</v>
      </c>
      <c r="B556" s="481"/>
      <c r="C556" s="458"/>
      <c r="D556" s="981" t="s">
        <v>796</v>
      </c>
      <c r="E556" s="463"/>
      <c r="F556" s="482"/>
      <c r="G556" s="1390"/>
      <c r="H556" s="485"/>
      <c r="I556" s="980">
        <f>SUM(J556:N556)</f>
        <v>553</v>
      </c>
      <c r="J556" s="483"/>
      <c r="K556" s="483"/>
      <c r="L556" s="483"/>
      <c r="M556" s="483"/>
      <c r="N556" s="999">
        <v>553</v>
      </c>
      <c r="P556" s="462"/>
    </row>
    <row r="557" spans="1:16" s="474" customFormat="1" ht="18" customHeight="1" x14ac:dyDescent="0.3">
      <c r="A557" s="229">
        <v>550</v>
      </c>
      <c r="B557" s="481"/>
      <c r="C557" s="458"/>
      <c r="D557" s="981" t="s">
        <v>860</v>
      </c>
      <c r="E557" s="463"/>
      <c r="F557" s="482"/>
      <c r="G557" s="1390"/>
      <c r="H557" s="485"/>
      <c r="I557" s="980">
        <f>SUM(J557:N557)</f>
        <v>138</v>
      </c>
      <c r="J557" s="483"/>
      <c r="K557" s="483"/>
      <c r="L557" s="483"/>
      <c r="M557" s="483"/>
      <c r="N557" s="979">
        <v>138</v>
      </c>
      <c r="P557" s="462"/>
    </row>
    <row r="558" spans="1:16" s="245" customFormat="1" ht="22.5" customHeight="1" x14ac:dyDescent="0.35">
      <c r="A558" s="229">
        <v>551</v>
      </c>
      <c r="B558" s="244"/>
      <c r="C558" s="74">
        <v>119</v>
      </c>
      <c r="D558" s="225" t="s">
        <v>353</v>
      </c>
      <c r="E558" s="94">
        <v>381</v>
      </c>
      <c r="F558" s="80">
        <v>1600</v>
      </c>
      <c r="G558" s="1387">
        <v>762</v>
      </c>
      <c r="H558" s="233" t="s">
        <v>24</v>
      </c>
      <c r="I558" s="452"/>
      <c r="J558" s="583"/>
      <c r="K558" s="583"/>
      <c r="L558" s="573"/>
      <c r="M558" s="583"/>
      <c r="N558" s="584"/>
      <c r="P558" s="3"/>
    </row>
    <row r="559" spans="1:16" s="474" customFormat="1" ht="18" customHeight="1" x14ac:dyDescent="0.3">
      <c r="A559" s="229">
        <v>552</v>
      </c>
      <c r="B559" s="481"/>
      <c r="C559" s="458"/>
      <c r="D559" s="459" t="s">
        <v>268</v>
      </c>
      <c r="E559" s="463"/>
      <c r="F559" s="482"/>
      <c r="G559" s="1390"/>
      <c r="H559" s="485"/>
      <c r="I559" s="452">
        <f>SUM(J559:N559)</f>
        <v>500</v>
      </c>
      <c r="J559" s="483"/>
      <c r="K559" s="483"/>
      <c r="L559" s="465">
        <v>500</v>
      </c>
      <c r="M559" s="483"/>
      <c r="N559" s="484"/>
      <c r="P559" s="462"/>
    </row>
    <row r="560" spans="1:16" s="474" customFormat="1" ht="18" customHeight="1" x14ac:dyDescent="0.3">
      <c r="A560" s="229">
        <v>553</v>
      </c>
      <c r="B560" s="481"/>
      <c r="C560" s="458"/>
      <c r="D560" s="224" t="s">
        <v>796</v>
      </c>
      <c r="E560" s="463"/>
      <c r="F560" s="482"/>
      <c r="G560" s="1390"/>
      <c r="H560" s="485"/>
      <c r="I560" s="977">
        <f>SUM(J560:N560)</f>
        <v>2852</v>
      </c>
      <c r="J560" s="483"/>
      <c r="K560" s="483"/>
      <c r="L560" s="975">
        <v>2852</v>
      </c>
      <c r="M560" s="483"/>
      <c r="N560" s="484"/>
      <c r="P560" s="462"/>
    </row>
    <row r="561" spans="1:16" s="474" customFormat="1" ht="18" customHeight="1" x14ac:dyDescent="0.3">
      <c r="A561" s="229">
        <v>554</v>
      </c>
      <c r="B561" s="481"/>
      <c r="C561" s="458"/>
      <c r="D561" s="976" t="s">
        <v>861</v>
      </c>
      <c r="E561" s="463"/>
      <c r="F561" s="482"/>
      <c r="G561" s="1390"/>
      <c r="H561" s="485"/>
      <c r="I561" s="980">
        <f>SUM(J561:N561)</f>
        <v>381</v>
      </c>
      <c r="J561" s="483"/>
      <c r="K561" s="483"/>
      <c r="L561" s="978">
        <v>381</v>
      </c>
      <c r="M561" s="483"/>
      <c r="N561" s="484"/>
      <c r="P561" s="462"/>
    </row>
    <row r="562" spans="1:16" s="245" customFormat="1" ht="22.5" customHeight="1" x14ac:dyDescent="0.35">
      <c r="A562" s="229">
        <v>555</v>
      </c>
      <c r="B562" s="244"/>
      <c r="C562" s="74">
        <v>120</v>
      </c>
      <c r="D562" s="225" t="s">
        <v>456</v>
      </c>
      <c r="E562" s="94">
        <v>1704</v>
      </c>
      <c r="F562" s="80">
        <v>0</v>
      </c>
      <c r="G562" s="1387">
        <v>0</v>
      </c>
      <c r="H562" s="233" t="s">
        <v>24</v>
      </c>
      <c r="I562" s="452"/>
      <c r="J562" s="583"/>
      <c r="K562" s="583"/>
      <c r="L562" s="573"/>
      <c r="M562" s="583"/>
      <c r="N562" s="584"/>
      <c r="P562" s="3"/>
    </row>
    <row r="563" spans="1:16" s="245" customFormat="1" ht="22.5" customHeight="1" x14ac:dyDescent="0.35">
      <c r="A563" s="229">
        <v>556</v>
      </c>
      <c r="B563" s="244"/>
      <c r="C563" s="74">
        <v>121</v>
      </c>
      <c r="D563" s="225" t="s">
        <v>354</v>
      </c>
      <c r="E563" s="94">
        <v>1800</v>
      </c>
      <c r="F563" s="80">
        <v>2000</v>
      </c>
      <c r="G563" s="1387">
        <v>1200</v>
      </c>
      <c r="H563" s="233" t="s">
        <v>24</v>
      </c>
      <c r="I563" s="452"/>
      <c r="J563" s="583"/>
      <c r="K563" s="583"/>
      <c r="L563" s="573"/>
      <c r="M563" s="583"/>
      <c r="N563" s="584"/>
      <c r="P563" s="3"/>
    </row>
    <row r="564" spans="1:16" s="474" customFormat="1" ht="18" customHeight="1" x14ac:dyDescent="0.3">
      <c r="A564" s="229">
        <v>557</v>
      </c>
      <c r="B564" s="481"/>
      <c r="C564" s="458"/>
      <c r="D564" s="459" t="s">
        <v>268</v>
      </c>
      <c r="E564" s="463"/>
      <c r="F564" s="482"/>
      <c r="G564" s="1390"/>
      <c r="H564" s="485"/>
      <c r="I564" s="452">
        <f>SUM(J564:N564)</f>
        <v>1000</v>
      </c>
      <c r="J564" s="483"/>
      <c r="K564" s="483"/>
      <c r="L564" s="465">
        <v>1000</v>
      </c>
      <c r="M564" s="483"/>
      <c r="N564" s="484"/>
      <c r="P564" s="462"/>
    </row>
    <row r="565" spans="1:16" s="474" customFormat="1" ht="18" customHeight="1" x14ac:dyDescent="0.3">
      <c r="A565" s="229">
        <v>558</v>
      </c>
      <c r="B565" s="481"/>
      <c r="C565" s="458"/>
      <c r="D565" s="224" t="s">
        <v>796</v>
      </c>
      <c r="E565" s="463"/>
      <c r="F565" s="482"/>
      <c r="G565" s="1390"/>
      <c r="H565" s="485"/>
      <c r="I565" s="977">
        <f>SUM(J565:N565)</f>
        <v>2800</v>
      </c>
      <c r="J565" s="483"/>
      <c r="K565" s="483"/>
      <c r="L565" s="975">
        <v>2800</v>
      </c>
      <c r="M565" s="483"/>
      <c r="N565" s="484"/>
      <c r="P565" s="462"/>
    </row>
    <row r="566" spans="1:16" s="474" customFormat="1" ht="18" customHeight="1" x14ac:dyDescent="0.3">
      <c r="A566" s="229">
        <v>559</v>
      </c>
      <c r="B566" s="481"/>
      <c r="C566" s="458"/>
      <c r="D566" s="976" t="s">
        <v>861</v>
      </c>
      <c r="E566" s="463"/>
      <c r="F566" s="482"/>
      <c r="G566" s="1390"/>
      <c r="H566" s="485"/>
      <c r="I566" s="980">
        <f>SUM(J566:N566)</f>
        <v>0</v>
      </c>
      <c r="J566" s="483"/>
      <c r="K566" s="483"/>
      <c r="L566" s="978"/>
      <c r="M566" s="483"/>
      <c r="N566" s="484"/>
      <c r="P566" s="462"/>
    </row>
    <row r="567" spans="1:16" s="8" customFormat="1" ht="22.5" customHeight="1" x14ac:dyDescent="0.3">
      <c r="A567" s="229">
        <v>560</v>
      </c>
      <c r="B567" s="88"/>
      <c r="C567" s="74">
        <v>122</v>
      </c>
      <c r="D567" s="224" t="s">
        <v>281</v>
      </c>
      <c r="E567" s="94">
        <v>10738</v>
      </c>
      <c r="F567" s="94">
        <v>12000</v>
      </c>
      <c r="G567" s="1379">
        <v>4652</v>
      </c>
      <c r="H567" s="233" t="s">
        <v>24</v>
      </c>
      <c r="I567" s="452"/>
      <c r="J567" s="573"/>
      <c r="K567" s="573"/>
      <c r="L567" s="573"/>
      <c r="M567" s="573"/>
      <c r="N567" s="574"/>
    </row>
    <row r="568" spans="1:16" s="462" customFormat="1" ht="18" customHeight="1" x14ac:dyDescent="0.3">
      <c r="A568" s="229">
        <v>561</v>
      </c>
      <c r="B568" s="486"/>
      <c r="C568" s="487"/>
      <c r="D568" s="459" t="s">
        <v>268</v>
      </c>
      <c r="E568" s="94"/>
      <c r="F568" s="94"/>
      <c r="G568" s="1379"/>
      <c r="H568" s="464"/>
      <c r="I568" s="452">
        <f>SUM(J568:N568)</f>
        <v>2700</v>
      </c>
      <c r="J568" s="465"/>
      <c r="K568" s="465"/>
      <c r="L568" s="465"/>
      <c r="M568" s="465"/>
      <c r="N568" s="466">
        <v>2700</v>
      </c>
    </row>
    <row r="569" spans="1:16" s="462" customFormat="1" ht="18" customHeight="1" x14ac:dyDescent="0.3">
      <c r="A569" s="229">
        <v>562</v>
      </c>
      <c r="B569" s="486"/>
      <c r="C569" s="487"/>
      <c r="D569" s="224" t="s">
        <v>796</v>
      </c>
      <c r="E569" s="94"/>
      <c r="F569" s="94"/>
      <c r="G569" s="1379"/>
      <c r="H569" s="464"/>
      <c r="I569" s="977">
        <f>SUM(J569:N569)</f>
        <v>6579</v>
      </c>
      <c r="J569" s="465"/>
      <c r="K569" s="465"/>
      <c r="L569" s="975">
        <v>3879</v>
      </c>
      <c r="M569" s="465"/>
      <c r="N569" s="995">
        <v>2700</v>
      </c>
    </row>
    <row r="570" spans="1:16" s="462" customFormat="1" ht="18" customHeight="1" x14ac:dyDescent="0.3">
      <c r="A570" s="229">
        <v>563</v>
      </c>
      <c r="B570" s="486"/>
      <c r="C570" s="487"/>
      <c r="D570" s="976" t="s">
        <v>861</v>
      </c>
      <c r="E570" s="94"/>
      <c r="F570" s="94"/>
      <c r="G570" s="1379"/>
      <c r="H570" s="464"/>
      <c r="I570" s="980">
        <f>SUM(J570:N570)</f>
        <v>1986</v>
      </c>
      <c r="J570" s="465"/>
      <c r="K570" s="465"/>
      <c r="L570" s="978"/>
      <c r="M570" s="465"/>
      <c r="N570" s="979">
        <v>1986</v>
      </c>
    </row>
    <row r="571" spans="1:16" s="3" customFormat="1" ht="22.5" customHeight="1" x14ac:dyDescent="0.3">
      <c r="A571" s="229">
        <v>564</v>
      </c>
      <c r="B571" s="87"/>
      <c r="C571" s="74">
        <v>123</v>
      </c>
      <c r="D571" s="224" t="s">
        <v>411</v>
      </c>
      <c r="E571" s="94">
        <v>95</v>
      </c>
      <c r="F571" s="94">
        <v>2000</v>
      </c>
      <c r="G571" s="1379">
        <v>123</v>
      </c>
      <c r="H571" s="233" t="s">
        <v>24</v>
      </c>
      <c r="I571" s="452"/>
      <c r="J571" s="573"/>
      <c r="K571" s="573"/>
      <c r="L571" s="573"/>
      <c r="M571" s="573"/>
      <c r="N571" s="574"/>
      <c r="O571" s="8"/>
      <c r="P571" s="8"/>
    </row>
    <row r="572" spans="1:16" s="467" customFormat="1" ht="18" customHeight="1" x14ac:dyDescent="0.35">
      <c r="A572" s="229">
        <v>565</v>
      </c>
      <c r="B572" s="477"/>
      <c r="C572" s="487"/>
      <c r="D572" s="459" t="s">
        <v>268</v>
      </c>
      <c r="E572" s="94"/>
      <c r="F572" s="94"/>
      <c r="G572" s="1379"/>
      <c r="H572" s="464"/>
      <c r="I572" s="452">
        <f>SUM(J572:N572)</f>
        <v>2000</v>
      </c>
      <c r="J572" s="465"/>
      <c r="K572" s="465"/>
      <c r="L572" s="465">
        <v>2000</v>
      </c>
      <c r="M572" s="465"/>
      <c r="N572" s="466"/>
      <c r="O572" s="462"/>
      <c r="P572" s="462"/>
    </row>
    <row r="573" spans="1:16" s="467" customFormat="1" ht="18" customHeight="1" x14ac:dyDescent="0.35">
      <c r="A573" s="229">
        <v>566</v>
      </c>
      <c r="B573" s="477"/>
      <c r="C573" s="487"/>
      <c r="D573" s="224" t="s">
        <v>796</v>
      </c>
      <c r="E573" s="94"/>
      <c r="F573" s="94"/>
      <c r="G573" s="1379"/>
      <c r="H573" s="464"/>
      <c r="I573" s="977">
        <f>SUM(J573:N573)</f>
        <v>8647</v>
      </c>
      <c r="J573" s="465"/>
      <c r="K573" s="465"/>
      <c r="L573" s="975">
        <v>8647</v>
      </c>
      <c r="M573" s="465"/>
      <c r="N573" s="466"/>
      <c r="O573" s="462"/>
      <c r="P573" s="462"/>
    </row>
    <row r="574" spans="1:16" s="467" customFormat="1" ht="18" customHeight="1" x14ac:dyDescent="0.35">
      <c r="A574" s="229">
        <v>567</v>
      </c>
      <c r="B574" s="477"/>
      <c r="C574" s="487"/>
      <c r="D574" s="976" t="s">
        <v>860</v>
      </c>
      <c r="E574" s="94"/>
      <c r="F574" s="94"/>
      <c r="G574" s="1379"/>
      <c r="H574" s="464"/>
      <c r="I574" s="980">
        <f>SUM(J574:N574)</f>
        <v>1072</v>
      </c>
      <c r="J574" s="465"/>
      <c r="K574" s="465"/>
      <c r="L574" s="978">
        <v>1072</v>
      </c>
      <c r="M574" s="465"/>
      <c r="N574" s="466"/>
      <c r="O574" s="462"/>
      <c r="P574" s="462"/>
    </row>
    <row r="575" spans="1:16" s="467" customFormat="1" ht="22.5" customHeight="1" x14ac:dyDescent="0.35">
      <c r="A575" s="229">
        <v>568</v>
      </c>
      <c r="B575" s="477"/>
      <c r="C575" s="74">
        <v>124</v>
      </c>
      <c r="D575" s="224" t="s">
        <v>491</v>
      </c>
      <c r="E575" s="94">
        <v>0</v>
      </c>
      <c r="F575" s="94">
        <v>0</v>
      </c>
      <c r="G575" s="1379">
        <v>0</v>
      </c>
      <c r="H575" s="233" t="s">
        <v>24</v>
      </c>
      <c r="I575" s="452"/>
      <c r="J575" s="465"/>
      <c r="K575" s="465"/>
      <c r="L575" s="465"/>
      <c r="M575" s="465"/>
      <c r="N575" s="466"/>
      <c r="O575" s="462"/>
      <c r="P575" s="462"/>
    </row>
    <row r="576" spans="1:16" s="467" customFormat="1" ht="18" customHeight="1" x14ac:dyDescent="0.35">
      <c r="A576" s="229">
        <v>569</v>
      </c>
      <c r="B576" s="477"/>
      <c r="C576" s="487"/>
      <c r="D576" s="459" t="s">
        <v>268</v>
      </c>
      <c r="E576" s="463"/>
      <c r="F576" s="463"/>
      <c r="G576" s="1388"/>
      <c r="H576" s="464"/>
      <c r="I576" s="452">
        <f>SUM(J576:N576)</f>
        <v>1200</v>
      </c>
      <c r="J576" s="465"/>
      <c r="K576" s="465"/>
      <c r="L576" s="465">
        <v>1200</v>
      </c>
      <c r="M576" s="465"/>
      <c r="N576" s="466"/>
      <c r="O576" s="462"/>
      <c r="P576" s="462"/>
    </row>
    <row r="577" spans="1:16" s="467" customFormat="1" ht="18" customHeight="1" x14ac:dyDescent="0.35">
      <c r="A577" s="229">
        <v>570</v>
      </c>
      <c r="B577" s="477"/>
      <c r="C577" s="487"/>
      <c r="D577" s="224" t="s">
        <v>796</v>
      </c>
      <c r="E577" s="463"/>
      <c r="F577" s="463"/>
      <c r="G577" s="1388"/>
      <c r="H577" s="464"/>
      <c r="I577" s="977">
        <f>SUM(J577:N577)</f>
        <v>1200</v>
      </c>
      <c r="J577" s="465"/>
      <c r="K577" s="465"/>
      <c r="L577" s="975">
        <v>1200</v>
      </c>
      <c r="M577" s="465"/>
      <c r="N577" s="466"/>
      <c r="O577" s="462"/>
      <c r="P577" s="462"/>
    </row>
    <row r="578" spans="1:16" s="467" customFormat="1" ht="18" customHeight="1" x14ac:dyDescent="0.35">
      <c r="A578" s="229">
        <v>571</v>
      </c>
      <c r="B578" s="477"/>
      <c r="C578" s="487"/>
      <c r="D578" s="976" t="s">
        <v>860</v>
      </c>
      <c r="E578" s="463"/>
      <c r="F578" s="463"/>
      <c r="G578" s="1388"/>
      <c r="H578" s="464"/>
      <c r="I578" s="980">
        <f>SUM(J578:N578)</f>
        <v>0</v>
      </c>
      <c r="J578" s="465"/>
      <c r="K578" s="465"/>
      <c r="L578" s="975"/>
      <c r="M578" s="465"/>
      <c r="N578" s="466"/>
      <c r="O578" s="462"/>
      <c r="P578" s="462"/>
    </row>
    <row r="579" spans="1:16" s="467" customFormat="1" ht="22.5" customHeight="1" x14ac:dyDescent="0.35">
      <c r="A579" s="229">
        <v>572</v>
      </c>
      <c r="B579" s="477"/>
      <c r="C579" s="74">
        <v>125</v>
      </c>
      <c r="D579" s="224" t="s">
        <v>625</v>
      </c>
      <c r="E579" s="94">
        <v>0</v>
      </c>
      <c r="F579" s="94">
        <v>0</v>
      </c>
      <c r="G579" s="1379">
        <v>0</v>
      </c>
      <c r="H579" s="233" t="s">
        <v>24</v>
      </c>
      <c r="I579" s="452"/>
      <c r="J579" s="465"/>
      <c r="K579" s="465"/>
      <c r="L579" s="465"/>
      <c r="M579" s="465"/>
      <c r="N579" s="466"/>
      <c r="O579" s="462"/>
      <c r="P579" s="462"/>
    </row>
    <row r="580" spans="1:16" s="467" customFormat="1" ht="18" customHeight="1" x14ac:dyDescent="0.35">
      <c r="A580" s="229">
        <v>573</v>
      </c>
      <c r="B580" s="477"/>
      <c r="C580" s="74"/>
      <c r="D580" s="459" t="s">
        <v>268</v>
      </c>
      <c r="E580" s="94">
        <v>0</v>
      </c>
      <c r="F580" s="94">
        <v>0</v>
      </c>
      <c r="G580" s="1379">
        <v>0</v>
      </c>
      <c r="H580" s="233"/>
      <c r="I580" s="452">
        <f>SUM(J580:N580)</f>
        <v>210820</v>
      </c>
      <c r="J580" s="465"/>
      <c r="K580" s="465"/>
      <c r="L580" s="465">
        <v>210820</v>
      </c>
      <c r="M580" s="465"/>
      <c r="N580" s="466"/>
      <c r="O580" s="462"/>
      <c r="P580" s="462"/>
    </row>
    <row r="581" spans="1:16" s="467" customFormat="1" ht="18" customHeight="1" x14ac:dyDescent="0.35">
      <c r="A581" s="229">
        <v>574</v>
      </c>
      <c r="B581" s="477"/>
      <c r="C581" s="74"/>
      <c r="D581" s="224" t="s">
        <v>796</v>
      </c>
      <c r="E581" s="94"/>
      <c r="F581" s="94"/>
      <c r="G581" s="1379"/>
      <c r="H581" s="233"/>
      <c r="I581" s="977">
        <f>SUM(J581:N581)</f>
        <v>210820</v>
      </c>
      <c r="J581" s="465"/>
      <c r="K581" s="465"/>
      <c r="L581" s="975">
        <v>210820</v>
      </c>
      <c r="M581" s="465"/>
      <c r="N581" s="466"/>
      <c r="O581" s="462"/>
      <c r="P581" s="462"/>
    </row>
    <row r="582" spans="1:16" s="467" customFormat="1" ht="18" customHeight="1" x14ac:dyDescent="0.35">
      <c r="A582" s="229">
        <v>575</v>
      </c>
      <c r="B582" s="477"/>
      <c r="C582" s="74"/>
      <c r="D582" s="976" t="s">
        <v>860</v>
      </c>
      <c r="E582" s="94"/>
      <c r="F582" s="94"/>
      <c r="G582" s="1379"/>
      <c r="H582" s="233"/>
      <c r="I582" s="980">
        <f>SUM(J582:N582)</f>
        <v>0</v>
      </c>
      <c r="J582" s="465"/>
      <c r="K582" s="465"/>
      <c r="L582" s="975"/>
      <c r="M582" s="465"/>
      <c r="N582" s="466"/>
      <c r="O582" s="462"/>
      <c r="P582" s="462"/>
    </row>
    <row r="583" spans="1:16" s="462" customFormat="1" ht="22.5" customHeight="1" x14ac:dyDescent="0.3">
      <c r="A583" s="229">
        <v>576</v>
      </c>
      <c r="B583" s="457"/>
      <c r="C583" s="74">
        <v>126</v>
      </c>
      <c r="D583" s="224" t="s">
        <v>623</v>
      </c>
      <c r="E583" s="460"/>
      <c r="F583" s="460"/>
      <c r="G583" s="1382"/>
      <c r="H583" s="231" t="s">
        <v>24</v>
      </c>
      <c r="I583" s="452"/>
      <c r="J583" s="453"/>
      <c r="K583" s="453"/>
      <c r="L583" s="453"/>
      <c r="M583" s="453"/>
      <c r="N583" s="454"/>
    </row>
    <row r="584" spans="1:16" s="462" customFormat="1" ht="18" customHeight="1" x14ac:dyDescent="0.3">
      <c r="A584" s="229">
        <v>577</v>
      </c>
      <c r="B584" s="457"/>
      <c r="C584" s="458"/>
      <c r="D584" s="459" t="s">
        <v>268</v>
      </c>
      <c r="E584" s="76">
        <v>0</v>
      </c>
      <c r="F584" s="76">
        <v>0</v>
      </c>
      <c r="G584" s="1380">
        <v>0</v>
      </c>
      <c r="H584" s="231"/>
      <c r="I584" s="452">
        <f>SUM(J584:N584)</f>
        <v>6300</v>
      </c>
      <c r="J584" s="453"/>
      <c r="K584" s="453"/>
      <c r="L584" s="453">
        <v>6300</v>
      </c>
      <c r="M584" s="453"/>
      <c r="N584" s="454"/>
    </row>
    <row r="585" spans="1:16" s="462" customFormat="1" ht="18" customHeight="1" x14ac:dyDescent="0.3">
      <c r="A585" s="229">
        <v>578</v>
      </c>
      <c r="B585" s="457"/>
      <c r="C585" s="458"/>
      <c r="D585" s="224" t="s">
        <v>796</v>
      </c>
      <c r="E585" s="76"/>
      <c r="F585" s="76"/>
      <c r="G585" s="1380"/>
      <c r="H585" s="231"/>
      <c r="I585" s="977">
        <f>SUM(J585:N585)</f>
        <v>6300</v>
      </c>
      <c r="J585" s="453"/>
      <c r="K585" s="453"/>
      <c r="L585" s="982">
        <v>6300</v>
      </c>
      <c r="M585" s="453"/>
      <c r="N585" s="454"/>
    </row>
    <row r="586" spans="1:16" s="462" customFormat="1" ht="18" customHeight="1" x14ac:dyDescent="0.3">
      <c r="A586" s="229">
        <v>579</v>
      </c>
      <c r="B586" s="457"/>
      <c r="C586" s="458"/>
      <c r="D586" s="976" t="s">
        <v>860</v>
      </c>
      <c r="E586" s="76"/>
      <c r="F586" s="76"/>
      <c r="G586" s="1380"/>
      <c r="H586" s="231"/>
      <c r="I586" s="980">
        <f>SUM(J586:N586)</f>
        <v>6300</v>
      </c>
      <c r="J586" s="453"/>
      <c r="K586" s="453"/>
      <c r="L586" s="985">
        <v>6300</v>
      </c>
      <c r="M586" s="453"/>
      <c r="N586" s="454"/>
    </row>
    <row r="587" spans="1:16" s="462" customFormat="1" ht="30" x14ac:dyDescent="0.3">
      <c r="A587" s="229">
        <v>580</v>
      </c>
      <c r="B587" s="457"/>
      <c r="C587" s="219">
        <v>127</v>
      </c>
      <c r="D587" s="224" t="s">
        <v>704</v>
      </c>
      <c r="E587" s="76">
        <v>0</v>
      </c>
      <c r="F587" s="76">
        <v>0</v>
      </c>
      <c r="G587" s="1380">
        <v>0</v>
      </c>
      <c r="H587" s="231" t="s">
        <v>24</v>
      </c>
      <c r="I587" s="452"/>
      <c r="J587" s="453"/>
      <c r="K587" s="453"/>
      <c r="L587" s="453"/>
      <c r="M587" s="453"/>
      <c r="N587" s="454"/>
    </row>
    <row r="588" spans="1:16" s="462" customFormat="1" ht="18" customHeight="1" x14ac:dyDescent="0.3">
      <c r="A588" s="229">
        <v>581</v>
      </c>
      <c r="B588" s="457"/>
      <c r="C588" s="458"/>
      <c r="D588" s="459" t="s">
        <v>268</v>
      </c>
      <c r="E588" s="76"/>
      <c r="F588" s="76"/>
      <c r="G588" s="1380"/>
      <c r="H588" s="231"/>
      <c r="I588" s="452">
        <f>SUM(J588:N588)</f>
        <v>1000</v>
      </c>
      <c r="J588" s="453"/>
      <c r="K588" s="453"/>
      <c r="L588" s="453">
        <v>1000</v>
      </c>
      <c r="M588" s="453"/>
      <c r="N588" s="454"/>
    </row>
    <row r="589" spans="1:16" s="462" customFormat="1" ht="18" customHeight="1" x14ac:dyDescent="0.3">
      <c r="A589" s="229">
        <v>582</v>
      </c>
      <c r="B589" s="457"/>
      <c r="C589" s="458"/>
      <c r="D589" s="224" t="s">
        <v>796</v>
      </c>
      <c r="E589" s="76"/>
      <c r="F589" s="76"/>
      <c r="G589" s="1380"/>
      <c r="H589" s="231"/>
      <c r="I589" s="977">
        <f>SUM(J589:N589)</f>
        <v>1000</v>
      </c>
      <c r="J589" s="453"/>
      <c r="K589" s="453"/>
      <c r="L589" s="982">
        <v>1000</v>
      </c>
      <c r="M589" s="453"/>
      <c r="N589" s="454"/>
    </row>
    <row r="590" spans="1:16" s="462" customFormat="1" ht="18" customHeight="1" x14ac:dyDescent="0.3">
      <c r="A590" s="229">
        <v>583</v>
      </c>
      <c r="B590" s="457"/>
      <c r="C590" s="458"/>
      <c r="D590" s="976" t="s">
        <v>860</v>
      </c>
      <c r="E590" s="76"/>
      <c r="F590" s="76"/>
      <c r="G590" s="1380"/>
      <c r="H590" s="231"/>
      <c r="I590" s="980">
        <f>SUM(J590:N590)</f>
        <v>254</v>
      </c>
      <c r="J590" s="453"/>
      <c r="K590" s="453"/>
      <c r="L590" s="985">
        <v>254</v>
      </c>
      <c r="M590" s="453"/>
      <c r="N590" s="454"/>
    </row>
    <row r="591" spans="1:16" s="3" customFormat="1" ht="22.5" customHeight="1" x14ac:dyDescent="0.3">
      <c r="A591" s="229">
        <v>584</v>
      </c>
      <c r="B591" s="77"/>
      <c r="C591" s="74">
        <v>128</v>
      </c>
      <c r="D591" s="224" t="s">
        <v>240</v>
      </c>
      <c r="E591" s="76">
        <v>0</v>
      </c>
      <c r="F591" s="76">
        <v>1210</v>
      </c>
      <c r="G591" s="1380">
        <v>0</v>
      </c>
      <c r="H591" s="231" t="s">
        <v>24</v>
      </c>
      <c r="I591" s="575"/>
      <c r="J591" s="576"/>
      <c r="K591" s="576"/>
      <c r="L591" s="576"/>
      <c r="M591" s="576"/>
      <c r="N591" s="577"/>
      <c r="O591" s="8"/>
      <c r="P591" s="8"/>
    </row>
    <row r="592" spans="1:16" s="3" customFormat="1" ht="17.100000000000001" customHeight="1" x14ac:dyDescent="0.3">
      <c r="A592" s="229">
        <v>585</v>
      </c>
      <c r="B592" s="77"/>
      <c r="C592" s="74"/>
      <c r="D592" s="224" t="s">
        <v>796</v>
      </c>
      <c r="E592" s="76"/>
      <c r="F592" s="76"/>
      <c r="G592" s="1380"/>
      <c r="H592" s="231"/>
      <c r="I592" s="977">
        <f>SUM(J592:N592)</f>
        <v>1210</v>
      </c>
      <c r="J592" s="576"/>
      <c r="K592" s="576"/>
      <c r="L592" s="991">
        <v>1210</v>
      </c>
      <c r="M592" s="576"/>
      <c r="N592" s="577"/>
      <c r="O592" s="8"/>
      <c r="P592" s="8"/>
    </row>
    <row r="593" spans="1:16" s="3" customFormat="1" ht="17.100000000000001" customHeight="1" x14ac:dyDescent="0.3">
      <c r="A593" s="229">
        <v>586</v>
      </c>
      <c r="B593" s="77"/>
      <c r="C593" s="74"/>
      <c r="D593" s="976" t="s">
        <v>861</v>
      </c>
      <c r="E593" s="76"/>
      <c r="F593" s="76"/>
      <c r="G593" s="1380"/>
      <c r="H593" s="231"/>
      <c r="I593" s="980">
        <f>SUM(J593:N593)</f>
        <v>0</v>
      </c>
      <c r="J593" s="576"/>
      <c r="K593" s="576"/>
      <c r="L593" s="997"/>
      <c r="M593" s="576"/>
      <c r="N593" s="577"/>
      <c r="O593" s="8"/>
      <c r="P593" s="8"/>
    </row>
    <row r="594" spans="1:16" s="3" customFormat="1" ht="22.5" customHeight="1" x14ac:dyDescent="0.3">
      <c r="A594" s="229">
        <v>587</v>
      </c>
      <c r="B594" s="77"/>
      <c r="C594" s="74">
        <v>129</v>
      </c>
      <c r="D594" s="224" t="s">
        <v>241</v>
      </c>
      <c r="E594" s="76">
        <v>0</v>
      </c>
      <c r="F594" s="76">
        <v>1254</v>
      </c>
      <c r="G594" s="1380">
        <v>0</v>
      </c>
      <c r="H594" s="231" t="s">
        <v>24</v>
      </c>
      <c r="I594" s="575"/>
      <c r="J594" s="576"/>
      <c r="K594" s="576"/>
      <c r="L594" s="576"/>
      <c r="M594" s="576"/>
      <c r="N594" s="577"/>
      <c r="O594" s="8"/>
      <c r="P594" s="8"/>
    </row>
    <row r="595" spans="1:16" s="3" customFormat="1" ht="17.100000000000001" customHeight="1" x14ac:dyDescent="0.3">
      <c r="A595" s="229">
        <v>588</v>
      </c>
      <c r="B595" s="77"/>
      <c r="C595" s="74"/>
      <c r="D595" s="224" t="s">
        <v>796</v>
      </c>
      <c r="E595" s="76"/>
      <c r="F595" s="76"/>
      <c r="G595" s="1379"/>
      <c r="H595" s="231"/>
      <c r="I595" s="977">
        <f>SUM(J595:N595)</f>
        <v>0</v>
      </c>
      <c r="J595" s="576"/>
      <c r="K595" s="576"/>
      <c r="L595" s="991">
        <v>0</v>
      </c>
      <c r="M595" s="576"/>
      <c r="N595" s="577"/>
      <c r="O595" s="8"/>
      <c r="P595" s="8"/>
    </row>
    <row r="596" spans="1:16" s="3" customFormat="1" ht="17.100000000000001" customHeight="1" x14ac:dyDescent="0.3">
      <c r="A596" s="229">
        <v>589</v>
      </c>
      <c r="B596" s="77"/>
      <c r="C596" s="74"/>
      <c r="D596" s="976" t="s">
        <v>861</v>
      </c>
      <c r="E596" s="76"/>
      <c r="F596" s="76"/>
      <c r="G596" s="1379"/>
      <c r="H596" s="231"/>
      <c r="I596" s="980">
        <f>SUM(J596:N596)</f>
        <v>0</v>
      </c>
      <c r="J596" s="576"/>
      <c r="K596" s="576"/>
      <c r="L596" s="997"/>
      <c r="M596" s="576"/>
      <c r="N596" s="577"/>
      <c r="O596" s="8"/>
      <c r="P596" s="8"/>
    </row>
    <row r="597" spans="1:16" ht="22.5" customHeight="1" x14ac:dyDescent="0.35">
      <c r="A597" s="229">
        <v>590</v>
      </c>
      <c r="B597" s="566"/>
      <c r="C597" s="74">
        <v>130</v>
      </c>
      <c r="D597" s="225" t="s">
        <v>495</v>
      </c>
      <c r="E597" s="76">
        <v>26352</v>
      </c>
      <c r="F597" s="76">
        <v>2818</v>
      </c>
      <c r="G597" s="94">
        <v>1437</v>
      </c>
      <c r="H597" s="567" t="s">
        <v>24</v>
      </c>
      <c r="I597" s="585"/>
      <c r="J597" s="586"/>
      <c r="K597" s="586"/>
      <c r="L597" s="586"/>
      <c r="M597" s="586"/>
      <c r="N597" s="587"/>
    </row>
    <row r="598" spans="1:16" ht="17.100000000000001" customHeight="1" x14ac:dyDescent="0.3">
      <c r="A598" s="229">
        <v>591</v>
      </c>
      <c r="B598" s="566"/>
      <c r="C598" s="74"/>
      <c r="D598" s="224" t="s">
        <v>796</v>
      </c>
      <c r="E598" s="76"/>
      <c r="F598" s="76"/>
      <c r="G598" s="1379"/>
      <c r="H598" s="567"/>
      <c r="I598" s="977">
        <f>SUM(J598:N598)</f>
        <v>1380</v>
      </c>
      <c r="J598" s="586"/>
      <c r="K598" s="586"/>
      <c r="L598" s="84">
        <v>1380</v>
      </c>
      <c r="M598" s="586"/>
      <c r="N598" s="587"/>
    </row>
    <row r="599" spans="1:16" ht="17.100000000000001" customHeight="1" x14ac:dyDescent="0.35">
      <c r="A599" s="229">
        <v>592</v>
      </c>
      <c r="B599" s="566"/>
      <c r="C599" s="74"/>
      <c r="D599" s="976" t="s">
        <v>860</v>
      </c>
      <c r="E599" s="76"/>
      <c r="F599" s="76"/>
      <c r="G599" s="1379"/>
      <c r="H599" s="567"/>
      <c r="I599" s="980">
        <f>SUM(J599:N599)</f>
        <v>0</v>
      </c>
      <c r="J599" s="586"/>
      <c r="K599" s="586"/>
      <c r="L599" s="1330"/>
      <c r="M599" s="586"/>
      <c r="N599" s="587"/>
    </row>
    <row r="600" spans="1:16" ht="22.5" customHeight="1" x14ac:dyDescent="0.35">
      <c r="A600" s="229">
        <v>593</v>
      </c>
      <c r="B600" s="566"/>
      <c r="C600" s="74">
        <v>131</v>
      </c>
      <c r="D600" s="225" t="s">
        <v>798</v>
      </c>
      <c r="E600" s="76"/>
      <c r="F600" s="76"/>
      <c r="G600" s="1379"/>
      <c r="H600" s="567" t="s">
        <v>24</v>
      </c>
      <c r="I600" s="654"/>
      <c r="J600" s="586"/>
      <c r="K600" s="586"/>
      <c r="L600" s="586"/>
      <c r="M600" s="586"/>
      <c r="N600" s="587"/>
    </row>
    <row r="601" spans="1:16" ht="17.100000000000001" customHeight="1" x14ac:dyDescent="0.3">
      <c r="A601" s="229">
        <v>594</v>
      </c>
      <c r="B601" s="566"/>
      <c r="C601" s="74"/>
      <c r="D601" s="224" t="s">
        <v>796</v>
      </c>
      <c r="E601" s="76"/>
      <c r="F601" s="76"/>
      <c r="G601" s="1379"/>
      <c r="H601" s="567"/>
      <c r="I601" s="977">
        <f>SUM(J601:N601)</f>
        <v>29719</v>
      </c>
      <c r="J601" s="1324">
        <v>180</v>
      </c>
      <c r="K601" s="1324">
        <v>21</v>
      </c>
      <c r="L601" s="1324">
        <v>28018</v>
      </c>
      <c r="M601" s="1324"/>
      <c r="N601" s="1394">
        <v>1500</v>
      </c>
    </row>
    <row r="602" spans="1:16" ht="17.100000000000001" customHeight="1" x14ac:dyDescent="0.3">
      <c r="A602" s="229">
        <v>595</v>
      </c>
      <c r="B602" s="566"/>
      <c r="C602" s="74"/>
      <c r="D602" s="976" t="s">
        <v>861</v>
      </c>
      <c r="E602" s="76"/>
      <c r="F602" s="76"/>
      <c r="G602" s="1379"/>
      <c r="H602" s="567"/>
      <c r="I602" s="980">
        <f>SUM(J602:N602)</f>
        <v>2887</v>
      </c>
      <c r="J602" s="1325">
        <v>57</v>
      </c>
      <c r="K602" s="1325">
        <v>7</v>
      </c>
      <c r="L602" s="1325">
        <v>1323</v>
      </c>
      <c r="M602" s="586"/>
      <c r="N602" s="1393">
        <v>1500</v>
      </c>
    </row>
    <row r="603" spans="1:16" ht="30" x14ac:dyDescent="0.3">
      <c r="A603" s="229">
        <v>596</v>
      </c>
      <c r="B603" s="566"/>
      <c r="C603" s="219">
        <v>132</v>
      </c>
      <c r="D603" s="1431" t="s">
        <v>783</v>
      </c>
      <c r="E603" s="76"/>
      <c r="F603" s="76"/>
      <c r="G603" s="1379"/>
      <c r="H603" s="567" t="s">
        <v>24</v>
      </c>
      <c r="I603" s="977"/>
      <c r="J603" s="586"/>
      <c r="K603" s="586"/>
      <c r="L603" s="1324"/>
      <c r="M603" s="1324"/>
      <c r="N603" s="1394"/>
    </row>
    <row r="604" spans="1:16" ht="17.100000000000001" customHeight="1" x14ac:dyDescent="0.3">
      <c r="A604" s="229">
        <v>597</v>
      </c>
      <c r="B604" s="566"/>
      <c r="C604" s="219"/>
      <c r="D604" s="224" t="s">
        <v>796</v>
      </c>
      <c r="E604" s="76"/>
      <c r="F604" s="76"/>
      <c r="G604" s="1379"/>
      <c r="H604" s="567"/>
      <c r="I604" s="977">
        <f>SUM(J604:N604)</f>
        <v>1000</v>
      </c>
      <c r="J604" s="586"/>
      <c r="K604" s="586"/>
      <c r="L604" s="1324"/>
      <c r="M604" s="1324"/>
      <c r="N604" s="1394">
        <v>1000</v>
      </c>
    </row>
    <row r="605" spans="1:16" ht="17.100000000000001" customHeight="1" x14ac:dyDescent="0.3">
      <c r="A605" s="229">
        <v>598</v>
      </c>
      <c r="B605" s="566"/>
      <c r="C605" s="74"/>
      <c r="D605" s="976" t="s">
        <v>861</v>
      </c>
      <c r="E605" s="76"/>
      <c r="F605" s="76"/>
      <c r="G605" s="1379"/>
      <c r="H605" s="567"/>
      <c r="I605" s="980">
        <f>SUM(J605:N605)</f>
        <v>994</v>
      </c>
      <c r="J605" s="586"/>
      <c r="K605" s="586"/>
      <c r="L605" s="1324"/>
      <c r="M605" s="1324"/>
      <c r="N605" s="1393">
        <v>994</v>
      </c>
    </row>
    <row r="606" spans="1:16" ht="22.5" customHeight="1" x14ac:dyDescent="0.3">
      <c r="A606" s="229">
        <v>599</v>
      </c>
      <c r="B606" s="566"/>
      <c r="C606" s="74">
        <v>133</v>
      </c>
      <c r="D606" s="224" t="s">
        <v>792</v>
      </c>
      <c r="E606" s="76"/>
      <c r="F606" s="76"/>
      <c r="G606" s="1379"/>
      <c r="H606" s="567" t="s">
        <v>23</v>
      </c>
      <c r="I606" s="977"/>
      <c r="J606" s="586"/>
      <c r="K606" s="586"/>
      <c r="L606" s="1324"/>
      <c r="M606" s="1324"/>
      <c r="N606" s="1394"/>
    </row>
    <row r="607" spans="1:16" ht="17.100000000000001" customHeight="1" x14ac:dyDescent="0.3">
      <c r="A607" s="229">
        <v>600</v>
      </c>
      <c r="B607" s="566"/>
      <c r="C607" s="74"/>
      <c r="D607" s="224" t="s">
        <v>796</v>
      </c>
      <c r="E607" s="76"/>
      <c r="F607" s="76"/>
      <c r="G607" s="1379"/>
      <c r="H607" s="567"/>
      <c r="I607" s="977">
        <f>SUM(J607:N607)</f>
        <v>2000</v>
      </c>
      <c r="J607" s="586"/>
      <c r="K607" s="586"/>
      <c r="L607" s="1324">
        <v>2000</v>
      </c>
      <c r="M607" s="1324"/>
      <c r="N607" s="1394"/>
    </row>
    <row r="608" spans="1:16" ht="17.100000000000001" customHeight="1" x14ac:dyDescent="0.3">
      <c r="A608" s="229">
        <v>601</v>
      </c>
      <c r="B608" s="566"/>
      <c r="C608" s="74"/>
      <c r="D608" s="976" t="s">
        <v>861</v>
      </c>
      <c r="E608" s="76"/>
      <c r="F608" s="76"/>
      <c r="G608" s="1379"/>
      <c r="H608" s="567"/>
      <c r="I608" s="980">
        <f>SUM(J608:N608)</f>
        <v>0</v>
      </c>
      <c r="J608" s="586"/>
      <c r="K608" s="586"/>
      <c r="L608" s="1325"/>
      <c r="M608" s="1324"/>
      <c r="N608" s="1394"/>
    </row>
    <row r="609" spans="1:14" ht="22.5" customHeight="1" x14ac:dyDescent="0.35">
      <c r="A609" s="229">
        <v>602</v>
      </c>
      <c r="B609" s="566"/>
      <c r="C609" s="74">
        <v>134</v>
      </c>
      <c r="D609" s="225" t="s">
        <v>634</v>
      </c>
      <c r="E609" s="76">
        <v>0</v>
      </c>
      <c r="F609" s="76">
        <v>1500</v>
      </c>
      <c r="G609" s="1379">
        <v>1500</v>
      </c>
      <c r="H609" s="567" t="s">
        <v>24</v>
      </c>
      <c r="I609" s="654"/>
      <c r="J609" s="586"/>
      <c r="K609" s="586"/>
      <c r="L609" s="586"/>
      <c r="M609" s="586"/>
      <c r="N609" s="587"/>
    </row>
    <row r="610" spans="1:14" ht="18" customHeight="1" x14ac:dyDescent="0.3">
      <c r="A610" s="229">
        <v>603</v>
      </c>
      <c r="B610" s="566"/>
      <c r="C610" s="74"/>
      <c r="D610" s="224" t="s">
        <v>796</v>
      </c>
      <c r="E610" s="76"/>
      <c r="F610" s="76"/>
      <c r="G610" s="1379"/>
      <c r="H610" s="567"/>
      <c r="I610" s="977">
        <f>SUM(J610:N610)</f>
        <v>2500</v>
      </c>
      <c r="J610" s="586"/>
      <c r="K610" s="586"/>
      <c r="L610" s="586"/>
      <c r="M610" s="586"/>
      <c r="N610" s="1394">
        <v>2500</v>
      </c>
    </row>
    <row r="611" spans="1:14" ht="17.100000000000001" customHeight="1" x14ac:dyDescent="0.3">
      <c r="A611" s="229">
        <v>604</v>
      </c>
      <c r="B611" s="566"/>
      <c r="C611" s="74"/>
      <c r="D611" s="976" t="s">
        <v>861</v>
      </c>
      <c r="E611" s="76"/>
      <c r="F611" s="76"/>
      <c r="G611" s="1379"/>
      <c r="H611" s="567"/>
      <c r="I611" s="980">
        <f>SUM(J611:N611)</f>
        <v>0</v>
      </c>
      <c r="J611" s="586"/>
      <c r="K611" s="586"/>
      <c r="L611" s="586"/>
      <c r="M611" s="586"/>
      <c r="N611" s="1393"/>
    </row>
    <row r="612" spans="1:14" ht="22.5" customHeight="1" x14ac:dyDescent="0.3">
      <c r="A612" s="229">
        <v>605</v>
      </c>
      <c r="B612" s="566"/>
      <c r="C612" s="74">
        <v>135</v>
      </c>
      <c r="D612" s="225" t="s">
        <v>853</v>
      </c>
      <c r="E612" s="76"/>
      <c r="F612" s="76"/>
      <c r="G612" s="1379"/>
      <c r="H612" s="567" t="s">
        <v>24</v>
      </c>
      <c r="I612" s="977"/>
      <c r="J612" s="586"/>
      <c r="K612" s="586"/>
      <c r="L612" s="586"/>
      <c r="M612" s="586"/>
      <c r="N612" s="1394"/>
    </row>
    <row r="613" spans="1:14" ht="18" customHeight="1" x14ac:dyDescent="0.3">
      <c r="A613" s="229">
        <v>606</v>
      </c>
      <c r="B613" s="566"/>
      <c r="C613" s="74"/>
      <c r="D613" s="224" t="s">
        <v>796</v>
      </c>
      <c r="E613" s="76"/>
      <c r="F613" s="76"/>
      <c r="G613" s="1379"/>
      <c r="H613" s="567"/>
      <c r="I613" s="977">
        <f>SUM(J613:N613)</f>
        <v>9390</v>
      </c>
      <c r="J613" s="1426">
        <v>0</v>
      </c>
      <c r="K613" s="1426">
        <v>0</v>
      </c>
      <c r="L613" s="1324">
        <v>8330</v>
      </c>
      <c r="M613" s="1426">
        <v>0</v>
      </c>
      <c r="N613" s="1394">
        <v>1060</v>
      </c>
    </row>
    <row r="614" spans="1:14" ht="17.100000000000001" customHeight="1" x14ac:dyDescent="0.3">
      <c r="A614" s="229">
        <v>607</v>
      </c>
      <c r="B614" s="566"/>
      <c r="C614" s="74"/>
      <c r="D614" s="976" t="s">
        <v>861</v>
      </c>
      <c r="E614" s="76"/>
      <c r="F614" s="76"/>
      <c r="G614" s="1379"/>
      <c r="H614" s="567"/>
      <c r="I614" s="980">
        <f>SUM(J614:N614)</f>
        <v>0</v>
      </c>
      <c r="J614" s="1426"/>
      <c r="K614" s="1426"/>
      <c r="L614" s="1325"/>
      <c r="M614" s="586"/>
      <c r="N614" s="1393"/>
    </row>
    <row r="615" spans="1:14" ht="17.100000000000001" customHeight="1" x14ac:dyDescent="0.3">
      <c r="A615" s="229">
        <v>608</v>
      </c>
      <c r="B615" s="566"/>
      <c r="C615" s="74"/>
      <c r="D615" s="1427" t="s">
        <v>847</v>
      </c>
      <c r="E615" s="76"/>
      <c r="F615" s="76"/>
      <c r="G615" s="1379"/>
      <c r="H615" s="567"/>
      <c r="I615" s="977"/>
      <c r="J615" s="1426"/>
      <c r="K615" s="1426"/>
      <c r="L615" s="1426"/>
      <c r="M615" s="1426"/>
      <c r="N615" s="1428"/>
    </row>
    <row r="616" spans="1:14" ht="17.100000000000001" customHeight="1" x14ac:dyDescent="0.3">
      <c r="A616" s="229">
        <v>609</v>
      </c>
      <c r="B616" s="566"/>
      <c r="C616" s="74"/>
      <c r="D616" s="981" t="s">
        <v>796</v>
      </c>
      <c r="E616" s="76"/>
      <c r="F616" s="76"/>
      <c r="G616" s="1379"/>
      <c r="H616" s="567"/>
      <c r="I616" s="977">
        <f>SUM(J616:N616)</f>
        <v>50</v>
      </c>
      <c r="J616" s="1426"/>
      <c r="K616" s="1426"/>
      <c r="L616" s="1426"/>
      <c r="M616" s="1426"/>
      <c r="N616" s="1428">
        <v>50</v>
      </c>
    </row>
    <row r="617" spans="1:14" ht="17.100000000000001" customHeight="1" x14ac:dyDescent="0.3">
      <c r="A617" s="229">
        <v>610</v>
      </c>
      <c r="B617" s="566"/>
      <c r="C617" s="74"/>
      <c r="D617" s="981" t="s">
        <v>861</v>
      </c>
      <c r="E617" s="76"/>
      <c r="F617" s="76"/>
      <c r="G617" s="1379"/>
      <c r="H617" s="567"/>
      <c r="I617" s="980">
        <f>SUM(J617:N617)</f>
        <v>0</v>
      </c>
      <c r="J617" s="1426"/>
      <c r="K617" s="1426"/>
      <c r="L617" s="1426"/>
      <c r="M617" s="1426"/>
      <c r="N617" s="1393"/>
    </row>
    <row r="618" spans="1:14" ht="17.100000000000001" customHeight="1" x14ac:dyDescent="0.3">
      <c r="A618" s="229">
        <v>611</v>
      </c>
      <c r="B618" s="566"/>
      <c r="C618" s="74"/>
      <c r="D618" s="1427" t="s">
        <v>846</v>
      </c>
      <c r="E618" s="76"/>
      <c r="F618" s="76"/>
      <c r="G618" s="1379"/>
      <c r="H618" s="567"/>
      <c r="I618" s="977"/>
      <c r="J618" s="1426"/>
      <c r="K618" s="1426"/>
      <c r="L618" s="1426"/>
      <c r="M618" s="1426"/>
      <c r="N618" s="1428"/>
    </row>
    <row r="619" spans="1:14" ht="17.100000000000001" customHeight="1" x14ac:dyDescent="0.3">
      <c r="A619" s="229">
        <v>612</v>
      </c>
      <c r="B619" s="566"/>
      <c r="C619" s="74"/>
      <c r="D619" s="981" t="s">
        <v>796</v>
      </c>
      <c r="E619" s="76"/>
      <c r="F619" s="76"/>
      <c r="G619" s="1379"/>
      <c r="H619" s="567"/>
      <c r="I619" s="977">
        <f>SUM(J619:N619)</f>
        <v>50</v>
      </c>
      <c r="J619" s="1426"/>
      <c r="K619" s="1426"/>
      <c r="L619" s="1426"/>
      <c r="M619" s="1426"/>
      <c r="N619" s="1428">
        <v>50</v>
      </c>
    </row>
    <row r="620" spans="1:14" ht="17.100000000000001" customHeight="1" x14ac:dyDescent="0.3">
      <c r="A620" s="229">
        <v>613</v>
      </c>
      <c r="B620" s="566"/>
      <c r="C620" s="74"/>
      <c r="D620" s="981" t="s">
        <v>861</v>
      </c>
      <c r="E620" s="76"/>
      <c r="F620" s="76"/>
      <c r="G620" s="1379"/>
      <c r="H620" s="567"/>
      <c r="I620" s="980">
        <f>SUM(J620:N620)</f>
        <v>0</v>
      </c>
      <c r="J620" s="1426"/>
      <c r="K620" s="1426"/>
      <c r="L620" s="1426"/>
      <c r="M620" s="1426"/>
      <c r="N620" s="1393"/>
    </row>
    <row r="621" spans="1:14" ht="17.100000000000001" customHeight="1" x14ac:dyDescent="0.3">
      <c r="A621" s="229">
        <v>614</v>
      </c>
      <c r="B621" s="566"/>
      <c r="C621" s="74"/>
      <c r="D621" s="1427" t="s">
        <v>848</v>
      </c>
      <c r="E621" s="76"/>
      <c r="F621" s="76"/>
      <c r="G621" s="1379"/>
      <c r="H621" s="567"/>
      <c r="I621" s="977"/>
      <c r="J621" s="1426"/>
      <c r="K621" s="1426"/>
      <c r="L621" s="1426"/>
      <c r="M621" s="1426"/>
      <c r="N621" s="1428"/>
    </row>
    <row r="622" spans="1:14" ht="17.100000000000001" customHeight="1" x14ac:dyDescent="0.3">
      <c r="A622" s="229">
        <v>615</v>
      </c>
      <c r="B622" s="566"/>
      <c r="C622" s="74"/>
      <c r="D622" s="981" t="s">
        <v>796</v>
      </c>
      <c r="E622" s="76"/>
      <c r="F622" s="76"/>
      <c r="G622" s="1379"/>
      <c r="H622" s="567"/>
      <c r="I622" s="977">
        <f>SUM(J622:N622)</f>
        <v>60</v>
      </c>
      <c r="J622" s="1426"/>
      <c r="K622" s="1426"/>
      <c r="L622" s="1426"/>
      <c r="M622" s="1426"/>
      <c r="N622" s="1428">
        <v>60</v>
      </c>
    </row>
    <row r="623" spans="1:14" ht="17.100000000000001" customHeight="1" x14ac:dyDescent="0.3">
      <c r="A623" s="229">
        <v>616</v>
      </c>
      <c r="B623" s="566"/>
      <c r="C623" s="74"/>
      <c r="D623" s="981" t="s">
        <v>861</v>
      </c>
      <c r="E623" s="76"/>
      <c r="F623" s="76"/>
      <c r="G623" s="1379"/>
      <c r="H623" s="567"/>
      <c r="I623" s="980">
        <f>SUM(J623:N623)</f>
        <v>0</v>
      </c>
      <c r="J623" s="1426"/>
      <c r="K623" s="1426"/>
      <c r="L623" s="1426"/>
      <c r="M623" s="1426"/>
      <c r="N623" s="1393"/>
    </row>
    <row r="624" spans="1:14" ht="17.100000000000001" customHeight="1" x14ac:dyDescent="0.3">
      <c r="A624" s="229">
        <v>617</v>
      </c>
      <c r="B624" s="566"/>
      <c r="C624" s="74"/>
      <c r="D624" s="1427" t="s">
        <v>842</v>
      </c>
      <c r="E624" s="76"/>
      <c r="F624" s="76"/>
      <c r="G624" s="1379"/>
      <c r="H624" s="567"/>
      <c r="I624" s="977"/>
      <c r="J624" s="1426"/>
      <c r="K624" s="1426"/>
      <c r="L624" s="1426"/>
      <c r="M624" s="1426"/>
      <c r="N624" s="1428"/>
    </row>
    <row r="625" spans="1:14" ht="17.100000000000001" customHeight="1" x14ac:dyDescent="0.3">
      <c r="A625" s="229">
        <v>618</v>
      </c>
      <c r="B625" s="566"/>
      <c r="C625" s="74"/>
      <c r="D625" s="981" t="s">
        <v>796</v>
      </c>
      <c r="E625" s="76"/>
      <c r="F625" s="76"/>
      <c r="G625" s="1379"/>
      <c r="H625" s="567"/>
      <c r="I625" s="977">
        <f>SUM(J625:N625)</f>
        <v>250</v>
      </c>
      <c r="J625" s="1426"/>
      <c r="K625" s="1426"/>
      <c r="L625" s="1426"/>
      <c r="M625" s="1426"/>
      <c r="N625" s="1428">
        <v>250</v>
      </c>
    </row>
    <row r="626" spans="1:14" ht="17.100000000000001" customHeight="1" x14ac:dyDescent="0.3">
      <c r="A626" s="229">
        <v>619</v>
      </c>
      <c r="B626" s="566"/>
      <c r="C626" s="74"/>
      <c r="D626" s="981" t="s">
        <v>861</v>
      </c>
      <c r="E626" s="76"/>
      <c r="F626" s="76"/>
      <c r="G626" s="1379"/>
      <c r="H626" s="567"/>
      <c r="I626" s="980">
        <f>SUM(J626:N626)</f>
        <v>0</v>
      </c>
      <c r="J626" s="1426"/>
      <c r="K626" s="1426"/>
      <c r="L626" s="1426"/>
      <c r="M626" s="1426"/>
      <c r="N626" s="1393"/>
    </row>
    <row r="627" spans="1:14" ht="17.100000000000001" customHeight="1" x14ac:dyDescent="0.3">
      <c r="A627" s="229">
        <v>620</v>
      </c>
      <c r="B627" s="566"/>
      <c r="C627" s="74"/>
      <c r="D627" s="1427" t="s">
        <v>840</v>
      </c>
      <c r="E627" s="76"/>
      <c r="F627" s="76"/>
      <c r="G627" s="1379"/>
      <c r="H627" s="567"/>
      <c r="I627" s="977"/>
      <c r="J627" s="1426"/>
      <c r="K627" s="1426"/>
      <c r="L627" s="1426"/>
      <c r="M627" s="1426"/>
      <c r="N627" s="1428"/>
    </row>
    <row r="628" spans="1:14" ht="17.100000000000001" customHeight="1" x14ac:dyDescent="0.3">
      <c r="A628" s="229">
        <v>621</v>
      </c>
      <c r="B628" s="566"/>
      <c r="C628" s="74"/>
      <c r="D628" s="981" t="s">
        <v>796</v>
      </c>
      <c r="E628" s="76"/>
      <c r="F628" s="76"/>
      <c r="G628" s="1379"/>
      <c r="H628" s="567"/>
      <c r="I628" s="977">
        <f>SUM(J628:N628)</f>
        <v>50</v>
      </c>
      <c r="J628" s="1426"/>
      <c r="K628" s="1426"/>
      <c r="L628" s="1426"/>
      <c r="M628" s="1426"/>
      <c r="N628" s="1428">
        <v>50</v>
      </c>
    </row>
    <row r="629" spans="1:14" ht="17.100000000000001" customHeight="1" x14ac:dyDescent="0.3">
      <c r="A629" s="229">
        <v>622</v>
      </c>
      <c r="B629" s="566"/>
      <c r="C629" s="74"/>
      <c r="D629" s="981" t="s">
        <v>860</v>
      </c>
      <c r="E629" s="76"/>
      <c r="F629" s="76"/>
      <c r="G629" s="1379"/>
      <c r="H629" s="567"/>
      <c r="I629" s="980">
        <f>SUM(J629:N629)</f>
        <v>0</v>
      </c>
      <c r="J629" s="1426"/>
      <c r="K629" s="1426"/>
      <c r="L629" s="1426"/>
      <c r="M629" s="1426"/>
      <c r="N629" s="1393"/>
    </row>
    <row r="630" spans="1:14" ht="17.100000000000001" customHeight="1" x14ac:dyDescent="0.3">
      <c r="A630" s="229">
        <v>623</v>
      </c>
      <c r="B630" s="566"/>
      <c r="C630" s="74"/>
      <c r="D630" s="1427" t="s">
        <v>841</v>
      </c>
      <c r="E630" s="76"/>
      <c r="F630" s="76"/>
      <c r="G630" s="1379"/>
      <c r="H630" s="567"/>
      <c r="I630" s="977"/>
      <c r="J630" s="1426"/>
      <c r="K630" s="1426"/>
      <c r="L630" s="1426"/>
      <c r="M630" s="1426"/>
      <c r="N630" s="1428"/>
    </row>
    <row r="631" spans="1:14" ht="17.100000000000001" customHeight="1" x14ac:dyDescent="0.3">
      <c r="A631" s="229">
        <v>624</v>
      </c>
      <c r="B631" s="566"/>
      <c r="C631" s="74"/>
      <c r="D631" s="981" t="s">
        <v>796</v>
      </c>
      <c r="E631" s="76"/>
      <c r="F631" s="76"/>
      <c r="G631" s="1379"/>
      <c r="H631" s="567"/>
      <c r="I631" s="977">
        <f>SUM(J631:N631)</f>
        <v>50</v>
      </c>
      <c r="J631" s="1426"/>
      <c r="K631" s="1426"/>
      <c r="L631" s="1426"/>
      <c r="M631" s="1426"/>
      <c r="N631" s="1428">
        <v>50</v>
      </c>
    </row>
    <row r="632" spans="1:14" ht="17.100000000000001" customHeight="1" x14ac:dyDescent="0.3">
      <c r="A632" s="229">
        <v>625</v>
      </c>
      <c r="B632" s="566"/>
      <c r="C632" s="74"/>
      <c r="D632" s="981" t="s">
        <v>861</v>
      </c>
      <c r="E632" s="76"/>
      <c r="F632" s="76"/>
      <c r="G632" s="1379"/>
      <c r="H632" s="567"/>
      <c r="I632" s="980">
        <f>SUM(J632:N632)</f>
        <v>0</v>
      </c>
      <c r="J632" s="1426"/>
      <c r="K632" s="1426"/>
      <c r="L632" s="1426"/>
      <c r="M632" s="1426"/>
      <c r="N632" s="1393"/>
    </row>
    <row r="633" spans="1:14" ht="17.100000000000001" customHeight="1" x14ac:dyDescent="0.3">
      <c r="A633" s="229">
        <v>626</v>
      </c>
      <c r="B633" s="566"/>
      <c r="C633" s="74"/>
      <c r="D633" s="1427" t="s">
        <v>851</v>
      </c>
      <c r="E633" s="76"/>
      <c r="F633" s="76"/>
      <c r="G633" s="1379"/>
      <c r="H633" s="567"/>
      <c r="I633" s="977"/>
      <c r="J633" s="1426"/>
      <c r="K633" s="1426"/>
      <c r="L633" s="1426"/>
      <c r="M633" s="1426"/>
      <c r="N633" s="1428"/>
    </row>
    <row r="634" spans="1:14" ht="17.100000000000001" customHeight="1" x14ac:dyDescent="0.3">
      <c r="A634" s="229">
        <v>627</v>
      </c>
      <c r="B634" s="566"/>
      <c r="C634" s="74"/>
      <c r="D634" s="981" t="s">
        <v>796</v>
      </c>
      <c r="E634" s="76"/>
      <c r="F634" s="76"/>
      <c r="G634" s="1379"/>
      <c r="H634" s="567"/>
      <c r="I634" s="977">
        <f>SUM(J634:N634)</f>
        <v>60</v>
      </c>
      <c r="J634" s="1426"/>
      <c r="K634" s="1426"/>
      <c r="L634" s="1426"/>
      <c r="M634" s="1426"/>
      <c r="N634" s="1428">
        <v>60</v>
      </c>
    </row>
    <row r="635" spans="1:14" ht="17.100000000000001" customHeight="1" x14ac:dyDescent="0.3">
      <c r="A635" s="229">
        <v>628</v>
      </c>
      <c r="B635" s="566"/>
      <c r="C635" s="74"/>
      <c r="D635" s="981" t="s">
        <v>861</v>
      </c>
      <c r="E635" s="76"/>
      <c r="F635" s="76"/>
      <c r="G635" s="1379"/>
      <c r="H635" s="567"/>
      <c r="I635" s="980">
        <f>SUM(J635:N635)</f>
        <v>0</v>
      </c>
      <c r="J635" s="1426"/>
      <c r="K635" s="1426"/>
      <c r="L635" s="1426"/>
      <c r="M635" s="1426"/>
      <c r="N635" s="1393"/>
    </row>
    <row r="636" spans="1:14" ht="17.100000000000001" customHeight="1" x14ac:dyDescent="0.3">
      <c r="A636" s="229">
        <v>629</v>
      </c>
      <c r="B636" s="566"/>
      <c r="C636" s="74"/>
      <c r="D636" s="1427" t="s">
        <v>850</v>
      </c>
      <c r="E636" s="76"/>
      <c r="F636" s="76"/>
      <c r="G636" s="1379"/>
      <c r="H636" s="567"/>
      <c r="I636" s="977"/>
      <c r="J636" s="1426"/>
      <c r="K636" s="1426"/>
      <c r="L636" s="1426"/>
      <c r="M636" s="1426"/>
      <c r="N636" s="1428"/>
    </row>
    <row r="637" spans="1:14" ht="17.100000000000001" customHeight="1" x14ac:dyDescent="0.3">
      <c r="A637" s="229">
        <v>630</v>
      </c>
      <c r="B637" s="566"/>
      <c r="C637" s="74"/>
      <c r="D637" s="981" t="s">
        <v>796</v>
      </c>
      <c r="E637" s="76"/>
      <c r="F637" s="76"/>
      <c r="G637" s="1379"/>
      <c r="H637" s="567"/>
      <c r="I637" s="977">
        <f>SUM(J637:N637)</f>
        <v>60</v>
      </c>
      <c r="J637" s="1426"/>
      <c r="K637" s="1426"/>
      <c r="L637" s="1426"/>
      <c r="M637" s="1426"/>
      <c r="N637" s="1428">
        <v>60</v>
      </c>
    </row>
    <row r="638" spans="1:14" ht="17.100000000000001" customHeight="1" x14ac:dyDescent="0.3">
      <c r="A638" s="229">
        <v>631</v>
      </c>
      <c r="B638" s="566"/>
      <c r="C638" s="74"/>
      <c r="D638" s="981" t="s">
        <v>861</v>
      </c>
      <c r="E638" s="76"/>
      <c r="F638" s="76"/>
      <c r="G638" s="1379"/>
      <c r="H638" s="567"/>
      <c r="I638" s="980">
        <f>SUM(J638:N638)</f>
        <v>0</v>
      </c>
      <c r="J638" s="1426"/>
      <c r="K638" s="1426"/>
      <c r="L638" s="1426"/>
      <c r="M638" s="1426"/>
      <c r="N638" s="1393"/>
    </row>
    <row r="639" spans="1:14" ht="17.100000000000001" customHeight="1" x14ac:dyDescent="0.3">
      <c r="A639" s="229">
        <v>632</v>
      </c>
      <c r="B639" s="566"/>
      <c r="C639" s="74"/>
      <c r="D639" s="1427" t="s">
        <v>852</v>
      </c>
      <c r="E639" s="76"/>
      <c r="F639" s="76"/>
      <c r="G639" s="1379"/>
      <c r="H639" s="567"/>
      <c r="I639" s="977"/>
      <c r="J639" s="1426"/>
      <c r="K639" s="1426"/>
      <c r="L639" s="1426"/>
      <c r="M639" s="1426"/>
      <c r="N639" s="1428"/>
    </row>
    <row r="640" spans="1:14" ht="17.100000000000001" customHeight="1" x14ac:dyDescent="0.3">
      <c r="A640" s="229">
        <v>633</v>
      </c>
      <c r="B640" s="566"/>
      <c r="C640" s="74"/>
      <c r="D640" s="981" t="s">
        <v>796</v>
      </c>
      <c r="E640" s="76"/>
      <c r="F640" s="76"/>
      <c r="G640" s="1379"/>
      <c r="H640" s="567"/>
      <c r="I640" s="977">
        <f>SUM(J640:N640)</f>
        <v>60</v>
      </c>
      <c r="J640" s="1426"/>
      <c r="K640" s="1426"/>
      <c r="L640" s="1426"/>
      <c r="M640" s="1426"/>
      <c r="N640" s="1428">
        <v>60</v>
      </c>
    </row>
    <row r="641" spans="1:16" ht="17.100000000000001" customHeight="1" x14ac:dyDescent="0.3">
      <c r="A641" s="229">
        <v>634</v>
      </c>
      <c r="B641" s="566"/>
      <c r="C641" s="74"/>
      <c r="D641" s="981" t="s">
        <v>861</v>
      </c>
      <c r="E641" s="76"/>
      <c r="F641" s="76"/>
      <c r="G641" s="1379"/>
      <c r="H641" s="567"/>
      <c r="I641" s="980">
        <f>SUM(J641:N641)</f>
        <v>0</v>
      </c>
      <c r="J641" s="1426"/>
      <c r="K641" s="1426"/>
      <c r="L641" s="1426"/>
      <c r="M641" s="1426"/>
      <c r="N641" s="1393"/>
    </row>
    <row r="642" spans="1:16" ht="17.100000000000001" customHeight="1" x14ac:dyDescent="0.3">
      <c r="A642" s="229">
        <v>635</v>
      </c>
      <c r="B642" s="566"/>
      <c r="C642" s="74"/>
      <c r="D642" s="1427" t="s">
        <v>849</v>
      </c>
      <c r="E642" s="76"/>
      <c r="F642" s="76"/>
      <c r="G642" s="1379"/>
      <c r="H642" s="567"/>
      <c r="I642" s="977"/>
      <c r="J642" s="1426"/>
      <c r="K642" s="1426"/>
      <c r="L642" s="1426"/>
      <c r="M642" s="1426"/>
      <c r="N642" s="1428"/>
    </row>
    <row r="643" spans="1:16" ht="17.100000000000001" customHeight="1" x14ac:dyDescent="0.3">
      <c r="A643" s="229">
        <v>636</v>
      </c>
      <c r="B643" s="566"/>
      <c r="C643" s="74"/>
      <c r="D643" s="981" t="s">
        <v>796</v>
      </c>
      <c r="E643" s="76"/>
      <c r="F643" s="76"/>
      <c r="G643" s="1379"/>
      <c r="H643" s="567"/>
      <c r="I643" s="977">
        <f>SUM(J643:N643)</f>
        <v>40</v>
      </c>
      <c r="J643" s="1426"/>
      <c r="K643" s="1426"/>
      <c r="L643" s="1426"/>
      <c r="M643" s="1426"/>
      <c r="N643" s="1428">
        <v>40</v>
      </c>
    </row>
    <row r="644" spans="1:16" ht="17.100000000000001" customHeight="1" x14ac:dyDescent="0.3">
      <c r="A644" s="229">
        <v>637</v>
      </c>
      <c r="B644" s="566"/>
      <c r="C644" s="74"/>
      <c r="D644" s="981" t="s">
        <v>861</v>
      </c>
      <c r="E644" s="76"/>
      <c r="F644" s="76"/>
      <c r="G644" s="1379"/>
      <c r="H644" s="567"/>
      <c r="I644" s="980">
        <f>SUM(J644:N644)</f>
        <v>0</v>
      </c>
      <c r="J644" s="1426"/>
      <c r="K644" s="1426"/>
      <c r="L644" s="1426"/>
      <c r="M644" s="1426"/>
      <c r="N644" s="1393"/>
    </row>
    <row r="645" spans="1:16" ht="23.45" customHeight="1" x14ac:dyDescent="0.3">
      <c r="A645" s="229">
        <v>638</v>
      </c>
      <c r="B645" s="566"/>
      <c r="C645" s="74">
        <v>136</v>
      </c>
      <c r="D645" s="225" t="s">
        <v>828</v>
      </c>
      <c r="E645" s="76"/>
      <c r="F645" s="76"/>
      <c r="G645" s="1379"/>
      <c r="H645" s="567" t="s">
        <v>23</v>
      </c>
      <c r="I645" s="977"/>
      <c r="J645" s="1426"/>
      <c r="K645" s="1426"/>
      <c r="L645" s="1426"/>
      <c r="M645" s="1426"/>
      <c r="N645" s="1428"/>
    </row>
    <row r="646" spans="1:16" ht="18" customHeight="1" x14ac:dyDescent="0.3">
      <c r="A646" s="229">
        <v>639</v>
      </c>
      <c r="B646" s="566"/>
      <c r="C646" s="74"/>
      <c r="D646" s="224" t="s">
        <v>796</v>
      </c>
      <c r="E646" s="76"/>
      <c r="F646" s="76"/>
      <c r="G646" s="1379"/>
      <c r="H646" s="567"/>
      <c r="I646" s="977">
        <f>SUM(J646:N646)</f>
        <v>14000</v>
      </c>
      <c r="J646" s="1426"/>
      <c r="K646" s="1426"/>
      <c r="L646" s="1324">
        <v>14000</v>
      </c>
      <c r="M646" s="1426"/>
      <c r="N646" s="1428"/>
    </row>
    <row r="647" spans="1:16" ht="16.5" customHeight="1" x14ac:dyDescent="0.3">
      <c r="A647" s="229">
        <v>640</v>
      </c>
      <c r="B647" s="566"/>
      <c r="C647" s="74"/>
      <c r="D647" s="976" t="s">
        <v>861</v>
      </c>
      <c r="E647" s="76"/>
      <c r="F647" s="76"/>
      <c r="G647" s="1379"/>
      <c r="H647" s="567"/>
      <c r="I647" s="980">
        <f>SUM(J647:N647)</f>
        <v>0</v>
      </c>
      <c r="J647" s="1426"/>
      <c r="K647" s="1426"/>
      <c r="L647" s="1325"/>
      <c r="M647" s="1426"/>
      <c r="N647" s="1428"/>
    </row>
    <row r="648" spans="1:16" ht="22.5" customHeight="1" x14ac:dyDescent="0.3">
      <c r="A648" s="229">
        <v>641</v>
      </c>
      <c r="B648" s="566"/>
      <c r="C648" s="74">
        <v>137</v>
      </c>
      <c r="D648" s="224" t="s">
        <v>844</v>
      </c>
      <c r="E648" s="76"/>
      <c r="F648" s="76"/>
      <c r="G648" s="1379"/>
      <c r="H648" s="567" t="s">
        <v>23</v>
      </c>
      <c r="I648" s="977"/>
      <c r="J648" s="1426"/>
      <c r="K648" s="1426"/>
      <c r="L648" s="1426"/>
      <c r="M648" s="1426"/>
      <c r="N648" s="1428"/>
    </row>
    <row r="649" spans="1:16" ht="18" customHeight="1" x14ac:dyDescent="0.3">
      <c r="A649" s="229">
        <v>642</v>
      </c>
      <c r="B649" s="566"/>
      <c r="C649" s="74"/>
      <c r="D649" s="224" t="s">
        <v>796</v>
      </c>
      <c r="E649" s="76"/>
      <c r="F649" s="76"/>
      <c r="G649" s="1379"/>
      <c r="H649" s="567"/>
      <c r="I649" s="977">
        <f>SUM(J649:N649)</f>
        <v>1500</v>
      </c>
      <c r="J649" s="1426"/>
      <c r="K649" s="1426"/>
      <c r="L649" s="1324">
        <v>1500</v>
      </c>
      <c r="M649" s="1426"/>
      <c r="N649" s="1428"/>
    </row>
    <row r="650" spans="1:16" ht="18" customHeight="1" x14ac:dyDescent="0.3">
      <c r="A650" s="229">
        <v>643</v>
      </c>
      <c r="B650" s="566"/>
      <c r="C650" s="74"/>
      <c r="D650" s="976" t="s">
        <v>861</v>
      </c>
      <c r="E650" s="76"/>
      <c r="F650" s="76"/>
      <c r="G650" s="1379"/>
      <c r="H650" s="567"/>
      <c r="I650" s="980">
        <f>SUM(J650:N650)</f>
        <v>0</v>
      </c>
      <c r="J650" s="1426"/>
      <c r="K650" s="1426"/>
      <c r="L650" s="1325"/>
      <c r="M650" s="1426"/>
      <c r="N650" s="1428"/>
    </row>
    <row r="651" spans="1:16" ht="32.25" customHeight="1" x14ac:dyDescent="0.35">
      <c r="A651" s="229">
        <v>644</v>
      </c>
      <c r="B651" s="566"/>
      <c r="C651" s="219">
        <v>138</v>
      </c>
      <c r="D651" s="75" t="s">
        <v>635</v>
      </c>
      <c r="E651" s="76">
        <v>0</v>
      </c>
      <c r="F651" s="76">
        <v>1000</v>
      </c>
      <c r="G651" s="1379">
        <v>721</v>
      </c>
      <c r="H651" s="567" t="s">
        <v>24</v>
      </c>
      <c r="I651" s="654"/>
      <c r="J651" s="586"/>
      <c r="K651" s="586"/>
      <c r="L651" s="586"/>
      <c r="M651" s="586"/>
      <c r="N651" s="587"/>
    </row>
    <row r="652" spans="1:16" ht="22.5" customHeight="1" x14ac:dyDescent="0.35">
      <c r="A652" s="229">
        <v>645</v>
      </c>
      <c r="B652" s="566"/>
      <c r="C652" s="74">
        <v>139</v>
      </c>
      <c r="D652" s="75" t="s">
        <v>636</v>
      </c>
      <c r="E652" s="76">
        <v>0</v>
      </c>
      <c r="F652" s="76">
        <v>1500</v>
      </c>
      <c r="G652" s="1379">
        <v>0</v>
      </c>
      <c r="H652" s="567" t="s">
        <v>23</v>
      </c>
      <c r="I652" s="654"/>
      <c r="J652" s="586"/>
      <c r="K652" s="586"/>
      <c r="L652" s="586"/>
      <c r="M652" s="586"/>
      <c r="N652" s="587"/>
    </row>
    <row r="653" spans="1:16" s="467" customFormat="1" ht="22.5" customHeight="1" x14ac:dyDescent="0.35">
      <c r="A653" s="229">
        <v>646</v>
      </c>
      <c r="B653" s="477"/>
      <c r="C653" s="74">
        <v>140</v>
      </c>
      <c r="D653" s="79" t="s">
        <v>633</v>
      </c>
      <c r="E653" s="94">
        <v>0</v>
      </c>
      <c r="F653" s="94">
        <v>0</v>
      </c>
      <c r="G653" s="1379">
        <v>2286</v>
      </c>
      <c r="H653" s="233" t="s">
        <v>24</v>
      </c>
      <c r="I653" s="452"/>
      <c r="J653" s="465"/>
      <c r="K653" s="465"/>
      <c r="L653" s="465"/>
      <c r="M653" s="465"/>
      <c r="N653" s="466"/>
      <c r="O653" s="462"/>
      <c r="P653" s="462"/>
    </row>
    <row r="654" spans="1:16" s="8" customFormat="1" ht="22.5" customHeight="1" x14ac:dyDescent="0.3">
      <c r="A654" s="229">
        <v>647</v>
      </c>
      <c r="B654" s="77"/>
      <c r="C654" s="74">
        <v>141</v>
      </c>
      <c r="D654" s="75" t="s">
        <v>439</v>
      </c>
      <c r="E654" s="76">
        <v>153947</v>
      </c>
      <c r="F654" s="76">
        <v>0</v>
      </c>
      <c r="G654" s="1380">
        <v>0</v>
      </c>
      <c r="H654" s="231" t="s">
        <v>23</v>
      </c>
      <c r="I654" s="452"/>
      <c r="J654" s="570"/>
      <c r="K654" s="570"/>
      <c r="L654" s="570"/>
      <c r="M654" s="570"/>
      <c r="N654" s="571"/>
    </row>
    <row r="655" spans="1:16" s="8" customFormat="1" ht="22.5" customHeight="1" x14ac:dyDescent="0.3">
      <c r="A655" s="229">
        <v>648</v>
      </c>
      <c r="B655" s="77"/>
      <c r="C655" s="74">
        <v>142</v>
      </c>
      <c r="D655" s="75" t="s">
        <v>351</v>
      </c>
      <c r="E655" s="76">
        <v>159</v>
      </c>
      <c r="F655" s="76">
        <v>0</v>
      </c>
      <c r="G655" s="1380">
        <v>0</v>
      </c>
      <c r="H655" s="231" t="s">
        <v>23</v>
      </c>
      <c r="I655" s="452"/>
      <c r="J655" s="570"/>
      <c r="K655" s="570"/>
      <c r="L655" s="570"/>
      <c r="M655" s="570"/>
      <c r="N655" s="571"/>
    </row>
    <row r="656" spans="1:16" s="89" customFormat="1" ht="22.5" customHeight="1" x14ac:dyDescent="0.3">
      <c r="A656" s="229">
        <v>649</v>
      </c>
      <c r="B656" s="88"/>
      <c r="C656" s="74">
        <v>143</v>
      </c>
      <c r="D656" s="75" t="s">
        <v>104</v>
      </c>
      <c r="E656" s="94">
        <v>49</v>
      </c>
      <c r="F656" s="94">
        <v>0</v>
      </c>
      <c r="G656" s="94">
        <v>0</v>
      </c>
      <c r="H656" s="233" t="s">
        <v>24</v>
      </c>
      <c r="I656" s="452"/>
      <c r="J656" s="573"/>
      <c r="K656" s="573"/>
      <c r="L656" s="573"/>
      <c r="M656" s="573"/>
      <c r="N656" s="574"/>
      <c r="O656" s="70"/>
      <c r="P656" s="8"/>
    </row>
    <row r="657" spans="1:16" s="3" customFormat="1" ht="22.5" customHeight="1" x14ac:dyDescent="0.3">
      <c r="A657" s="229">
        <v>650</v>
      </c>
      <c r="B657" s="73"/>
      <c r="C657" s="74">
        <v>144</v>
      </c>
      <c r="D657" s="600" t="s">
        <v>314</v>
      </c>
      <c r="E657" s="76">
        <v>70760</v>
      </c>
      <c r="F657" s="76">
        <v>0</v>
      </c>
      <c r="G657" s="1380">
        <v>0</v>
      </c>
      <c r="H657" s="231" t="s">
        <v>23</v>
      </c>
      <c r="I657" s="452"/>
      <c r="J657" s="570"/>
      <c r="K657" s="570"/>
      <c r="L657" s="570"/>
      <c r="M657" s="570"/>
      <c r="N657" s="571"/>
      <c r="P657" s="8"/>
    </row>
    <row r="658" spans="1:16" s="8" customFormat="1" ht="22.5" customHeight="1" thickBot="1" x14ac:dyDescent="0.35">
      <c r="A658" s="229">
        <v>651</v>
      </c>
      <c r="B658" s="88"/>
      <c r="C658" s="74">
        <v>145</v>
      </c>
      <c r="D658" s="75" t="s">
        <v>443</v>
      </c>
      <c r="E658" s="76">
        <v>14960</v>
      </c>
      <c r="F658" s="76">
        <v>0</v>
      </c>
      <c r="G658" s="1379">
        <v>0</v>
      </c>
      <c r="H658" s="233" t="s">
        <v>23</v>
      </c>
      <c r="I658" s="452"/>
      <c r="J658" s="573"/>
      <c r="K658" s="573"/>
      <c r="L658" s="573"/>
      <c r="M658" s="573"/>
      <c r="N658" s="574"/>
    </row>
    <row r="659" spans="1:16" s="13" customFormat="1" ht="33.950000000000003" customHeight="1" thickTop="1" thickBot="1" x14ac:dyDescent="0.4">
      <c r="A659" s="229">
        <v>652</v>
      </c>
      <c r="B659" s="593"/>
      <c r="C659" s="594"/>
      <c r="D659" s="1705" t="s">
        <v>13</v>
      </c>
      <c r="E659" s="1706"/>
      <c r="F659" s="1706"/>
      <c r="G659" s="1707"/>
      <c r="H659" s="595"/>
      <c r="I659" s="596"/>
      <c r="J659" s="596"/>
      <c r="K659" s="596"/>
      <c r="L659" s="596"/>
      <c r="M659" s="596"/>
      <c r="N659" s="651"/>
      <c r="O659" s="1435"/>
      <c r="P659" s="8"/>
    </row>
    <row r="660" spans="1:16" s="13" customFormat="1" ht="18" customHeight="1" thickTop="1" x14ac:dyDescent="0.35">
      <c r="A660" s="229">
        <v>653</v>
      </c>
      <c r="B660" s="1001"/>
      <c r="C660" s="1002"/>
      <c r="D660" s="1722" t="s">
        <v>268</v>
      </c>
      <c r="E660" s="1723"/>
      <c r="F660" s="1723"/>
      <c r="G660" s="1724"/>
      <c r="H660" s="233"/>
      <c r="I660" s="589">
        <f>SUM(J660:N660)</f>
        <v>7734774</v>
      </c>
      <c r="J660" s="1003">
        <f>J588+J584+J580+J576+J572+J568+J564+J559+J535+J530+J526+J522+J518+J514+J510+J506+J502+J498+J494+J490+J486+J482+J478+J474+J470+J466+J462+J458+J453+J449+J445+J441+J436+J432+J428+J424+J420+J416+J412+J408+J402+J398+J390+J385+J381+J374+J370+J366+J362+J358+J354+J350+J346+J342+J338+J333+J326+J321+J317+J313+J309+J305+J301+J297+J293+J289+J285+J241+J237+J233+J229+J225+J208+J194+J190+J186+J180+J176+J171+J167+J156+J142+J118+J113+J109+J105+J101+J77+J73+J69+J40+J26+J22+J18+J14+J10</f>
        <v>167101</v>
      </c>
      <c r="K660" s="1003">
        <f>K588+K584+K580+K576+K572+K568+K564+K559+K535+K530+K526+K522+K518+K514+K510+K506+K502+K498+K494+K490+K486+K482+K478+K474+K470+K466+K462+K458+K453+K449+K445+K441+K436+K432+K428+K424+K420+K416+K412+K408+K402+K398+K390+K385+K381+K374+K370+K366+K362+K358+K354+K350+K346+K342+K338+K333+K326+K321+K317+K313+K309+K305+K301+K297+K293+K289+K285+K241+K237+K233+K229+K225+K208+K194+K190+K186+K180+K176+K171+K167+K156+K142+K118+K113+K109+K105+K101+K77+K73+K69+K40+K26+K22+K18+K14+K10</f>
        <v>21658</v>
      </c>
      <c r="L660" s="1003">
        <f>L588+L584+L580+L576+L572+L568+L564+L559+L535+L530+L526+L522+L518+L514+L510+L506+L502+L498+L494+L490+L486+L482+L478+L474+L470+L466+L462+L458+L453+L449+L445+L441+L436+L432+L428+L424+L420+L416+L412+L408+L402+L398+L390+L385+L381+L374+L370+L366+L362+L358+L354+L350+L346+L342+L338+L333+L326+L321+L317+L313+L309+L305+L301+L297+L293+L289+L285+L241+L237+L233+L229+L225+L208+L194+L190+L186+L180+L176+L171+L167+L156+L142+L118+L113+L109+L105+L101+L77+L73+L69+L40+L26+L22+L18+L14+L10</f>
        <v>2082744</v>
      </c>
      <c r="M660" s="1003">
        <f>M588+M584+M580+M576+M572+M568+M564+M559+M535+M530+M526+M522+M518+M514+M510+M506+M502+M498+M494+M490+M486+M482+M478+M474+M470+M466+M462+M458+M453+M449+M445+M441+M436+M432+M428+M424+M420+M416+M412+M408+M402+M398+M390+M385+M381+M374+M370+M366+M362+M358+M354+M350+M346+M342+M338+M333+M326+M321+M317+M313+M309+M305+M301+M297+M293+M289+M285+M241+M237+M233+M229+M225+M208+M194+M190+M186+M180+M176+M171+M167+M156+M142+M118+M113+M109+M105+M101+M77+M73+M69+M40+M26+M22+M18+M14+M10</f>
        <v>40710</v>
      </c>
      <c r="N660" s="1395">
        <f>N588+N584+N580+N576+N572+N568+N564+N559+N535+N530+N526+N522+N518+N514+N510+N506+N502+N498+N494+N490+N486+N482+N478+N474+N470+N466+N462+N458+N453+N449+N445+N441+N436+N432+N428+N424+N420+N416+N412+N408+N402+N398+N390+N385+N381+N374+N370+N366+N362+N358+N354+N350+N346+N342+N338+N333+N326+N321+N317+N313+N309+N305+N301+N297+N293+N289+N285+N241+N237+N233+N229+N225+N208+N194+N190+N186+N180+N176+N171+N167+N156+N142+N118+N113+N109+N105+N101+N77+N73+N69+N40+N26+N22+N18+N14+N10</f>
        <v>5422561</v>
      </c>
      <c r="O660" s="1435"/>
      <c r="P660" s="8"/>
    </row>
    <row r="661" spans="1:16" s="13" customFormat="1" ht="18" customHeight="1" x14ac:dyDescent="0.35">
      <c r="A661" s="229">
        <v>654</v>
      </c>
      <c r="B661" s="223"/>
      <c r="C661" s="1000"/>
      <c r="D661" s="1725" t="s">
        <v>796</v>
      </c>
      <c r="E661" s="1726"/>
      <c r="F661" s="1726"/>
      <c r="G661" s="1727"/>
      <c r="H661" s="231"/>
      <c r="I661" s="977">
        <f>SUM(J661:N661)</f>
        <v>9087524</v>
      </c>
      <c r="J661" s="1013">
        <f>J589+J585+J581+J577+J573+J569+J565+J560+J536+J531+J527+J523+J519+J515+J511+J507+J503+J499+J495+J491+J487+J483+J479+J475+J471+J467+J463+J459+J454+J450+J446+J442+J437+J433+J429+J425+J421+J417+J413+J409+J403+J399+J391+J386+J382+J375+J371+J367+J363+J359+J355+J351+J347+J343+J339+J334+J327+J322+J318+J314+J310+J306+J302+J298+J294+J290+J286+J242+J238+J234+J230+J226+J209+J195+J191+J187+J181+J177+J172+J168+J157+J143+J119+J114+J110+J106+J102+J78+J74+J70+J41+J27+J23+J19+J15+J11+J160+J607+J604+J601+J598+J595+J592+J164+J82+J30+J330+J649+J646+J613+J610+J394</f>
        <v>219846</v>
      </c>
      <c r="K661" s="1013">
        <f>K589+K585+K581+K577+K573+K569+K565+K560+K536+K531+K527+K523+K519+K515+K511+K507+K503+K499+K495+K491+K487+K483+K479+K475+K471+K467+K463+K459+K454+K450+K446+K442+K437+K433+K429+K425+K421+K417+K413+K409+K403+K399+K391+K386+K382+K375+K371+K367+K363+K359+K355+K351+K347+K343+K339+K334+K327+K322+K318+K314+K310+K306+K302+K298+K294+K290+K286+K242+K238+K234+K230+K226+K209+K195+K191+K187+K181+K177+K172+K168+K157+K143+K119+K114+K110+K106+K102+K78+K74+K70+K41+K27+K23+K19+K15+K11+K160+K607+K604+K601+K598+K595+K592+K164+K82+K30+K330+K649+K646+K613+K610+K394</f>
        <v>39265</v>
      </c>
      <c r="L661" s="1013">
        <f>L589+L585+L581+L577+L573+L569+L565+L560+L536+L531+L527+L523+L519+L515+L511+L507+L503+L499+L495+L491+L487+L483+L479+L475+L471+L467+L463+L459+L454+L450+L446+L442+L437+L433+L429+L425+L421+L417+L413+L409+L403+L399+L391+L386+L382+L375+L371+L367+L363+L359+L355+L351+L347+L343+L339+L334+L327+L322+L318+L314+L310+L306+L302+L298+L294+L290+L286+L242+L238+L234+L230+L226+L209+L195+L191+L187+L181+L177+L172+L168+L157+L143+L119+L114+L110+L106+L102+L78+L74+L70+L41+L27+L23+L19+L15+L11+L160+L607+L604+L601+L598+L595+L592+L164+L82+L30+L330+L649+L646+L613+L610+L394</f>
        <v>2931968</v>
      </c>
      <c r="M661" s="1013">
        <f>M589+M585+M581+M577+M573+M569+M565+M560+M536+M531+M527+M523+M519+M515+M511+M507+M503+M499+M495+M491+M487+M483+M479+M475+M471+M467+M463+M459+M454+M450+M446+M442+M437+M433+M429+M425+M421+M417+M413+M409+M403+M399+M391+M386+M382+M375+M371+M367+M363+M359+M355+M351+M347+M343+M339+M334+M327+M322+M318+M314+M310+M306+M302+M298+M294+M290+M286+M242+M238+M234+M230+M226+M209+M195+M191+M187+M181+M177+M172+M168+M157+M143+M119+M114+M110+M106+M102+M78+M74+M70+M41+M27+M23+M19+M15+M11+M160+M607+M604+M601+M598+M595+M592+M164+M82+M30+M330+M649+M646+M613+M610+M394</f>
        <v>67216</v>
      </c>
      <c r="N661" s="1396">
        <f>N589+N585+N581+N577+N573+N569+N565+N560+N536+N531+N527+N523+N519+N515+N511+N507+N503+N499+N495+N491+N487+N483+N479+N475+N471+N467+N463+N459+N454+N450+N446+N442+N437+N433+N429+N425+N421+N417+N413+N409+N403+N399+N391+N386+N382+N375+N371+N367+N363+N359+N355+N351+N347+N343+N339+N334+N327+N322+N318+N314+N310+N306+N302+N298+N294+N290+N286+N242+N238+N234+N230+N226+N209+N195+N191+N187+N181+N177+N172+N168+N157+N143+N119+N114+N110+N106+N102+N78+N74+N70+N41+N27+N23+N19+N15+N11+N160+N607+N604+N601+N598+N595+N592+N164+N82+N30+N330+N649+N646+N613+N610+N394</f>
        <v>5829229</v>
      </c>
      <c r="O661" s="1435"/>
      <c r="P661" s="8"/>
    </row>
    <row r="662" spans="1:16" s="13" customFormat="1" ht="18" customHeight="1" thickBot="1" x14ac:dyDescent="0.4">
      <c r="A662" s="229">
        <v>655</v>
      </c>
      <c r="B662" s="223"/>
      <c r="C662" s="1000"/>
      <c r="D662" s="1728" t="s">
        <v>860</v>
      </c>
      <c r="E662" s="1729"/>
      <c r="F662" s="1729"/>
      <c r="G662" s="1730"/>
      <c r="H662" s="231"/>
      <c r="I662" s="980">
        <f>SUM(J662:N662)</f>
        <v>3986165</v>
      </c>
      <c r="J662" s="1096">
        <f>J590+J586+J582+J578+J574+J570+J566+J561+J532+J528+J524+J520+J516+J512+J508+J504+J500+J496+J492+J488+J484+J480+J476+J472+J468+J464+J460+J455+J451+J447+J443+J438+J434+J430+J426+J422+J418+J414+J410+J404+J400+J392+J387+J383+J376+J372+J368+J364+J360+J356+J352+J348+J344+J340+J335+J331+J328+J323+J319+J315+J311+J307+J303+J299+J295+J291+J287+J243+J239+J235+J231+J227+J210+J196+J192+J188+J182+J178+J173+J169+J158+J144+J120+J115+J111+J107+J103+J79+J75+J71+J42+J28+J24+J20+J16+J12+J161+J31+J593+J596+J599+J602+J605+J165+J83+J608+J611+J395+J614+J647+J650+J537</f>
        <v>71946</v>
      </c>
      <c r="K662" s="1096">
        <f t="shared" ref="K662:N662" si="9">K590+K586+K582+K578+K574+K570+K566+K561+K532+K528+K524+K520+K516+K512+K508+K504+K500+K496+K492+K488+K484+K480+K476+K472+K468+K464+K460+K455+K451+K447+K443+K438+K434+K430+K426+K422+K418+K414+K410+K404+K400+K392+K387+K383+K376+K372+K368+K364+K360+K356+K352+K348+K344+K340+K335+K331+K328+K323+K319+K315+K311+K307+K303+K299+K295+K291+K287+K243+K239+K235+K231+K227+K210+K196+K192+K188+K182+K178+K173+K169+K158+K144+K120+K115+K111+K107+K103+K79+K75+K71+K42+K28+K24+K20+K16+K12+K161+K31+K593+K596+K599+K602+K605+K165+K83+K608+K611+K395+K614+K647+K650+K537</f>
        <v>8878</v>
      </c>
      <c r="L662" s="1096">
        <f t="shared" si="9"/>
        <v>847738</v>
      </c>
      <c r="M662" s="1096">
        <f t="shared" si="9"/>
        <v>6863</v>
      </c>
      <c r="N662" s="1543">
        <f t="shared" si="9"/>
        <v>3050740</v>
      </c>
      <c r="O662" s="1435"/>
      <c r="P662" s="8"/>
    </row>
    <row r="663" spans="1:16" s="13" customFormat="1" ht="22.5" customHeight="1" thickTop="1" x14ac:dyDescent="0.35">
      <c r="A663" s="229">
        <v>656</v>
      </c>
      <c r="B663" s="57"/>
      <c r="C663" s="58"/>
      <c r="D663" s="1710" t="s">
        <v>105</v>
      </c>
      <c r="E663" s="1711"/>
      <c r="F663" s="1711"/>
      <c r="G663" s="1712"/>
      <c r="H663" s="234"/>
      <c r="I663" s="1011"/>
      <c r="J663" s="588"/>
      <c r="K663" s="588"/>
      <c r="L663" s="588"/>
      <c r="M663" s="588"/>
      <c r="N663" s="599"/>
      <c r="O663" s="650"/>
      <c r="P663" s="8"/>
    </row>
    <row r="664" spans="1:16" s="488" customFormat="1" ht="18" customHeight="1" x14ac:dyDescent="0.35">
      <c r="A664" s="229">
        <v>657</v>
      </c>
      <c r="B664" s="457"/>
      <c r="C664" s="458"/>
      <c r="D664" s="1713" t="s">
        <v>268</v>
      </c>
      <c r="E664" s="1714"/>
      <c r="F664" s="1714"/>
      <c r="G664" s="1715"/>
      <c r="H664" s="461"/>
      <c r="I664" s="590">
        <f>SUM(J664:N664)</f>
        <v>6532379</v>
      </c>
      <c r="J664" s="453">
        <f>J535+J530+J526+J522+J514+J510+J506+J502+J498+J494+J490+J486+J482+J478+J474+J470+J466+J462+J458+J453+J449+J445+J441+J432+J428+J424+J420+J416+J408+J370+J362+J358+J354+J350+J342+J338+J317+J313+J309+J305+J301+J285+J245+J237+J233+J229+J180+J176+J171+J10</f>
        <v>155727</v>
      </c>
      <c r="K664" s="453">
        <f>K535+K530+K526+K522+K514+K510+K506+K502+K498+K494+K490+K486+K482+K478+K474+K470+K466+K462+K458+K453+K449+K445+K441+K432+K428+K424+K420+K416+K408+K370+K362+K358+K354+K350+K342+K338+K317+K313+K309+K305+K301+K285+K245+K237+K233+K229+K180+K176+K171+K10</f>
        <v>20371</v>
      </c>
      <c r="L664" s="453">
        <f>L535+L530+L526+L522+L514+L510+L506+L502+L498+L494+L490+L486+L482+L478+L474+L470+L466+L462+L458+L453+L449+L445+L441+L432+L428+L424+L420+L416+L408+L370+L362+L358+L354+L350+L342+L338+L317+L313+L309+L305+L301+L285+L245+L237+L233+L229+L180+L176+L171+L10</f>
        <v>1516457</v>
      </c>
      <c r="M664" s="453">
        <f>M535+M530+M526+M522+M514+M510+M506+M502+M498+M494+M490+M486+M482+M478+M474+M470+M466+M462+M458+M453+M449+M445+M441+M432+M428+M424+M420+M416+M408+M370+M362+M358+M354+M350+M342+M338+M317+M313+M309+M305+M301+M285+M245+M237+M233+M229+M180+M176+M171+M10</f>
        <v>10600</v>
      </c>
      <c r="N664" s="454">
        <f>N535+N530+N526+N522+N514+N510+N506+N502+N498+N494+N490+N486+N482+N478+N474+N470+N466+N462+N458+N453+N449+N445+N441+N432+N428+N424+N420+N416+N408+N370+N362+N358+N354+N350+N342+N338+N317+N313+N309+N305+N301+N285+N245+N237+N233+N229+N180+N176+N171+N10</f>
        <v>4829224</v>
      </c>
      <c r="O664" s="462"/>
      <c r="P664" s="462"/>
    </row>
    <row r="665" spans="1:16" s="488" customFormat="1" ht="18" customHeight="1" x14ac:dyDescent="0.35">
      <c r="A665" s="229">
        <v>658</v>
      </c>
      <c r="B665" s="457"/>
      <c r="C665" s="458"/>
      <c r="D665" s="1725" t="s">
        <v>796</v>
      </c>
      <c r="E665" s="1726"/>
      <c r="F665" s="1726"/>
      <c r="G665" s="1727"/>
      <c r="H665" s="461"/>
      <c r="I665" s="977">
        <f>SUM(J665:N665)</f>
        <v>7727818</v>
      </c>
      <c r="J665" s="982">
        <f>J536+J531+J527+J523+J515+J511+J507+J503+J499+J495+J491+J487+J483+J479+J475+J471+J467+J463+J459+J454+J450+J446+J442+J433+J429+J425+J421+J417+J409+J371+J363+J359+J355+J351+J343+J339+J318+J314+J310+J306+J302+J286+J246+J238+J234+J230+J181+J177+J172+J11+J607+J649+J646</f>
        <v>208080</v>
      </c>
      <c r="K665" s="982">
        <f>K536+K531+K527+K523+K515+K511+K507+K503+K499+K495+K491+K487+K483+K479+K475+K471+K467+K463+K459+K454+K450+K446+K442+K433+K429+K425+K421+K417+K409+K371+K363+K359+K355+K351+K343+K339+K318+K314+K310+K306+K302+K286+K246+K238+K234+K230+K181+K177+K172+K11+K607+K649+K646</f>
        <v>37898</v>
      </c>
      <c r="L665" s="982">
        <f>L536+L531+L527+L523+L515+L511+L507+L503+L499+L495+L491+L487+L483+L479+L475+L471+L467+L463+L459+L454+L450+L446+L442+L433+L429+L425+L421+L417+L409+L371+L363+L359+L355+L351+L343+L339+L318+L314+L310+L306+L302+L286+L246+L238+L234+L230+L181+L177+L172+L11+L607+L649+L646</f>
        <v>2178333</v>
      </c>
      <c r="M665" s="982">
        <f>M536+M531+M527+M523+M515+M511+M507+M503+M499+M495+M491+M487+M483+M479+M475+M471+M467+M463+M459+M454+M450+M446+M442+M433+M429+M425+M421+M417+M409+M371+M363+M359+M355+M351+M343+M339+M318+M314+M310+M306+M302+M286+M246+M238+M234+M230+M181+M177+M172+M11+M607+M649+M646</f>
        <v>14179</v>
      </c>
      <c r="N665" s="983">
        <f>N536+N531+N527+N523+N515+N511+N507+N503+N499+N495+N491+N487+N483+N479+N475+N471+N467+N463+N459+N454+N450+N446+N442+N433+N429+N425+N421+N417+N409+N371+N363+N359+N355+N351+N343+N339+N318+N314+N310+N306+N302+N286+N246+N238+N234+N230+N181+N177+N172+N11+N607+N649+N646</f>
        <v>5289328</v>
      </c>
      <c r="O665" s="462"/>
      <c r="P665" s="462"/>
    </row>
    <row r="666" spans="1:16" s="488" customFormat="1" ht="18" customHeight="1" x14ac:dyDescent="0.35">
      <c r="A666" s="229">
        <v>659</v>
      </c>
      <c r="B666" s="457"/>
      <c r="C666" s="458"/>
      <c r="D666" s="1728" t="s">
        <v>860</v>
      </c>
      <c r="E666" s="1729"/>
      <c r="F666" s="1729"/>
      <c r="G666" s="1730"/>
      <c r="H666" s="461"/>
      <c r="I666" s="980">
        <f>SUM(J666:N666)</f>
        <v>3466987</v>
      </c>
      <c r="J666" s="985">
        <f>J537+J532+J528+J524+J516+J512+J508+J504+J500+J496+J492+J488+J484+J480+J476+J472+J468+J464+J460+J455+J451+J447+J443+J434+J430+J426+J422+J418+J410+J372+J364+J360+J356+J352+J344+J340+J319+J315+J311+J307+J303+J287+J247+J239+J235+J231+J182+J178+J173+J12+J608+J647+J650</f>
        <v>69167</v>
      </c>
      <c r="K666" s="985">
        <f t="shared" ref="K666:N666" si="10">K537+K532+K528+K524+K516+K512+K508+K504+K500+K496+K492+K488+K484+K480+K476+K472+K468+K464+K460+K455+K451+K447+K443+K434+K430+K426+K422+K418+K410+K372+K364+K360+K356+K352+K344+K340+K319+K315+K311+K307+K303+K287+K247+K239+K235+K231+K182+K178+K173+K12+K608+K647+K650</f>
        <v>7956</v>
      </c>
      <c r="L666" s="985">
        <f t="shared" si="10"/>
        <v>665642</v>
      </c>
      <c r="M666" s="985">
        <f t="shared" si="10"/>
        <v>2758</v>
      </c>
      <c r="N666" s="986">
        <f t="shared" si="10"/>
        <v>2721464</v>
      </c>
      <c r="O666" s="462"/>
      <c r="P666" s="462"/>
    </row>
    <row r="667" spans="1:16" s="13" customFormat="1" ht="22.5" customHeight="1" x14ac:dyDescent="0.35">
      <c r="A667" s="229">
        <v>660</v>
      </c>
      <c r="B667" s="59"/>
      <c r="C667" s="60"/>
      <c r="D667" s="1716" t="s">
        <v>106</v>
      </c>
      <c r="E667" s="1717"/>
      <c r="F667" s="1717"/>
      <c r="G667" s="1718"/>
      <c r="H667" s="1009"/>
      <c r="I667" s="742"/>
      <c r="J667" s="573"/>
      <c r="K667" s="573"/>
      <c r="L667" s="573"/>
      <c r="M667" s="573"/>
      <c r="N667" s="574"/>
      <c r="O667" s="1435"/>
      <c r="P667" s="8"/>
    </row>
    <row r="668" spans="1:16" s="492" customFormat="1" ht="18" customHeight="1" x14ac:dyDescent="0.3">
      <c r="A668" s="229">
        <v>661</v>
      </c>
      <c r="B668" s="1004"/>
      <c r="C668" s="1005"/>
      <c r="D668" s="1719" t="s">
        <v>268</v>
      </c>
      <c r="E668" s="1720"/>
      <c r="F668" s="1720"/>
      <c r="G668" s="1721"/>
      <c r="H668" s="1006"/>
      <c r="I668" s="590">
        <f>SUM(J668:N668)</f>
        <v>1202395</v>
      </c>
      <c r="J668" s="1007">
        <f>J588+J584+J580+J576+J572+J568+J564+J559+J518+J436+J412+J398+J390+J385+J381+J374+J366+J346+J333+J326+J321+J297+J293+J289+J281+J277+J273+J269+J265+J261+J257+J253+J249+J225+J208+J194+J190+J186+J167+J156+J142+J118+J113+J109+J105+J101+J77+J73+J69+J40+J26+J22+J18+J14+J402</f>
        <v>11374</v>
      </c>
      <c r="K668" s="1007">
        <f>K588+K584+K580+K576+K572+K568+K564+K559+K518+K436+K412+K398+K390+K385+K381+K374+K366+K346+K333+K326+K321+K297+K293+K289+K281+K277+K273+K269+K265+K261+K257+K253+K249+K225+K208+K194+K190+K186+K167+K156+K142+K118+K113+K109+K105+K101+K77+K73+K69+K40+K26+K22+K18+K14+K402</f>
        <v>1287</v>
      </c>
      <c r="L668" s="1007">
        <f>L588+L584+L580+L576+L572+L568+L564+L559+L518+L436+L412+L398+L390+L385+L381+L374+L366+L346+L333+L326+L321+L297+L293+L289+L281+L277+L273+L269+L265+L261+L257+L253+L249+L225+L208+L194+L190+L186+L167+L156+L142+L118+L113+L109+L105+L101+L77+L73+L69+L40+L26+L22+L18+L14+L402</f>
        <v>566287</v>
      </c>
      <c r="M668" s="1007">
        <f>M588+M584+M580+M576+M572+M568+M564+M559+M518+M436+M412+M398+M390+M385+M381+M374+M366+M346+M333+M326+M321+M297+M293+M289+M281+M277+M273+M269+M265+M261+M257+M253+M249+M225+M208+M194+M190+M186+M167+M156+M142+M118+M113+M109+M105+M101+M77+M73+M69+M40+M26+M22+M18+M14+M402</f>
        <v>30110</v>
      </c>
      <c r="N668" s="1397">
        <f>N588+N584+N580+N576+N572+N568+N564+N559+N518+N436+N412+N398+N390+N385+N381+N374+N366+N346+N333+N326+N321+N297+N293+N289+N281+N277+N273+N269+N265+N261+N257+N253+N249+N225+N208+N194+N190+N186+N167+N156+N142+N118+N113+N109+N105+N101+N77+N73+N69+N40+N26+N22+N18+N14+N402</f>
        <v>593337</v>
      </c>
      <c r="O668" s="491"/>
      <c r="P668" s="462"/>
    </row>
    <row r="669" spans="1:16" s="492" customFormat="1" ht="18" customHeight="1" x14ac:dyDescent="0.3">
      <c r="A669" s="229">
        <v>662</v>
      </c>
      <c r="B669" s="457"/>
      <c r="C669" s="458"/>
      <c r="D669" s="1725" t="s">
        <v>796</v>
      </c>
      <c r="E669" s="1726"/>
      <c r="F669" s="1726"/>
      <c r="G669" s="1727"/>
      <c r="H669" s="1008"/>
      <c r="I669" s="1012">
        <f>SUM(J669:N669)</f>
        <v>1359706</v>
      </c>
      <c r="J669" s="1326">
        <f>J589+J585+J581+J577+J573+J569+J565+J560+J519+J437+J413+J399+J391+J386+J382+J375+J367+J347+J334+J327+J322+J298+J294+J290+J282+J278+J274+J270+J266+J262+J258+J254+J250+J226+J209+J195+J191+J187+J168+J157+J143+J119+J114+J110+J106+J102+J78+J74+J70+J41+J27+J23+J19+J15+J403+J604+J601+J598+J595+J592+J330+J164+J82+J30+J613+J610+J394</f>
        <v>11766</v>
      </c>
      <c r="K669" s="1326">
        <f>K589+K585+K581+K577+K573+K569+K565+K560+K519+K437+K413+K399+K391+K386+K382+K375+K367+K347+K334+K327+K322+K298+K294+K290+K282+K278+K274+K270+K266+K262+K258+K254+K250+K226+K209+K195+K191+K187+K168+K157+K143+K119+K114+K110+K106+K102+K78+K74+K70+K41+K27+K23+K19+K15+K403+K604+K601+K598+K595+K592+K330+K164+K82+K30+K613+K610+K394</f>
        <v>1367</v>
      </c>
      <c r="L669" s="1326">
        <f>L589+L585+L581+L577+L573+L569+L565+L560+L519+L437+L413+L399+L391+L386+L382+L375+L367+L347+L334+L327+L322+L298+L294+L290+L282+L278+L274+L270+L266+L262+L258+L254+L250+L226+L209+L195+L191+L187+L168+L157+L143+L119+L114+L110+L106+L102+L78+L74+L70+L41+L27+L23+L19+L15+L403+L604+L601+L598+L595+L592+L330+L164+L82+L30+L613+L610+L394</f>
        <v>753635</v>
      </c>
      <c r="M669" s="1326">
        <f>M589+M585+M581+M577+M573+M569+M565+M560+M519+M437+M413+M399+M391+M386+M382+M375+M367+M347+M334+M327+M322+M298+M294+M290+M282+M278+M274+M270+M266+M262+M258+M254+M250+M226+M209+M195+M191+M187+M168+M157+M143+M119+M114+M110+M106+M102+M78+M74+M70+M41+M27+M23+M19+M15+M403+M604+M601+M598+M595+M592+M330+M164+M82+M30+M613+M610+M394</f>
        <v>53037</v>
      </c>
      <c r="N669" s="1398">
        <f>N589+N585+N581+N577+N573+N569+N565+N560+N519+N437+N413+N399+N391+N386+N382+N375+N367+N347+N334+N327+N322+N298+N294+N290+N282+N278+N274+N270+N266+N262+N258+N254+N250+N226+N209+N195+N191+N187+N168+N157+N143+N119+N114+N110+N106+N102+N78+N74+N70+N41+N27+N23+N19+N15+N403+N604+N601+N598+N595+N592+N330+N164+N82+N30+N613+N610+N394</f>
        <v>539901</v>
      </c>
      <c r="O669" s="491"/>
      <c r="P669" s="462"/>
    </row>
    <row r="670" spans="1:16" s="492" customFormat="1" ht="18" customHeight="1" thickBot="1" x14ac:dyDescent="0.35">
      <c r="A670" s="229">
        <v>663</v>
      </c>
      <c r="B670" s="489"/>
      <c r="C670" s="490"/>
      <c r="D670" s="1731" t="s">
        <v>860</v>
      </c>
      <c r="E670" s="1732"/>
      <c r="F670" s="1732"/>
      <c r="G670" s="1733"/>
      <c r="H670" s="1010"/>
      <c r="I670" s="1437">
        <f>SUM(J670:N670)</f>
        <v>519178</v>
      </c>
      <c r="J670" s="1438">
        <f>J590+J586+J582+J578+J574+J570+J566+J561+J520+J438+J414+J400+J392+J387+J383+J376+J368+J348+J335+J328+J323+J299+J295+J291+J283+J279+J275+J271+J267+J263+J259+J255+J251+J227+J210+J196+J192+J188+J169+J158+J144+J120+J115+J111+J107+J103+J79+J75+J71+J42+J28+J24+J20+J16+J404+J31+J602+J599+J596+J593+J331+J605+J165+J83+J161+J611+J395+J614</f>
        <v>2779</v>
      </c>
      <c r="K670" s="1438">
        <f t="shared" ref="K670:N670" si="11">K590+K586+K582+K578+K574+K570+K566+K561+K520+K438+K414+K400+K392+K387+K383+K376+K368+K348+K335+K328+K323+K299+K295+K291+K283+K279+K275+K271+K267+K263+K259+K255+K251+K227+K210+K196+K192+K188+K169+K158+K144+K120+K115+K111+K107+K103+K79+K75+K71+K42+K28+K24+K20+K16+K404+K31+K602+K599+K596+K593+K331+K605+K165+K83+K161+K611+K395+K614</f>
        <v>922</v>
      </c>
      <c r="L670" s="1438">
        <f t="shared" si="11"/>
        <v>182096</v>
      </c>
      <c r="M670" s="1438">
        <f t="shared" si="11"/>
        <v>4105</v>
      </c>
      <c r="N670" s="1544">
        <f t="shared" si="11"/>
        <v>329276</v>
      </c>
      <c r="O670" s="491"/>
      <c r="P670" s="462"/>
    </row>
    <row r="671" spans="1:16" ht="18" customHeight="1" x14ac:dyDescent="0.3">
      <c r="A671" s="230"/>
      <c r="B671" s="1690" t="s">
        <v>27</v>
      </c>
      <c r="C671" s="1690"/>
      <c r="D671" s="1690"/>
      <c r="E671" s="71"/>
      <c r="F671" s="71"/>
      <c r="G671" s="71"/>
      <c r="H671" s="17"/>
      <c r="I671" s="72"/>
      <c r="J671" s="71"/>
      <c r="K671" s="71"/>
      <c r="L671" s="71"/>
      <c r="M671" s="71"/>
      <c r="N671" s="71"/>
    </row>
    <row r="672" spans="1:16" ht="18" customHeight="1" x14ac:dyDescent="0.3">
      <c r="A672" s="230"/>
      <c r="B672" s="238" t="s">
        <v>28</v>
      </c>
      <c r="C672" s="238"/>
      <c r="D672" s="238"/>
      <c r="E672" s="71"/>
      <c r="F672" s="71"/>
      <c r="G672" s="71"/>
      <c r="H672" s="17"/>
      <c r="I672" s="72"/>
      <c r="J672" s="71"/>
      <c r="K672" s="71"/>
      <c r="L672" s="71"/>
      <c r="M672" s="71"/>
      <c r="N672" s="71"/>
    </row>
    <row r="673" spans="1:15" ht="18" customHeight="1" x14ac:dyDescent="0.3">
      <c r="A673" s="230"/>
      <c r="B673" s="1690" t="s">
        <v>29</v>
      </c>
      <c r="C673" s="1690"/>
      <c r="D673" s="1690"/>
      <c r="E673" s="71"/>
      <c r="F673" s="71"/>
      <c r="G673" s="71"/>
      <c r="H673" s="17"/>
      <c r="I673" s="72"/>
      <c r="J673" s="71"/>
      <c r="K673" s="71"/>
      <c r="L673" s="71"/>
      <c r="M673" s="71"/>
      <c r="N673" s="71"/>
    </row>
    <row r="674" spans="1:15" ht="18" customHeight="1" x14ac:dyDescent="0.3">
      <c r="I674" s="4"/>
    </row>
    <row r="675" spans="1:15" ht="18" customHeight="1" x14ac:dyDescent="0.35"/>
    <row r="676" spans="1:15" ht="18" customHeight="1" x14ac:dyDescent="0.35"/>
    <row r="677" spans="1:15" s="5" customFormat="1" ht="18" customHeight="1" x14ac:dyDescent="0.35">
      <c r="A677" s="229"/>
      <c r="B677" s="3"/>
      <c r="C677" s="7"/>
      <c r="D677" s="11"/>
      <c r="E677" s="4"/>
      <c r="F677" s="4"/>
      <c r="G677" s="4"/>
      <c r="H677" s="3"/>
      <c r="J677" s="4"/>
      <c r="K677" s="4"/>
      <c r="L677" s="4"/>
      <c r="M677" s="4"/>
      <c r="N677" s="4"/>
      <c r="O677" s="4"/>
    </row>
    <row r="678" spans="1:15" s="5" customFormat="1" ht="18" customHeight="1" x14ac:dyDescent="0.35">
      <c r="A678" s="229"/>
      <c r="B678" s="3"/>
      <c r="C678" s="7"/>
      <c r="D678" s="11"/>
      <c r="E678" s="4"/>
      <c r="F678" s="4"/>
      <c r="G678" s="4"/>
      <c r="H678" s="3"/>
      <c r="J678" s="4"/>
      <c r="K678" s="4"/>
      <c r="L678" s="4"/>
      <c r="M678" s="4"/>
      <c r="N678" s="4"/>
      <c r="O678" s="4"/>
    </row>
    <row r="679" spans="1:15" s="5" customFormat="1" ht="18" customHeight="1" x14ac:dyDescent="0.35">
      <c r="A679" s="229"/>
      <c r="B679" s="3"/>
      <c r="C679" s="7"/>
      <c r="D679" s="11"/>
      <c r="E679" s="4"/>
      <c r="F679" s="4"/>
      <c r="G679" s="4"/>
      <c r="H679" s="3"/>
      <c r="J679" s="4"/>
      <c r="K679" s="4"/>
      <c r="L679" s="4"/>
      <c r="M679" s="4"/>
      <c r="N679" s="4"/>
      <c r="O679" s="4"/>
    </row>
    <row r="680" spans="1:15" s="5" customFormat="1" ht="18" customHeight="1" x14ac:dyDescent="0.35">
      <c r="A680" s="229"/>
      <c r="B680" s="3"/>
      <c r="C680" s="7"/>
      <c r="D680" s="11"/>
      <c r="E680" s="4"/>
      <c r="F680" s="4"/>
      <c r="G680" s="4"/>
      <c r="H680" s="3"/>
      <c r="J680" s="4"/>
      <c r="K680" s="4"/>
      <c r="L680" s="4"/>
      <c r="M680" s="4"/>
      <c r="N680" s="4"/>
      <c r="O680" s="4"/>
    </row>
    <row r="681" spans="1:15" s="5" customFormat="1" ht="18" customHeight="1" x14ac:dyDescent="0.35">
      <c r="A681" s="229"/>
      <c r="B681" s="3"/>
      <c r="C681" s="7"/>
      <c r="D681" s="11"/>
      <c r="E681" s="4"/>
      <c r="F681" s="4"/>
      <c r="G681" s="4"/>
      <c r="H681" s="3"/>
      <c r="J681" s="4"/>
      <c r="K681" s="4"/>
      <c r="L681" s="4"/>
      <c r="M681" s="4"/>
      <c r="N681" s="4"/>
      <c r="O681" s="4"/>
    </row>
    <row r="682" spans="1:15" s="5" customFormat="1" ht="18" customHeight="1" x14ac:dyDescent="0.35">
      <c r="A682" s="229"/>
      <c r="B682" s="3"/>
      <c r="C682" s="7"/>
      <c r="D682" s="12"/>
      <c r="E682" s="4"/>
      <c r="F682" s="4"/>
      <c r="G682" s="4"/>
      <c r="H682" s="3"/>
      <c r="J682" s="4"/>
      <c r="K682" s="4"/>
      <c r="L682" s="4"/>
      <c r="M682" s="4"/>
      <c r="N682" s="4"/>
      <c r="O682" s="4"/>
    </row>
    <row r="683" spans="1:15" s="5" customFormat="1" ht="18" customHeight="1" x14ac:dyDescent="0.35">
      <c r="A683" s="229"/>
      <c r="B683" s="3"/>
      <c r="C683" s="7"/>
      <c r="D683" s="12"/>
      <c r="E683" s="4"/>
      <c r="F683" s="4"/>
      <c r="G683" s="4"/>
      <c r="H683" s="3"/>
      <c r="J683" s="4"/>
      <c r="K683" s="4"/>
      <c r="L683" s="4"/>
      <c r="M683" s="4"/>
      <c r="N683" s="4"/>
      <c r="O683" s="4"/>
    </row>
    <row r="684" spans="1:15" s="5" customFormat="1" ht="18" customHeight="1" x14ac:dyDescent="0.35">
      <c r="A684" s="229"/>
      <c r="B684" s="3"/>
      <c r="C684" s="7"/>
      <c r="D684" s="11"/>
      <c r="E684" s="4"/>
      <c r="F684" s="4"/>
      <c r="G684" s="4"/>
      <c r="H684" s="3"/>
      <c r="J684" s="4"/>
      <c r="K684" s="4"/>
      <c r="L684" s="4"/>
      <c r="M684" s="4"/>
      <c r="N684" s="4"/>
      <c r="O684" s="4"/>
    </row>
    <row r="685" spans="1:15" s="5" customFormat="1" ht="18" customHeight="1" x14ac:dyDescent="0.35">
      <c r="A685" s="229"/>
      <c r="B685" s="3"/>
      <c r="C685" s="7"/>
      <c r="D685" s="11"/>
      <c r="E685" s="4"/>
      <c r="F685" s="4"/>
      <c r="G685" s="4"/>
      <c r="H685" s="3"/>
      <c r="J685" s="4"/>
      <c r="K685" s="4"/>
      <c r="L685" s="4"/>
      <c r="M685" s="4"/>
      <c r="N685" s="4"/>
      <c r="O685" s="4"/>
    </row>
    <row r="686" spans="1:15" s="5" customFormat="1" ht="18" customHeight="1" x14ac:dyDescent="0.35">
      <c r="A686" s="229"/>
      <c r="B686" s="3"/>
      <c r="C686" s="7"/>
      <c r="D686" s="11"/>
      <c r="E686" s="4"/>
      <c r="F686" s="4"/>
      <c r="G686" s="4"/>
      <c r="H686" s="3"/>
      <c r="J686" s="4"/>
      <c r="K686" s="4"/>
      <c r="L686" s="4"/>
      <c r="M686" s="4"/>
      <c r="N686" s="4"/>
      <c r="O686" s="4"/>
    </row>
    <row r="687" spans="1:15" s="5" customFormat="1" ht="18" customHeight="1" x14ac:dyDescent="0.35">
      <c r="A687" s="229"/>
      <c r="B687" s="3"/>
      <c r="C687" s="7"/>
      <c r="D687" s="11"/>
      <c r="E687" s="4"/>
      <c r="F687" s="4"/>
      <c r="G687" s="4"/>
      <c r="H687" s="3"/>
      <c r="J687" s="4"/>
      <c r="K687" s="4"/>
      <c r="L687" s="4"/>
      <c r="M687" s="4"/>
      <c r="N687" s="4"/>
      <c r="O687" s="4"/>
    </row>
    <row r="688" spans="1:15" s="5" customFormat="1" ht="18" customHeight="1" x14ac:dyDescent="0.35">
      <c r="A688" s="229"/>
      <c r="B688" s="3"/>
      <c r="C688" s="7"/>
      <c r="D688" s="11"/>
      <c r="E688" s="4"/>
      <c r="F688" s="4"/>
      <c r="G688" s="4"/>
      <c r="H688" s="3"/>
      <c r="J688" s="4"/>
      <c r="K688" s="4"/>
      <c r="L688" s="4"/>
      <c r="M688" s="4"/>
      <c r="N688" s="4"/>
      <c r="O688" s="4"/>
    </row>
    <row r="689" spans="1:15" s="5" customFormat="1" ht="18" customHeight="1" x14ac:dyDescent="0.35">
      <c r="A689" s="229"/>
      <c r="B689" s="3"/>
      <c r="C689" s="7"/>
      <c r="D689" s="11"/>
      <c r="E689" s="4"/>
      <c r="F689" s="4"/>
      <c r="G689" s="4"/>
      <c r="H689" s="3"/>
      <c r="J689" s="4"/>
      <c r="K689" s="4"/>
      <c r="L689" s="4"/>
      <c r="M689" s="4"/>
      <c r="N689" s="4"/>
      <c r="O689" s="4"/>
    </row>
    <row r="690" spans="1:15" s="5" customFormat="1" ht="18" customHeight="1" x14ac:dyDescent="0.35">
      <c r="A690" s="229"/>
      <c r="B690" s="3"/>
      <c r="C690" s="7"/>
      <c r="D690" s="11"/>
      <c r="E690" s="4"/>
      <c r="F690" s="4"/>
      <c r="G690" s="4"/>
      <c r="H690" s="3"/>
      <c r="J690" s="4"/>
      <c r="K690" s="4"/>
      <c r="L690" s="4"/>
      <c r="M690" s="4"/>
      <c r="N690" s="4"/>
      <c r="O690" s="4"/>
    </row>
    <row r="691" spans="1:15" s="5" customFormat="1" ht="18" customHeight="1" x14ac:dyDescent="0.35">
      <c r="A691" s="229"/>
      <c r="B691" s="3"/>
      <c r="C691" s="7"/>
      <c r="D691" s="11"/>
      <c r="E691" s="4"/>
      <c r="F691" s="4"/>
      <c r="G691" s="4"/>
      <c r="H691" s="3"/>
      <c r="J691" s="4"/>
      <c r="K691" s="4"/>
      <c r="L691" s="4"/>
      <c r="M691" s="4"/>
      <c r="N691" s="4"/>
      <c r="O691" s="4"/>
    </row>
    <row r="692" spans="1:15" s="5" customFormat="1" ht="18" customHeight="1" x14ac:dyDescent="0.35">
      <c r="A692" s="229"/>
      <c r="B692" s="3"/>
      <c r="C692" s="7"/>
      <c r="D692" s="11"/>
      <c r="E692" s="4"/>
      <c r="F692" s="4"/>
      <c r="G692" s="4"/>
      <c r="H692" s="3"/>
      <c r="J692" s="4"/>
      <c r="K692" s="4"/>
      <c r="L692" s="4"/>
      <c r="M692" s="4"/>
      <c r="N692" s="4"/>
      <c r="O692" s="4"/>
    </row>
    <row r="693" spans="1:15" ht="18" customHeight="1" x14ac:dyDescent="0.35"/>
    <row r="694" spans="1:15" ht="18" customHeight="1" x14ac:dyDescent="0.35"/>
    <row r="695" spans="1:15" ht="18" customHeight="1" x14ac:dyDescent="0.35"/>
    <row r="696" spans="1:15" ht="18" customHeight="1" x14ac:dyDescent="0.35"/>
    <row r="697" spans="1:15" ht="18" customHeight="1" x14ac:dyDescent="0.35"/>
    <row r="698" spans="1:15" ht="18" customHeight="1" x14ac:dyDescent="0.35"/>
    <row r="699" spans="1:15" ht="18" customHeight="1" x14ac:dyDescent="0.35"/>
    <row r="700" spans="1:15" ht="18" customHeight="1" x14ac:dyDescent="0.35"/>
    <row r="701" spans="1:15" ht="18" customHeight="1" x14ac:dyDescent="0.35"/>
    <row r="702" spans="1:15" ht="18" customHeight="1" x14ac:dyDescent="0.35"/>
    <row r="703" spans="1:15" ht="18" customHeight="1" x14ac:dyDescent="0.35"/>
    <row r="704" spans="1:15" ht="18" customHeight="1" x14ac:dyDescent="0.35"/>
    <row r="705" spans="1:14" ht="18" customHeight="1" x14ac:dyDescent="0.35"/>
    <row r="706" spans="1:14" ht="18" customHeight="1" x14ac:dyDescent="0.35"/>
    <row r="707" spans="1:14" ht="18" customHeight="1" x14ac:dyDescent="0.35"/>
    <row r="708" spans="1:14" ht="18" customHeight="1" x14ac:dyDescent="0.35">
      <c r="D708" s="14"/>
      <c r="E708" s="3"/>
      <c r="F708" s="3"/>
      <c r="G708" s="3"/>
      <c r="I708" s="13"/>
      <c r="J708" s="3"/>
      <c r="K708" s="3"/>
      <c r="L708" s="3"/>
      <c r="M708" s="3"/>
      <c r="N708" s="3"/>
    </row>
    <row r="709" spans="1:14" ht="18" customHeight="1" x14ac:dyDescent="0.35">
      <c r="D709" s="14"/>
      <c r="E709" s="3"/>
      <c r="F709" s="3"/>
      <c r="G709" s="3"/>
      <c r="I709" s="13"/>
      <c r="J709" s="3"/>
      <c r="K709" s="3"/>
      <c r="L709" s="3"/>
      <c r="M709" s="3"/>
      <c r="N709" s="3"/>
    </row>
    <row r="710" spans="1:14" ht="18" customHeight="1" x14ac:dyDescent="0.35">
      <c r="D710" s="14"/>
      <c r="E710" s="3"/>
      <c r="F710" s="3"/>
      <c r="G710" s="3"/>
      <c r="I710" s="13"/>
      <c r="J710" s="3"/>
      <c r="K710" s="3"/>
      <c r="L710" s="3"/>
      <c r="M710" s="3"/>
      <c r="N710" s="3"/>
    </row>
    <row r="711" spans="1:14" ht="18" customHeight="1" x14ac:dyDescent="0.35">
      <c r="D711" s="14"/>
      <c r="E711" s="3"/>
      <c r="F711" s="3"/>
      <c r="G711" s="3"/>
      <c r="I711" s="13"/>
      <c r="J711" s="3"/>
      <c r="K711" s="3"/>
      <c r="L711" s="3"/>
      <c r="M711" s="3"/>
      <c r="N711" s="3"/>
    </row>
    <row r="712" spans="1:14" ht="18" customHeight="1" x14ac:dyDescent="0.35"/>
    <row r="713" spans="1:14" ht="18" customHeight="1" x14ac:dyDescent="0.35"/>
    <row r="714" spans="1:14" ht="18" customHeight="1" x14ac:dyDescent="0.35"/>
    <row r="715" spans="1:14" ht="18" customHeight="1" x14ac:dyDescent="0.35"/>
    <row r="716" spans="1:14" ht="18" customHeight="1" x14ac:dyDescent="0.35"/>
    <row r="717" spans="1:14" ht="18" customHeight="1" x14ac:dyDescent="0.35">
      <c r="D717" s="12"/>
    </row>
    <row r="718" spans="1:14" ht="18" customHeight="1" x14ac:dyDescent="0.35">
      <c r="D718" s="12"/>
    </row>
    <row r="719" spans="1:14" s="5" customFormat="1" ht="18" customHeight="1" x14ac:dyDescent="0.35">
      <c r="A719" s="229"/>
      <c r="B719" s="3"/>
      <c r="C719" s="7"/>
      <c r="D719" s="12"/>
      <c r="E719" s="4"/>
      <c r="F719" s="4"/>
      <c r="G719" s="4"/>
      <c r="H719" s="3"/>
      <c r="J719" s="4"/>
      <c r="K719" s="4"/>
      <c r="L719" s="4"/>
      <c r="M719" s="4"/>
      <c r="N719" s="4"/>
    </row>
    <row r="720" spans="1:14" s="5" customFormat="1" ht="18" customHeight="1" x14ac:dyDescent="0.35">
      <c r="A720" s="229"/>
      <c r="B720" s="3"/>
      <c r="C720" s="7"/>
      <c r="D720" s="12"/>
      <c r="E720" s="4"/>
      <c r="F720" s="4"/>
      <c r="G720" s="4"/>
      <c r="H720" s="3"/>
      <c r="J720" s="4"/>
      <c r="K720" s="4"/>
      <c r="L720" s="4"/>
      <c r="M720" s="4"/>
      <c r="N720" s="4"/>
    </row>
    <row r="721" spans="1:14" s="5" customFormat="1" ht="18" customHeight="1" x14ac:dyDescent="0.35">
      <c r="A721" s="229"/>
      <c r="B721" s="3"/>
      <c r="C721" s="7"/>
      <c r="D721" s="12"/>
      <c r="E721" s="4"/>
      <c r="F721" s="4"/>
      <c r="G721" s="4"/>
      <c r="H721" s="3"/>
      <c r="J721" s="4"/>
      <c r="K721" s="4"/>
      <c r="L721" s="4"/>
      <c r="M721" s="4"/>
      <c r="N721" s="4"/>
    </row>
    <row r="722" spans="1:14" s="5" customFormat="1" ht="18" customHeight="1" x14ac:dyDescent="0.35">
      <c r="A722" s="229"/>
      <c r="B722" s="3"/>
      <c r="C722" s="7"/>
      <c r="D722" s="12"/>
      <c r="E722" s="4"/>
      <c r="F722" s="4"/>
      <c r="G722" s="4"/>
      <c r="H722" s="3"/>
      <c r="J722" s="4"/>
      <c r="K722" s="4"/>
      <c r="L722" s="4"/>
      <c r="M722" s="4"/>
      <c r="N722" s="4"/>
    </row>
    <row r="723" spans="1:14" s="5" customFormat="1" ht="18" customHeight="1" x14ac:dyDescent="0.35">
      <c r="A723" s="229"/>
      <c r="B723" s="3"/>
      <c r="C723" s="7"/>
      <c r="D723" s="12"/>
      <c r="E723" s="4"/>
      <c r="F723" s="4"/>
      <c r="G723" s="4"/>
      <c r="H723" s="3"/>
      <c r="J723" s="4"/>
      <c r="K723" s="4"/>
      <c r="L723" s="4"/>
      <c r="M723" s="4"/>
      <c r="N723" s="4"/>
    </row>
    <row r="724" spans="1:14" s="5" customFormat="1" ht="18" customHeight="1" x14ac:dyDescent="0.35">
      <c r="A724" s="229"/>
      <c r="B724" s="3"/>
      <c r="C724" s="7"/>
      <c r="D724" s="12"/>
      <c r="E724" s="4"/>
      <c r="F724" s="4"/>
      <c r="G724" s="4"/>
      <c r="H724" s="3"/>
      <c r="J724" s="4"/>
      <c r="K724" s="4"/>
      <c r="L724" s="4"/>
      <c r="M724" s="4"/>
      <c r="N724" s="4"/>
    </row>
    <row r="725" spans="1:14" s="5" customFormat="1" ht="18" customHeight="1" x14ac:dyDescent="0.35">
      <c r="A725" s="229"/>
      <c r="B725" s="3"/>
      <c r="C725" s="7"/>
      <c r="D725" s="12"/>
      <c r="E725" s="4"/>
      <c r="F725" s="4"/>
      <c r="G725" s="4"/>
      <c r="H725" s="3"/>
      <c r="J725" s="4"/>
      <c r="K725" s="4"/>
      <c r="L725" s="4"/>
      <c r="M725" s="4"/>
      <c r="N725" s="4"/>
    </row>
    <row r="726" spans="1:14" ht="18" customHeight="1" x14ac:dyDescent="0.35"/>
    <row r="727" spans="1:14" ht="18" customHeight="1" x14ac:dyDescent="0.35"/>
    <row r="728" spans="1:14" ht="18" customHeight="1" x14ac:dyDescent="0.35"/>
    <row r="729" spans="1:14" ht="18" customHeight="1" x14ac:dyDescent="0.35"/>
    <row r="730" spans="1:14" ht="18" customHeight="1" x14ac:dyDescent="0.35"/>
    <row r="731" spans="1:14" ht="18" customHeight="1" x14ac:dyDescent="0.35"/>
    <row r="732" spans="1:14" ht="18" customHeight="1" x14ac:dyDescent="0.35"/>
    <row r="733" spans="1:14" ht="18" customHeight="1" x14ac:dyDescent="0.35"/>
    <row r="734" spans="1:14" ht="18" customHeight="1" x14ac:dyDescent="0.35"/>
    <row r="735" spans="1:14" ht="18" customHeight="1" x14ac:dyDescent="0.35"/>
    <row r="736" spans="1:14" ht="18" customHeight="1" x14ac:dyDescent="0.35"/>
    <row r="737" spans="1:15" ht="18" customHeight="1" x14ac:dyDescent="0.35"/>
    <row r="738" spans="1:15" ht="18" customHeight="1" x14ac:dyDescent="0.35"/>
    <row r="739" spans="1:15" s="5" customFormat="1" ht="18" customHeight="1" x14ac:dyDescent="0.35">
      <c r="A739" s="229"/>
      <c r="B739" s="3"/>
      <c r="C739" s="7"/>
      <c r="D739" s="12"/>
      <c r="E739" s="4"/>
      <c r="F739" s="4"/>
      <c r="G739" s="4"/>
      <c r="H739" s="3"/>
      <c r="J739" s="4"/>
      <c r="K739" s="4"/>
      <c r="L739" s="4"/>
      <c r="M739" s="4"/>
      <c r="N739" s="4"/>
    </row>
    <row r="740" spans="1:15" ht="18" customHeight="1" x14ac:dyDescent="0.35"/>
    <row r="741" spans="1:15" s="5" customFormat="1" ht="18" customHeight="1" x14ac:dyDescent="0.35">
      <c r="A741" s="229"/>
      <c r="B741" s="3"/>
      <c r="C741" s="7"/>
      <c r="D741" s="11"/>
      <c r="E741" s="4"/>
      <c r="F741" s="4"/>
      <c r="G741" s="4"/>
      <c r="H741" s="3"/>
      <c r="J741" s="4"/>
      <c r="K741" s="4"/>
      <c r="L741" s="4"/>
      <c r="M741" s="4"/>
      <c r="N741" s="4"/>
      <c r="O741" s="4"/>
    </row>
    <row r="742" spans="1:15" s="5" customFormat="1" ht="18" customHeight="1" x14ac:dyDescent="0.35">
      <c r="A742" s="229"/>
      <c r="B742" s="3"/>
      <c r="C742" s="7"/>
      <c r="D742" s="11"/>
      <c r="E742" s="4"/>
      <c r="F742" s="4"/>
      <c r="G742" s="4"/>
      <c r="H742" s="3"/>
      <c r="J742" s="4"/>
      <c r="K742" s="4"/>
      <c r="L742" s="4"/>
      <c r="M742" s="4"/>
      <c r="N742" s="4"/>
      <c r="O742" s="4"/>
    </row>
    <row r="743" spans="1:15" s="5" customFormat="1" x14ac:dyDescent="0.35">
      <c r="A743" s="229"/>
      <c r="B743" s="3"/>
      <c r="C743" s="7"/>
      <c r="D743" s="11"/>
      <c r="E743" s="4"/>
      <c r="F743" s="4"/>
      <c r="G743" s="4"/>
      <c r="H743" s="3"/>
      <c r="J743" s="4"/>
      <c r="K743" s="4"/>
      <c r="L743" s="4"/>
      <c r="M743" s="4"/>
      <c r="N743" s="4"/>
      <c r="O743" s="4"/>
    </row>
    <row r="744" spans="1:15" s="5" customFormat="1" x14ac:dyDescent="0.35">
      <c r="A744" s="229"/>
      <c r="B744" s="3"/>
      <c r="C744" s="7"/>
      <c r="D744" s="11"/>
      <c r="E744" s="4"/>
      <c r="F744" s="4"/>
      <c r="G744" s="4"/>
      <c r="H744" s="3"/>
      <c r="J744" s="4"/>
      <c r="K744" s="4"/>
      <c r="L744" s="4"/>
      <c r="M744" s="4"/>
      <c r="N744" s="4"/>
      <c r="O744" s="4"/>
    </row>
    <row r="745" spans="1:15" s="5" customFormat="1" x14ac:dyDescent="0.35">
      <c r="A745" s="229"/>
      <c r="B745" s="3"/>
      <c r="C745" s="7"/>
      <c r="D745" s="11"/>
      <c r="E745" s="4"/>
      <c r="F745" s="4"/>
      <c r="G745" s="4"/>
      <c r="H745" s="3"/>
      <c r="J745" s="4"/>
      <c r="K745" s="4"/>
      <c r="L745" s="4"/>
      <c r="M745" s="4"/>
      <c r="N745" s="4"/>
      <c r="O745" s="4"/>
    </row>
    <row r="746" spans="1:15" s="5" customFormat="1" x14ac:dyDescent="0.35">
      <c r="A746" s="229"/>
      <c r="B746" s="3"/>
      <c r="C746" s="7"/>
      <c r="D746" s="11"/>
      <c r="E746" s="4"/>
      <c r="F746" s="4"/>
      <c r="G746" s="4"/>
      <c r="H746" s="3"/>
      <c r="J746" s="4"/>
      <c r="K746" s="4"/>
      <c r="L746" s="4"/>
      <c r="M746" s="4"/>
      <c r="N746" s="4"/>
      <c r="O746" s="4"/>
    </row>
    <row r="747" spans="1:15" s="5" customFormat="1" x14ac:dyDescent="0.35">
      <c r="A747" s="229"/>
      <c r="B747" s="3"/>
      <c r="C747" s="7"/>
      <c r="D747" s="11"/>
      <c r="E747" s="4"/>
      <c r="F747" s="4"/>
      <c r="G747" s="4"/>
      <c r="H747" s="3"/>
      <c r="J747" s="4"/>
      <c r="K747" s="4"/>
      <c r="L747" s="4"/>
      <c r="M747" s="4"/>
      <c r="N747" s="4"/>
      <c r="O747" s="4"/>
    </row>
    <row r="748" spans="1:15" s="5" customFormat="1" x14ac:dyDescent="0.35">
      <c r="A748" s="229"/>
      <c r="B748" s="3"/>
      <c r="C748" s="7"/>
      <c r="D748" s="11"/>
      <c r="E748" s="4"/>
      <c r="F748" s="4"/>
      <c r="G748" s="4"/>
      <c r="H748" s="3"/>
      <c r="J748" s="4"/>
      <c r="K748" s="4"/>
      <c r="L748" s="4"/>
      <c r="M748" s="4"/>
      <c r="N748" s="4"/>
      <c r="O748" s="4"/>
    </row>
    <row r="749" spans="1:15" s="5" customFormat="1" x14ac:dyDescent="0.35">
      <c r="A749" s="229"/>
      <c r="B749" s="3"/>
      <c r="C749" s="7"/>
      <c r="D749" s="11"/>
      <c r="E749" s="4"/>
      <c r="F749" s="4"/>
      <c r="G749" s="4"/>
      <c r="H749" s="3"/>
      <c r="J749" s="4"/>
      <c r="K749" s="4"/>
      <c r="L749" s="4"/>
      <c r="M749" s="4"/>
      <c r="N749" s="4"/>
      <c r="O749" s="4"/>
    </row>
    <row r="750" spans="1:15" s="5" customFormat="1" x14ac:dyDescent="0.35">
      <c r="A750" s="229"/>
      <c r="B750" s="3"/>
      <c r="C750" s="7"/>
      <c r="D750" s="11"/>
      <c r="E750" s="4"/>
      <c r="F750" s="4"/>
      <c r="G750" s="4"/>
      <c r="H750" s="3"/>
      <c r="J750" s="4"/>
      <c r="K750" s="4"/>
      <c r="L750" s="4"/>
      <c r="M750" s="4"/>
      <c r="N750" s="4"/>
      <c r="O750" s="4"/>
    </row>
    <row r="751" spans="1:15" s="5" customFormat="1" x14ac:dyDescent="0.35">
      <c r="A751" s="229"/>
      <c r="B751" s="3"/>
      <c r="C751" s="7"/>
      <c r="D751" s="11"/>
      <c r="E751" s="4"/>
      <c r="F751" s="4"/>
      <c r="G751" s="4"/>
      <c r="H751" s="3"/>
      <c r="J751" s="4"/>
      <c r="K751" s="4"/>
      <c r="L751" s="4"/>
      <c r="M751" s="4"/>
      <c r="N751" s="4"/>
      <c r="O751" s="4"/>
    </row>
    <row r="752" spans="1:15" s="5" customFormat="1" x14ac:dyDescent="0.35">
      <c r="A752" s="229"/>
      <c r="B752" s="3"/>
      <c r="C752" s="7"/>
      <c r="D752" s="11"/>
      <c r="E752" s="4"/>
      <c r="F752" s="4"/>
      <c r="G752" s="4"/>
      <c r="H752" s="3"/>
      <c r="J752" s="4"/>
      <c r="K752" s="4"/>
      <c r="L752" s="4"/>
      <c r="M752" s="4"/>
      <c r="N752" s="4"/>
      <c r="O752" s="4"/>
    </row>
    <row r="753" spans="1:15" s="5" customFormat="1" x14ac:dyDescent="0.35">
      <c r="A753" s="229"/>
      <c r="B753" s="3"/>
      <c r="C753" s="7"/>
      <c r="D753" s="11"/>
      <c r="E753" s="4"/>
      <c r="F753" s="4"/>
      <c r="G753" s="4"/>
      <c r="H753" s="3"/>
      <c r="J753" s="4"/>
      <c r="K753" s="4"/>
      <c r="L753" s="4"/>
      <c r="M753" s="4"/>
      <c r="N753" s="4"/>
      <c r="O753" s="4"/>
    </row>
    <row r="754" spans="1:15" s="5" customFormat="1" x14ac:dyDescent="0.35">
      <c r="A754" s="229"/>
      <c r="B754" s="3"/>
      <c r="C754" s="7"/>
      <c r="D754" s="11"/>
      <c r="E754" s="4"/>
      <c r="F754" s="4"/>
      <c r="G754" s="4"/>
      <c r="H754" s="3"/>
      <c r="J754" s="4"/>
      <c r="K754" s="4"/>
      <c r="L754" s="4"/>
      <c r="M754" s="4"/>
      <c r="N754" s="4"/>
      <c r="O754" s="4"/>
    </row>
    <row r="755" spans="1:15" s="5" customFormat="1" x14ac:dyDescent="0.35">
      <c r="A755" s="229"/>
      <c r="B755" s="3"/>
      <c r="C755" s="7"/>
      <c r="D755" s="11"/>
      <c r="E755" s="4"/>
      <c r="F755" s="4"/>
      <c r="G755" s="4"/>
      <c r="H755" s="3"/>
      <c r="J755" s="4"/>
      <c r="K755" s="4"/>
      <c r="L755" s="4"/>
      <c r="M755" s="4"/>
      <c r="N755" s="4"/>
      <c r="O755" s="4"/>
    </row>
    <row r="756" spans="1:15" s="5" customFormat="1" x14ac:dyDescent="0.35">
      <c r="A756" s="229"/>
      <c r="B756" s="3"/>
      <c r="C756" s="7"/>
      <c r="D756" s="11"/>
      <c r="E756" s="4"/>
      <c r="F756" s="4"/>
      <c r="G756" s="4"/>
      <c r="H756" s="3"/>
      <c r="J756" s="4"/>
      <c r="K756" s="4"/>
      <c r="L756" s="4"/>
      <c r="M756" s="4"/>
      <c r="N756" s="4"/>
      <c r="O756" s="4"/>
    </row>
    <row r="757" spans="1:15" s="5" customFormat="1" x14ac:dyDescent="0.35">
      <c r="A757" s="229"/>
      <c r="B757" s="3"/>
      <c r="C757" s="7"/>
      <c r="D757" s="11"/>
      <c r="E757" s="4"/>
      <c r="F757" s="4"/>
      <c r="G757" s="4"/>
      <c r="H757" s="3"/>
      <c r="J757" s="4"/>
      <c r="K757" s="4"/>
      <c r="L757" s="4"/>
      <c r="M757" s="4"/>
      <c r="N757" s="4"/>
      <c r="O757" s="4"/>
    </row>
    <row r="758" spans="1:15" s="5" customFormat="1" x14ac:dyDescent="0.35">
      <c r="A758" s="229"/>
      <c r="B758" s="3"/>
      <c r="C758" s="7"/>
      <c r="D758" s="11"/>
      <c r="E758" s="4"/>
      <c r="F758" s="4"/>
      <c r="G758" s="4"/>
      <c r="H758" s="3"/>
      <c r="J758" s="4"/>
      <c r="K758" s="4"/>
      <c r="L758" s="4"/>
      <c r="M758" s="4"/>
      <c r="N758" s="4"/>
      <c r="O758" s="4"/>
    </row>
    <row r="759" spans="1:15" s="5" customFormat="1" x14ac:dyDescent="0.35">
      <c r="A759" s="229"/>
      <c r="B759" s="3"/>
      <c r="C759" s="7"/>
      <c r="D759" s="11"/>
      <c r="E759" s="4"/>
      <c r="F759" s="4"/>
      <c r="G759" s="4"/>
      <c r="H759" s="3"/>
      <c r="J759" s="4"/>
      <c r="K759" s="4"/>
      <c r="L759" s="4"/>
      <c r="M759" s="4"/>
      <c r="N759" s="4"/>
      <c r="O759" s="4"/>
    </row>
    <row r="760" spans="1:15" s="5" customFormat="1" x14ac:dyDescent="0.35">
      <c r="A760" s="229"/>
      <c r="B760" s="3"/>
      <c r="C760" s="7"/>
      <c r="D760" s="11"/>
      <c r="E760" s="4"/>
      <c r="F760" s="4"/>
      <c r="G760" s="4"/>
      <c r="H760" s="3"/>
      <c r="J760" s="4"/>
      <c r="K760" s="4"/>
      <c r="L760" s="4"/>
      <c r="M760" s="4"/>
      <c r="N760" s="4"/>
      <c r="O760" s="4"/>
    </row>
    <row r="761" spans="1:15" s="5" customFormat="1" x14ac:dyDescent="0.35">
      <c r="A761" s="229"/>
      <c r="B761" s="3"/>
      <c r="C761" s="7"/>
      <c r="D761" s="11"/>
      <c r="E761" s="4"/>
      <c r="F761" s="4"/>
      <c r="G761" s="4"/>
      <c r="H761" s="3"/>
      <c r="J761" s="4"/>
      <c r="K761" s="4"/>
      <c r="L761" s="4"/>
      <c r="M761" s="4"/>
      <c r="N761" s="4"/>
      <c r="O761" s="4"/>
    </row>
    <row r="762" spans="1:15" s="5" customFormat="1" x14ac:dyDescent="0.35">
      <c r="A762" s="229"/>
      <c r="B762" s="3"/>
      <c r="C762" s="7"/>
      <c r="D762" s="11"/>
      <c r="E762" s="4"/>
      <c r="F762" s="4"/>
      <c r="G762" s="4"/>
      <c r="H762" s="3"/>
      <c r="J762" s="4"/>
      <c r="K762" s="4"/>
      <c r="L762" s="4"/>
      <c r="M762" s="4"/>
      <c r="N762" s="4"/>
      <c r="O762" s="4"/>
    </row>
    <row r="763" spans="1:15" s="5" customFormat="1" x14ac:dyDescent="0.35">
      <c r="A763" s="229"/>
      <c r="B763" s="3"/>
      <c r="C763" s="7"/>
      <c r="D763" s="11"/>
      <c r="E763" s="4"/>
      <c r="F763" s="4"/>
      <c r="G763" s="4"/>
      <c r="H763" s="3"/>
      <c r="J763" s="4"/>
      <c r="K763" s="4"/>
      <c r="L763" s="4"/>
      <c r="M763" s="4"/>
      <c r="N763" s="4"/>
      <c r="O763" s="4"/>
    </row>
    <row r="764" spans="1:15" s="5" customFormat="1" x14ac:dyDescent="0.35">
      <c r="A764" s="229"/>
      <c r="B764" s="3"/>
      <c r="C764" s="7"/>
      <c r="D764" s="11"/>
      <c r="E764" s="4"/>
      <c r="F764" s="4"/>
      <c r="G764" s="4"/>
      <c r="H764" s="3"/>
      <c r="J764" s="4"/>
      <c r="K764" s="4"/>
      <c r="L764" s="4"/>
      <c r="M764" s="4"/>
      <c r="N764" s="4"/>
      <c r="O764" s="4"/>
    </row>
    <row r="765" spans="1:15" s="5" customFormat="1" x14ac:dyDescent="0.35">
      <c r="A765" s="229"/>
      <c r="B765" s="3"/>
      <c r="C765" s="7"/>
      <c r="D765" s="11"/>
      <c r="E765" s="4"/>
      <c r="F765" s="4"/>
      <c r="G765" s="4"/>
      <c r="H765" s="3"/>
      <c r="J765" s="4"/>
      <c r="K765" s="4"/>
      <c r="L765" s="4"/>
      <c r="M765" s="4"/>
      <c r="N765" s="4"/>
      <c r="O765" s="4"/>
    </row>
    <row r="766" spans="1:15" s="5" customFormat="1" x14ac:dyDescent="0.35">
      <c r="A766" s="229"/>
      <c r="B766" s="3"/>
      <c r="C766" s="7"/>
      <c r="D766" s="11"/>
      <c r="E766" s="4"/>
      <c r="F766" s="4"/>
      <c r="G766" s="4"/>
      <c r="H766" s="3"/>
      <c r="J766" s="4"/>
      <c r="K766" s="4"/>
      <c r="L766" s="4"/>
      <c r="M766" s="4"/>
      <c r="N766" s="4"/>
      <c r="O766" s="4"/>
    </row>
    <row r="767" spans="1:15" s="5" customFormat="1" x14ac:dyDescent="0.35">
      <c r="A767" s="229"/>
      <c r="B767" s="3"/>
      <c r="C767" s="7"/>
      <c r="D767" s="11"/>
      <c r="E767" s="4"/>
      <c r="F767" s="4"/>
      <c r="G767" s="4"/>
      <c r="H767" s="3"/>
      <c r="J767" s="4"/>
      <c r="K767" s="4"/>
      <c r="L767" s="4"/>
      <c r="M767" s="4"/>
      <c r="N767" s="4"/>
      <c r="O767" s="4"/>
    </row>
    <row r="768" spans="1:15" s="5" customFormat="1" x14ac:dyDescent="0.35">
      <c r="A768" s="229"/>
      <c r="B768" s="3"/>
      <c r="C768" s="7"/>
      <c r="D768" s="11"/>
      <c r="E768" s="4"/>
      <c r="F768" s="4"/>
      <c r="G768" s="4"/>
      <c r="H768" s="3"/>
      <c r="J768" s="4"/>
      <c r="K768" s="4"/>
      <c r="L768" s="4"/>
      <c r="M768" s="4"/>
      <c r="N768" s="4"/>
      <c r="O768" s="4"/>
    </row>
    <row r="769" spans="1:15" s="5" customFormat="1" x14ac:dyDescent="0.35">
      <c r="A769" s="229"/>
      <c r="B769" s="3"/>
      <c r="C769" s="7"/>
      <c r="D769" s="11"/>
      <c r="E769" s="4"/>
      <c r="F769" s="4"/>
      <c r="G769" s="4"/>
      <c r="H769" s="3"/>
      <c r="J769" s="4"/>
      <c r="K769" s="4"/>
      <c r="L769" s="4"/>
      <c r="M769" s="4"/>
      <c r="N769" s="4"/>
      <c r="O769" s="4"/>
    </row>
    <row r="770" spans="1:15" s="5" customFormat="1" x14ac:dyDescent="0.35">
      <c r="A770" s="229"/>
      <c r="B770" s="3"/>
      <c r="C770" s="7"/>
      <c r="D770" s="11"/>
      <c r="E770" s="4"/>
      <c r="F770" s="4"/>
      <c r="G770" s="4"/>
      <c r="H770" s="3"/>
      <c r="J770" s="4"/>
      <c r="K770" s="4"/>
      <c r="L770" s="4"/>
      <c r="M770" s="4"/>
      <c r="N770" s="4"/>
      <c r="O770" s="4"/>
    </row>
    <row r="771" spans="1:15" s="5" customFormat="1" x14ac:dyDescent="0.35">
      <c r="A771" s="229"/>
      <c r="B771" s="3"/>
      <c r="C771" s="7"/>
      <c r="D771" s="11"/>
      <c r="E771" s="4"/>
      <c r="F771" s="4"/>
      <c r="G771" s="4"/>
      <c r="H771" s="3"/>
      <c r="J771" s="4"/>
      <c r="K771" s="4"/>
      <c r="L771" s="4"/>
      <c r="M771" s="4"/>
      <c r="N771" s="4"/>
      <c r="O771" s="4"/>
    </row>
    <row r="772" spans="1:15" s="5" customFormat="1" x14ac:dyDescent="0.35">
      <c r="A772" s="229"/>
      <c r="B772" s="3"/>
      <c r="C772" s="7"/>
      <c r="D772" s="11"/>
      <c r="E772" s="4"/>
      <c r="F772" s="4"/>
      <c r="G772" s="4"/>
      <c r="H772" s="3"/>
      <c r="J772" s="4"/>
      <c r="K772" s="4"/>
      <c r="L772" s="4"/>
      <c r="M772" s="4"/>
      <c r="N772" s="4"/>
      <c r="O772" s="4"/>
    </row>
    <row r="773" spans="1:15" s="5" customFormat="1" x14ac:dyDescent="0.35">
      <c r="A773" s="229"/>
      <c r="B773" s="3"/>
      <c r="C773" s="7"/>
      <c r="D773" s="11"/>
      <c r="E773" s="4"/>
      <c r="F773" s="4"/>
      <c r="G773" s="4"/>
      <c r="H773" s="3"/>
      <c r="J773" s="4"/>
      <c r="K773" s="4"/>
      <c r="L773" s="4"/>
      <c r="M773" s="4"/>
      <c r="N773" s="4"/>
      <c r="O773" s="4"/>
    </row>
    <row r="774" spans="1:15" s="5" customFormat="1" x14ac:dyDescent="0.35">
      <c r="A774" s="229"/>
      <c r="B774" s="3"/>
      <c r="C774" s="7"/>
      <c r="D774" s="11"/>
      <c r="E774" s="4"/>
      <c r="F774" s="4"/>
      <c r="G774" s="4"/>
      <c r="H774" s="3"/>
      <c r="J774" s="4"/>
      <c r="K774" s="4"/>
      <c r="L774" s="4"/>
      <c r="M774" s="4"/>
      <c r="N774" s="4"/>
      <c r="O774" s="4"/>
    </row>
    <row r="775" spans="1:15" s="5" customFormat="1" x14ac:dyDescent="0.35">
      <c r="A775" s="229"/>
      <c r="B775" s="3"/>
      <c r="C775" s="7"/>
      <c r="D775" s="11"/>
      <c r="E775" s="4"/>
      <c r="F775" s="4"/>
      <c r="G775" s="4"/>
      <c r="H775" s="3"/>
      <c r="J775" s="4"/>
      <c r="K775" s="4"/>
      <c r="L775" s="4"/>
      <c r="M775" s="4"/>
      <c r="N775" s="4"/>
      <c r="O775" s="4"/>
    </row>
    <row r="776" spans="1:15" s="5" customFormat="1" x14ac:dyDescent="0.35">
      <c r="A776" s="229"/>
      <c r="B776" s="3"/>
      <c r="C776" s="7"/>
      <c r="D776" s="11"/>
      <c r="E776" s="4"/>
      <c r="F776" s="4"/>
      <c r="G776" s="4"/>
      <c r="H776" s="3"/>
      <c r="J776" s="4"/>
      <c r="K776" s="4"/>
      <c r="L776" s="4"/>
      <c r="M776" s="4"/>
      <c r="N776" s="4"/>
      <c r="O776" s="4"/>
    </row>
    <row r="777" spans="1:15" s="5" customFormat="1" x14ac:dyDescent="0.35">
      <c r="A777" s="229"/>
      <c r="B777" s="3"/>
      <c r="C777" s="7"/>
      <c r="D777" s="11"/>
      <c r="E777" s="4"/>
      <c r="F777" s="4"/>
      <c r="G777" s="4"/>
      <c r="H777" s="3"/>
      <c r="J777" s="4"/>
      <c r="K777" s="4"/>
      <c r="L777" s="4"/>
      <c r="M777" s="4"/>
      <c r="N777" s="4"/>
      <c r="O777" s="4"/>
    </row>
    <row r="778" spans="1:15" s="5" customFormat="1" x14ac:dyDescent="0.35">
      <c r="A778" s="229"/>
      <c r="B778" s="3"/>
      <c r="C778" s="7"/>
      <c r="D778" s="11"/>
      <c r="E778" s="4"/>
      <c r="F778" s="4"/>
      <c r="G778" s="4"/>
      <c r="H778" s="3"/>
      <c r="J778" s="4"/>
      <c r="K778" s="4"/>
      <c r="L778" s="4"/>
      <c r="M778" s="4"/>
      <c r="N778" s="4"/>
      <c r="O778" s="4"/>
    </row>
    <row r="779" spans="1:15" s="5" customFormat="1" x14ac:dyDescent="0.35">
      <c r="A779" s="229"/>
      <c r="B779" s="3"/>
      <c r="C779" s="7"/>
      <c r="D779" s="11"/>
      <c r="E779" s="4"/>
      <c r="F779" s="4"/>
      <c r="G779" s="4"/>
      <c r="H779" s="3"/>
      <c r="J779" s="4"/>
      <c r="K779" s="4"/>
      <c r="L779" s="4"/>
      <c r="M779" s="4"/>
      <c r="N779" s="4"/>
      <c r="O779" s="4"/>
    </row>
    <row r="780" spans="1:15" s="5" customFormat="1" x14ac:dyDescent="0.35">
      <c r="A780" s="229"/>
      <c r="B780" s="3"/>
      <c r="C780" s="7"/>
      <c r="D780" s="11"/>
      <c r="E780" s="4"/>
      <c r="F780" s="4"/>
      <c r="G780" s="4"/>
      <c r="H780" s="3"/>
      <c r="J780" s="4"/>
      <c r="K780" s="4"/>
      <c r="L780" s="4"/>
      <c r="M780" s="4"/>
      <c r="N780" s="4"/>
      <c r="O780" s="4"/>
    </row>
    <row r="781" spans="1:15" s="5" customFormat="1" x14ac:dyDescent="0.35">
      <c r="A781" s="229"/>
      <c r="B781" s="3"/>
      <c r="C781" s="7"/>
      <c r="D781" s="11"/>
      <c r="E781" s="4"/>
      <c r="F781" s="4"/>
      <c r="G781" s="4"/>
      <c r="H781" s="3"/>
      <c r="J781" s="4"/>
      <c r="K781" s="4"/>
      <c r="L781" s="4"/>
      <c r="M781" s="4"/>
      <c r="N781" s="4"/>
      <c r="O781" s="4"/>
    </row>
    <row r="782" spans="1:15" s="5" customFormat="1" x14ac:dyDescent="0.35">
      <c r="A782" s="229"/>
      <c r="B782" s="3"/>
      <c r="C782" s="7"/>
      <c r="D782" s="11"/>
      <c r="E782" s="4"/>
      <c r="F782" s="4"/>
      <c r="G782" s="4"/>
      <c r="H782" s="3"/>
      <c r="J782" s="4"/>
      <c r="K782" s="4"/>
      <c r="L782" s="4"/>
      <c r="M782" s="4"/>
      <c r="N782" s="4"/>
      <c r="O782" s="4"/>
    </row>
    <row r="783" spans="1:15" s="5" customFormat="1" x14ac:dyDescent="0.35">
      <c r="A783" s="229"/>
      <c r="B783" s="3"/>
      <c r="C783" s="7"/>
      <c r="D783" s="11"/>
      <c r="E783" s="4"/>
      <c r="F783" s="4"/>
      <c r="G783" s="4"/>
      <c r="H783" s="3"/>
      <c r="J783" s="4"/>
      <c r="K783" s="4"/>
      <c r="L783" s="4"/>
      <c r="M783" s="4"/>
      <c r="N783" s="4"/>
      <c r="O783" s="4"/>
    </row>
    <row r="784" spans="1:15" s="5" customFormat="1" x14ac:dyDescent="0.35">
      <c r="A784" s="229"/>
      <c r="B784" s="3"/>
      <c r="C784" s="7"/>
      <c r="D784" s="11"/>
      <c r="E784" s="4"/>
      <c r="F784" s="4"/>
      <c r="G784" s="4"/>
      <c r="H784" s="3"/>
      <c r="J784" s="4"/>
      <c r="K784" s="4"/>
      <c r="L784" s="4"/>
      <c r="M784" s="4"/>
      <c r="N784" s="4"/>
      <c r="O784" s="4"/>
    </row>
    <row r="785" spans="1:15" s="5" customFormat="1" x14ac:dyDescent="0.35">
      <c r="A785" s="229"/>
      <c r="B785" s="3"/>
      <c r="C785" s="7"/>
      <c r="D785" s="11"/>
      <c r="E785" s="4"/>
      <c r="F785" s="4"/>
      <c r="G785" s="4"/>
      <c r="H785" s="3"/>
      <c r="J785" s="4"/>
      <c r="K785" s="4"/>
      <c r="L785" s="4"/>
      <c r="M785" s="4"/>
      <c r="N785" s="4"/>
      <c r="O785" s="4"/>
    </row>
    <row r="786" spans="1:15" s="5" customFormat="1" x14ac:dyDescent="0.35">
      <c r="A786" s="229"/>
      <c r="B786" s="3"/>
      <c r="C786" s="7"/>
      <c r="D786" s="11"/>
      <c r="E786" s="4"/>
      <c r="F786" s="4"/>
      <c r="G786" s="4"/>
      <c r="H786" s="3"/>
      <c r="J786" s="4"/>
      <c r="K786" s="4"/>
      <c r="L786" s="4"/>
      <c r="M786" s="4"/>
      <c r="N786" s="4"/>
      <c r="O786" s="4"/>
    </row>
    <row r="787" spans="1:15" s="5" customFormat="1" x14ac:dyDescent="0.35">
      <c r="A787" s="229"/>
      <c r="B787" s="3"/>
      <c r="C787" s="7"/>
      <c r="D787" s="11"/>
      <c r="E787" s="4"/>
      <c r="F787" s="4"/>
      <c r="G787" s="4"/>
      <c r="H787" s="3"/>
      <c r="J787" s="4"/>
      <c r="K787" s="4"/>
      <c r="L787" s="4"/>
      <c r="M787" s="4"/>
      <c r="N787" s="4"/>
      <c r="O787" s="4"/>
    </row>
    <row r="788" spans="1:15" s="5" customFormat="1" x14ac:dyDescent="0.35">
      <c r="A788" s="229"/>
      <c r="B788" s="3"/>
      <c r="C788" s="7"/>
      <c r="D788" s="11"/>
      <c r="E788" s="4"/>
      <c r="F788" s="4"/>
      <c r="G788" s="4"/>
      <c r="H788" s="3"/>
      <c r="J788" s="4"/>
      <c r="K788" s="4"/>
      <c r="L788" s="4"/>
      <c r="M788" s="4"/>
      <c r="N788" s="4"/>
      <c r="O788" s="4"/>
    </row>
    <row r="789" spans="1:15" s="5" customFormat="1" x14ac:dyDescent="0.35">
      <c r="A789" s="229"/>
      <c r="B789" s="3"/>
      <c r="C789" s="7"/>
      <c r="D789" s="11"/>
      <c r="E789" s="4"/>
      <c r="F789" s="4"/>
      <c r="G789" s="4"/>
      <c r="H789" s="3"/>
      <c r="J789" s="4"/>
      <c r="K789" s="4"/>
      <c r="L789" s="4"/>
      <c r="M789" s="4"/>
      <c r="N789" s="4"/>
      <c r="O789" s="4"/>
    </row>
    <row r="790" spans="1:15" s="5" customFormat="1" x14ac:dyDescent="0.35">
      <c r="A790" s="229"/>
      <c r="B790" s="3"/>
      <c r="C790" s="7"/>
      <c r="D790" s="11"/>
      <c r="E790" s="4"/>
      <c r="F790" s="4"/>
      <c r="G790" s="4"/>
      <c r="H790" s="3"/>
      <c r="J790" s="4"/>
      <c r="K790" s="4"/>
      <c r="L790" s="4"/>
      <c r="M790" s="4"/>
      <c r="N790" s="4"/>
      <c r="O790" s="4"/>
    </row>
    <row r="791" spans="1:15" s="5" customFormat="1" x14ac:dyDescent="0.35">
      <c r="A791" s="229"/>
      <c r="B791" s="3"/>
      <c r="C791" s="7"/>
      <c r="D791" s="11"/>
      <c r="E791" s="4"/>
      <c r="F791" s="4"/>
      <c r="G791" s="4"/>
      <c r="H791" s="3"/>
      <c r="J791" s="4"/>
      <c r="K791" s="4"/>
      <c r="L791" s="4"/>
      <c r="M791" s="4"/>
      <c r="N791" s="4"/>
      <c r="O791" s="4"/>
    </row>
    <row r="792" spans="1:15" s="5" customFormat="1" x14ac:dyDescent="0.35">
      <c r="A792" s="229"/>
      <c r="B792" s="3"/>
      <c r="C792" s="7"/>
      <c r="D792" s="11"/>
      <c r="E792" s="4"/>
      <c r="F792" s="4"/>
      <c r="G792" s="4"/>
      <c r="H792" s="3"/>
      <c r="J792" s="4"/>
      <c r="K792" s="4"/>
      <c r="L792" s="4"/>
      <c r="M792" s="4"/>
      <c r="N792" s="4"/>
      <c r="O792" s="4"/>
    </row>
    <row r="793" spans="1:15" s="5" customFormat="1" x14ac:dyDescent="0.35">
      <c r="A793" s="229"/>
      <c r="B793" s="3"/>
      <c r="C793" s="7"/>
      <c r="D793" s="11"/>
      <c r="E793" s="4"/>
      <c r="F793" s="4"/>
      <c r="G793" s="4"/>
      <c r="H793" s="3"/>
      <c r="J793" s="4"/>
      <c r="K793" s="4"/>
      <c r="L793" s="4"/>
      <c r="M793" s="4"/>
      <c r="N793" s="4"/>
      <c r="O793" s="4"/>
    </row>
  </sheetData>
  <mergeCells count="27">
    <mergeCell ref="D664:G664"/>
    <mergeCell ref="D667:G667"/>
    <mergeCell ref="D668:G668"/>
    <mergeCell ref="B671:D671"/>
    <mergeCell ref="D660:G660"/>
    <mergeCell ref="D661:G661"/>
    <mergeCell ref="D662:G662"/>
    <mergeCell ref="D665:G665"/>
    <mergeCell ref="D666:G666"/>
    <mergeCell ref="D669:G669"/>
    <mergeCell ref="D670:G670"/>
    <mergeCell ref="B2:N2"/>
    <mergeCell ref="B3:N3"/>
    <mergeCell ref="M4:N4"/>
    <mergeCell ref="B1:F1"/>
    <mergeCell ref="B673:D673"/>
    <mergeCell ref="I6:I7"/>
    <mergeCell ref="J6:N6"/>
    <mergeCell ref="E6:E7"/>
    <mergeCell ref="B6:B7"/>
    <mergeCell ref="C6:C7"/>
    <mergeCell ref="G6:G7"/>
    <mergeCell ref="D6:D7"/>
    <mergeCell ref="F6:F7"/>
    <mergeCell ref="D659:G659"/>
    <mergeCell ref="H6:H7"/>
    <mergeCell ref="D663:G663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6" fitToHeight="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Q225"/>
  <sheetViews>
    <sheetView view="pageBreakPreview" topLeftCell="A205" zoomScaleNormal="100" zoomScaleSheetLayoutView="100" workbookViewId="0">
      <selection activeCell="J41" sqref="J41"/>
    </sheetView>
  </sheetViews>
  <sheetFormatPr defaultRowHeight="15" x14ac:dyDescent="0.3"/>
  <cols>
    <col min="1" max="1" width="3.7109375" style="261" customWidth="1"/>
    <col min="2" max="2" width="5.7109375" style="250" customWidth="1"/>
    <col min="3" max="3" width="5.7109375" style="251" customWidth="1"/>
    <col min="4" max="4" width="59.7109375" style="252" customWidth="1"/>
    <col min="5" max="7" width="10.7109375" style="248" customWidth="1"/>
    <col min="8" max="8" width="6.7109375" style="253" customWidth="1"/>
    <col min="9" max="11" width="14.85546875" style="248" customWidth="1"/>
    <col min="12" max="12" width="15.7109375" style="248" customWidth="1"/>
    <col min="13" max="13" width="13.7109375" style="259" customWidth="1"/>
    <col min="14" max="16384" width="9.140625" style="249"/>
  </cols>
  <sheetData>
    <row r="1" spans="1:251" s="174" customFormat="1" ht="18" customHeight="1" x14ac:dyDescent="0.3">
      <c r="A1" s="260"/>
      <c r="B1" s="1585" t="s">
        <v>883</v>
      </c>
      <c r="C1" s="1585"/>
      <c r="D1" s="1585"/>
      <c r="E1" s="1585"/>
      <c r="F1" s="1585"/>
      <c r="G1" s="62"/>
      <c r="H1" s="62"/>
      <c r="I1" s="1740"/>
      <c r="J1" s="1740"/>
      <c r="K1" s="1740"/>
      <c r="L1" s="1740"/>
      <c r="M1" s="17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  <c r="ED1" s="240"/>
      <c r="EE1" s="240"/>
      <c r="EF1" s="240"/>
      <c r="EG1" s="240"/>
      <c r="EH1" s="240"/>
      <c r="EI1" s="240"/>
      <c r="EJ1" s="240"/>
      <c r="EK1" s="240"/>
      <c r="EL1" s="240"/>
      <c r="EM1" s="240"/>
      <c r="EN1" s="240"/>
      <c r="EO1" s="240"/>
      <c r="EP1" s="240"/>
      <c r="EQ1" s="240"/>
      <c r="ER1" s="240"/>
      <c r="ES1" s="240"/>
      <c r="ET1" s="240"/>
      <c r="EU1" s="240"/>
      <c r="EV1" s="240"/>
      <c r="EW1" s="240"/>
      <c r="EX1" s="240"/>
      <c r="EY1" s="240"/>
      <c r="EZ1" s="240"/>
      <c r="FA1" s="240"/>
      <c r="FB1" s="240"/>
      <c r="FC1" s="240"/>
      <c r="FD1" s="240"/>
      <c r="FE1" s="240"/>
      <c r="FF1" s="240"/>
      <c r="FG1" s="240"/>
      <c r="FH1" s="240"/>
      <c r="FI1" s="240"/>
      <c r="FJ1" s="240"/>
      <c r="FK1" s="240"/>
      <c r="FL1" s="240"/>
      <c r="FM1" s="240"/>
      <c r="FN1" s="240"/>
      <c r="FO1" s="240"/>
      <c r="FP1" s="240"/>
      <c r="FQ1" s="240"/>
      <c r="FR1" s="240"/>
      <c r="FS1" s="240"/>
      <c r="FT1" s="240"/>
      <c r="FU1" s="240"/>
      <c r="FV1" s="240"/>
      <c r="FW1" s="240"/>
      <c r="FX1" s="240"/>
      <c r="FY1" s="240"/>
      <c r="FZ1" s="240"/>
      <c r="GA1" s="240"/>
      <c r="GB1" s="240"/>
      <c r="GC1" s="240"/>
      <c r="GD1" s="240"/>
      <c r="GE1" s="240"/>
      <c r="GF1" s="240"/>
      <c r="GG1" s="240"/>
      <c r="GH1" s="240"/>
      <c r="GI1" s="240"/>
      <c r="GJ1" s="240"/>
      <c r="GK1" s="240"/>
      <c r="GL1" s="240"/>
      <c r="GM1" s="240"/>
      <c r="GN1" s="240"/>
      <c r="GO1" s="240"/>
      <c r="GP1" s="240"/>
      <c r="GQ1" s="240"/>
      <c r="GR1" s="240"/>
      <c r="GS1" s="240"/>
      <c r="GT1" s="240"/>
      <c r="GU1" s="240"/>
      <c r="GV1" s="240"/>
      <c r="GW1" s="240"/>
      <c r="GX1" s="240"/>
      <c r="GY1" s="240"/>
      <c r="GZ1" s="240"/>
      <c r="HA1" s="240"/>
      <c r="HB1" s="240"/>
      <c r="HC1" s="240"/>
      <c r="HD1" s="240"/>
      <c r="HE1" s="240"/>
      <c r="HF1" s="240"/>
      <c r="HG1" s="240"/>
      <c r="HH1" s="240"/>
      <c r="HI1" s="240"/>
      <c r="HJ1" s="240"/>
      <c r="HK1" s="240"/>
      <c r="HL1" s="240"/>
      <c r="HM1" s="240"/>
      <c r="HN1" s="240"/>
      <c r="HO1" s="240"/>
      <c r="HP1" s="240"/>
      <c r="HQ1" s="240"/>
      <c r="HR1" s="240"/>
      <c r="HS1" s="240"/>
      <c r="HT1" s="240"/>
      <c r="HU1" s="240"/>
      <c r="HV1" s="240"/>
      <c r="HW1" s="240"/>
      <c r="HX1" s="240"/>
      <c r="HY1" s="240"/>
      <c r="HZ1" s="240"/>
      <c r="IA1" s="240"/>
      <c r="IB1" s="240"/>
      <c r="IC1" s="240"/>
      <c r="ID1" s="240"/>
      <c r="IE1" s="240"/>
      <c r="IF1" s="240"/>
      <c r="IG1" s="240"/>
      <c r="IH1" s="240"/>
      <c r="II1" s="240"/>
      <c r="IJ1" s="240"/>
      <c r="IK1" s="240"/>
      <c r="IL1" s="240"/>
      <c r="IM1" s="240"/>
      <c r="IN1" s="240"/>
      <c r="IO1" s="240"/>
      <c r="IP1" s="240"/>
      <c r="IQ1" s="240"/>
    </row>
    <row r="2" spans="1:251" s="174" customFormat="1" ht="18" customHeight="1" x14ac:dyDescent="0.35">
      <c r="A2" s="261"/>
      <c r="B2" s="1741" t="s">
        <v>14</v>
      </c>
      <c r="C2" s="1741"/>
      <c r="D2" s="1741"/>
      <c r="E2" s="1741"/>
      <c r="F2" s="1741"/>
      <c r="G2" s="1741"/>
      <c r="H2" s="1741"/>
      <c r="I2" s="1741"/>
      <c r="J2" s="1741"/>
      <c r="K2" s="1741"/>
      <c r="L2" s="1741"/>
      <c r="M2" s="1741"/>
    </row>
    <row r="3" spans="1:251" s="174" customFormat="1" ht="18" customHeight="1" x14ac:dyDescent="0.3">
      <c r="A3" s="261"/>
      <c r="B3" s="1742" t="s">
        <v>862</v>
      </c>
      <c r="C3" s="1742"/>
      <c r="D3" s="1742"/>
      <c r="E3" s="1742"/>
      <c r="F3" s="1742"/>
      <c r="G3" s="1742"/>
      <c r="H3" s="1742"/>
      <c r="I3" s="1742"/>
      <c r="J3" s="1742"/>
      <c r="K3" s="1742"/>
      <c r="L3" s="1742"/>
      <c r="M3" s="1742"/>
    </row>
    <row r="4" spans="1:251" ht="18" customHeight="1" x14ac:dyDescent="0.3">
      <c r="M4" s="254" t="s">
        <v>0</v>
      </c>
    </row>
    <row r="5" spans="1:251" s="65" customFormat="1" ht="18" customHeight="1" thickBot="1" x14ac:dyDescent="0.25">
      <c r="A5" s="261"/>
      <c r="B5" s="272" t="s">
        <v>1</v>
      </c>
      <c r="C5" s="273" t="s">
        <v>3</v>
      </c>
      <c r="D5" s="273" t="s">
        <v>2</v>
      </c>
      <c r="E5" s="273" t="s">
        <v>4</v>
      </c>
      <c r="F5" s="273" t="s">
        <v>5</v>
      </c>
      <c r="G5" s="273" t="s">
        <v>15</v>
      </c>
      <c r="H5" s="273" t="s">
        <v>16</v>
      </c>
      <c r="I5" s="273" t="s">
        <v>17</v>
      </c>
      <c r="J5" s="273" t="s">
        <v>34</v>
      </c>
      <c r="K5" s="273" t="s">
        <v>30</v>
      </c>
      <c r="L5" s="273" t="s">
        <v>23</v>
      </c>
      <c r="M5" s="273" t="s">
        <v>35</v>
      </c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261"/>
      <c r="EU5" s="261"/>
      <c r="EV5" s="261"/>
      <c r="EW5" s="261"/>
      <c r="EX5" s="261"/>
      <c r="EY5" s="261"/>
      <c r="EZ5" s="261"/>
      <c r="FA5" s="261"/>
      <c r="FB5" s="261"/>
      <c r="FC5" s="261"/>
      <c r="FD5" s="261"/>
      <c r="FE5" s="261"/>
      <c r="FF5" s="261"/>
      <c r="FG5" s="261"/>
      <c r="FH5" s="261"/>
      <c r="FI5" s="261"/>
      <c r="FJ5" s="261"/>
      <c r="FK5" s="261"/>
      <c r="FL5" s="261"/>
      <c r="FM5" s="261"/>
      <c r="FN5" s="261"/>
      <c r="FO5" s="261"/>
      <c r="FP5" s="261"/>
      <c r="FQ5" s="261"/>
      <c r="FR5" s="261"/>
      <c r="FS5" s="261"/>
      <c r="FT5" s="261"/>
      <c r="FU5" s="261"/>
      <c r="FV5" s="261"/>
      <c r="FW5" s="261"/>
      <c r="FX5" s="261"/>
      <c r="FY5" s="261"/>
      <c r="FZ5" s="261"/>
      <c r="GA5" s="261"/>
      <c r="GB5" s="261"/>
      <c r="GC5" s="261"/>
      <c r="GD5" s="261"/>
      <c r="GE5" s="261"/>
      <c r="GF5" s="261"/>
      <c r="GG5" s="261"/>
      <c r="GH5" s="261"/>
      <c r="GI5" s="261"/>
      <c r="GJ5" s="261"/>
      <c r="GK5" s="261"/>
      <c r="GL5" s="261"/>
      <c r="GM5" s="261"/>
      <c r="GN5" s="261"/>
      <c r="GO5" s="261"/>
      <c r="GP5" s="261"/>
      <c r="GQ5" s="261"/>
      <c r="GR5" s="261"/>
      <c r="GS5" s="261"/>
      <c r="GT5" s="261"/>
      <c r="GU5" s="261"/>
      <c r="GV5" s="261"/>
      <c r="GW5" s="261"/>
      <c r="GX5" s="261"/>
      <c r="GY5" s="261"/>
      <c r="GZ5" s="261"/>
      <c r="HA5" s="261"/>
      <c r="HB5" s="261"/>
      <c r="HC5" s="261"/>
      <c r="HD5" s="261"/>
      <c r="HE5" s="261"/>
      <c r="HF5" s="261"/>
      <c r="HG5" s="261"/>
      <c r="HH5" s="261"/>
      <c r="HI5" s="261"/>
      <c r="HJ5" s="261"/>
      <c r="HK5" s="261"/>
      <c r="HL5" s="261"/>
      <c r="HM5" s="261"/>
      <c r="HN5" s="261"/>
      <c r="HO5" s="261"/>
      <c r="HP5" s="261"/>
      <c r="HQ5" s="261"/>
      <c r="HR5" s="261"/>
      <c r="HS5" s="261"/>
      <c r="HT5" s="261"/>
      <c r="HU5" s="261"/>
      <c r="HV5" s="261"/>
      <c r="HW5" s="261"/>
      <c r="HX5" s="261"/>
      <c r="HY5" s="261"/>
      <c r="HZ5" s="261"/>
      <c r="IA5" s="261"/>
      <c r="IB5" s="261"/>
      <c r="IC5" s="261"/>
      <c r="ID5" s="261"/>
      <c r="IE5" s="261"/>
      <c r="IF5" s="261"/>
      <c r="IG5" s="261"/>
      <c r="IH5" s="261"/>
      <c r="II5" s="261"/>
      <c r="IJ5" s="261"/>
      <c r="IK5" s="261"/>
      <c r="IL5" s="261"/>
      <c r="IM5" s="261"/>
      <c r="IN5" s="261"/>
      <c r="IO5" s="261"/>
      <c r="IP5" s="261"/>
      <c r="IQ5" s="261"/>
    </row>
    <row r="6" spans="1:251" ht="30" customHeight="1" x14ac:dyDescent="0.3">
      <c r="B6" s="1752" t="s">
        <v>18</v>
      </c>
      <c r="C6" s="1755" t="s">
        <v>19</v>
      </c>
      <c r="D6" s="1758" t="s">
        <v>6</v>
      </c>
      <c r="E6" s="1749" t="s">
        <v>21</v>
      </c>
      <c r="F6" s="1749" t="s">
        <v>703</v>
      </c>
      <c r="G6" s="1767" t="s">
        <v>708</v>
      </c>
      <c r="H6" s="1764" t="s">
        <v>261</v>
      </c>
      <c r="I6" s="1743" t="s">
        <v>518</v>
      </c>
      <c r="J6" s="1744"/>
      <c r="K6" s="1744"/>
      <c r="L6" s="1745"/>
      <c r="M6" s="1746" t="s">
        <v>522</v>
      </c>
    </row>
    <row r="7" spans="1:251" ht="45.75" customHeight="1" x14ac:dyDescent="0.3">
      <c r="B7" s="1753"/>
      <c r="C7" s="1756"/>
      <c r="D7" s="1759"/>
      <c r="E7" s="1750"/>
      <c r="F7" s="1750"/>
      <c r="G7" s="1768"/>
      <c r="H7" s="1765"/>
      <c r="I7" s="253" t="s">
        <v>37</v>
      </c>
      <c r="J7" s="1761" t="s">
        <v>138</v>
      </c>
      <c r="K7" s="1761"/>
      <c r="L7" s="1762" t="s">
        <v>110</v>
      </c>
      <c r="M7" s="1747"/>
    </row>
    <row r="8" spans="1:251" ht="53.25" customHeight="1" thickBot="1" x14ac:dyDescent="0.35">
      <c r="B8" s="1754"/>
      <c r="C8" s="1757"/>
      <c r="D8" s="1760"/>
      <c r="E8" s="1751"/>
      <c r="F8" s="1751"/>
      <c r="G8" s="1769"/>
      <c r="H8" s="1766"/>
      <c r="I8" s="340" t="s">
        <v>40</v>
      </c>
      <c r="J8" s="274" t="s">
        <v>202</v>
      </c>
      <c r="K8" s="274" t="s">
        <v>139</v>
      </c>
      <c r="L8" s="1763"/>
      <c r="M8" s="1748"/>
    </row>
    <row r="9" spans="1:251" ht="23.25" customHeight="1" x14ac:dyDescent="0.3">
      <c r="A9" s="262">
        <v>1</v>
      </c>
      <c r="B9" s="339">
        <v>18</v>
      </c>
      <c r="C9" s="332" t="s">
        <v>31</v>
      </c>
      <c r="D9" s="967"/>
      <c r="E9" s="255"/>
      <c r="F9" s="264"/>
      <c r="G9" s="1391"/>
      <c r="H9" s="353"/>
      <c r="I9" s="341"/>
      <c r="J9" s="275"/>
      <c r="K9" s="275"/>
      <c r="L9" s="276"/>
      <c r="M9" s="265"/>
    </row>
    <row r="10" spans="1:251" ht="32.25" customHeight="1" x14ac:dyDescent="0.3">
      <c r="A10" s="262">
        <v>2</v>
      </c>
      <c r="B10" s="266"/>
      <c r="C10" s="271">
        <v>1</v>
      </c>
      <c r="D10" s="550" t="s">
        <v>520</v>
      </c>
      <c r="E10" s="268">
        <f>F10+G10+L12+M10</f>
        <v>34906</v>
      </c>
      <c r="F10" s="269">
        <f>5652+4318</f>
        <v>9970</v>
      </c>
      <c r="G10" s="1392">
        <v>8001</v>
      </c>
      <c r="H10" s="354" t="s">
        <v>24</v>
      </c>
      <c r="I10" s="342"/>
      <c r="J10" s="1058"/>
      <c r="K10" s="1059"/>
      <c r="L10" s="1060"/>
      <c r="M10" s="270"/>
    </row>
    <row r="11" spans="1:251" ht="17.100000000000001" customHeight="1" x14ac:dyDescent="0.3">
      <c r="A11" s="262">
        <v>3</v>
      </c>
      <c r="B11" s="266"/>
      <c r="C11" s="271"/>
      <c r="D11" s="459" t="s">
        <v>268</v>
      </c>
      <c r="E11" s="268"/>
      <c r="F11" s="269"/>
      <c r="G11" s="1392"/>
      <c r="H11" s="354"/>
      <c r="I11" s="342"/>
      <c r="J11" s="1058">
        <v>16935</v>
      </c>
      <c r="K11" s="1059"/>
      <c r="L11" s="1060">
        <f t="shared" ref="L11:L136" si="0">SUM(I11:K11)</f>
        <v>16935</v>
      </c>
      <c r="M11" s="270"/>
    </row>
    <row r="12" spans="1:251" ht="17.100000000000001" customHeight="1" x14ac:dyDescent="0.3">
      <c r="A12" s="262">
        <v>4</v>
      </c>
      <c r="B12" s="266"/>
      <c r="C12" s="271"/>
      <c r="D12" s="224" t="s">
        <v>796</v>
      </c>
      <c r="E12" s="268"/>
      <c r="F12" s="269"/>
      <c r="G12" s="1392"/>
      <c r="H12" s="354"/>
      <c r="I12" s="342"/>
      <c r="J12" s="277">
        <v>16935</v>
      </c>
      <c r="K12" s="277"/>
      <c r="L12" s="278">
        <f>SUM(I12:K12)</f>
        <v>16935</v>
      </c>
      <c r="M12" s="270"/>
    </row>
    <row r="13" spans="1:251" ht="17.100000000000001" customHeight="1" x14ac:dyDescent="0.3">
      <c r="A13" s="262">
        <v>5</v>
      </c>
      <c r="B13" s="266"/>
      <c r="C13" s="271"/>
      <c r="D13" s="976" t="s">
        <v>860</v>
      </c>
      <c r="E13" s="268"/>
      <c r="F13" s="269"/>
      <c r="G13" s="1392"/>
      <c r="H13" s="354"/>
      <c r="I13" s="342"/>
      <c r="J13" s="1079">
        <v>2477</v>
      </c>
      <c r="K13" s="277"/>
      <c r="L13" s="278">
        <f>SUM(I13:K13)</f>
        <v>2477</v>
      </c>
      <c r="M13" s="270"/>
    </row>
    <row r="14" spans="1:251" ht="32.25" customHeight="1" x14ac:dyDescent="0.3">
      <c r="A14" s="262">
        <v>6</v>
      </c>
      <c r="B14" s="266"/>
      <c r="C14" s="271">
        <v>2</v>
      </c>
      <c r="D14" s="550" t="s">
        <v>750</v>
      </c>
      <c r="E14" s="268">
        <f>F14+G14+L16+M14</f>
        <v>1000</v>
      </c>
      <c r="F14" s="269"/>
      <c r="G14" s="1392"/>
      <c r="H14" s="354" t="s">
        <v>24</v>
      </c>
      <c r="I14" s="342"/>
      <c r="J14" s="1059"/>
      <c r="K14" s="1059"/>
      <c r="L14" s="1060"/>
      <c r="M14" s="270"/>
    </row>
    <row r="15" spans="1:251" ht="17.100000000000001" customHeight="1" x14ac:dyDescent="0.3">
      <c r="A15" s="262">
        <v>7</v>
      </c>
      <c r="B15" s="266"/>
      <c r="C15" s="271"/>
      <c r="D15" s="459" t="s">
        <v>268</v>
      </c>
      <c r="E15" s="268"/>
      <c r="F15" s="269"/>
      <c r="G15" s="1392"/>
      <c r="H15" s="354"/>
      <c r="I15" s="342"/>
      <c r="J15" s="1059">
        <v>1000</v>
      </c>
      <c r="K15" s="1059"/>
      <c r="L15" s="1060">
        <f t="shared" si="0"/>
        <v>1000</v>
      </c>
      <c r="M15" s="270"/>
    </row>
    <row r="16" spans="1:251" ht="17.100000000000001" customHeight="1" x14ac:dyDescent="0.3">
      <c r="A16" s="262">
        <v>8</v>
      </c>
      <c r="B16" s="266"/>
      <c r="C16" s="271"/>
      <c r="D16" s="224" t="s">
        <v>796</v>
      </c>
      <c r="E16" s="268"/>
      <c r="F16" s="269"/>
      <c r="G16" s="1392"/>
      <c r="H16" s="354"/>
      <c r="I16" s="342"/>
      <c r="J16" s="277">
        <v>1000</v>
      </c>
      <c r="K16" s="277"/>
      <c r="L16" s="278">
        <f>SUM(I16:K16)</f>
        <v>1000</v>
      </c>
      <c r="M16" s="270"/>
    </row>
    <row r="17" spans="1:13" ht="17.100000000000001" customHeight="1" x14ac:dyDescent="0.3">
      <c r="A17" s="262">
        <v>9</v>
      </c>
      <c r="B17" s="266"/>
      <c r="C17" s="271"/>
      <c r="D17" s="976" t="s">
        <v>860</v>
      </c>
      <c r="E17" s="268"/>
      <c r="F17" s="269"/>
      <c r="G17" s="1392"/>
      <c r="H17" s="354"/>
      <c r="I17" s="342"/>
      <c r="J17" s="277"/>
      <c r="K17" s="277"/>
      <c r="L17" s="278">
        <f>SUM(I17:K17)</f>
        <v>0</v>
      </c>
      <c r="M17" s="270"/>
    </row>
    <row r="18" spans="1:13" ht="22.5" customHeight="1" x14ac:dyDescent="0.3">
      <c r="A18" s="262">
        <v>10</v>
      </c>
      <c r="B18" s="266"/>
      <c r="C18" s="267">
        <v>3</v>
      </c>
      <c r="D18" s="397" t="s">
        <v>420</v>
      </c>
      <c r="E18" s="268">
        <f>F18+G18+M18+L20</f>
        <v>3730</v>
      </c>
      <c r="F18" s="269">
        <f>3210+110+100+100+100</f>
        <v>3620</v>
      </c>
      <c r="G18" s="1392">
        <v>10</v>
      </c>
      <c r="H18" s="354" t="s">
        <v>24</v>
      </c>
      <c r="I18" s="342"/>
      <c r="J18" s="277"/>
      <c r="K18" s="277"/>
      <c r="L18" s="278"/>
      <c r="M18" s="270"/>
    </row>
    <row r="19" spans="1:13" ht="17.100000000000001" customHeight="1" x14ac:dyDescent="0.3">
      <c r="A19" s="262">
        <v>11</v>
      </c>
      <c r="B19" s="266"/>
      <c r="C19" s="267"/>
      <c r="D19" s="459" t="s">
        <v>268</v>
      </c>
      <c r="E19" s="268"/>
      <c r="F19" s="269"/>
      <c r="G19" s="1392"/>
      <c r="H19" s="354"/>
      <c r="I19" s="342"/>
      <c r="J19" s="1059">
        <v>100</v>
      </c>
      <c r="K19" s="277"/>
      <c r="L19" s="1061">
        <f t="shared" si="0"/>
        <v>100</v>
      </c>
      <c r="M19" s="270"/>
    </row>
    <row r="20" spans="1:13" ht="17.100000000000001" customHeight="1" x14ac:dyDescent="0.3">
      <c r="A20" s="262">
        <v>12</v>
      </c>
      <c r="B20" s="266"/>
      <c r="C20" s="267"/>
      <c r="D20" s="224" t="s">
        <v>796</v>
      </c>
      <c r="E20" s="268"/>
      <c r="F20" s="269"/>
      <c r="G20" s="1392"/>
      <c r="H20" s="354"/>
      <c r="I20" s="342"/>
      <c r="J20" s="277">
        <v>100</v>
      </c>
      <c r="K20" s="277"/>
      <c r="L20" s="278">
        <f>SUM(I20:K20)</f>
        <v>100</v>
      </c>
      <c r="M20" s="270"/>
    </row>
    <row r="21" spans="1:13" ht="17.100000000000001" customHeight="1" x14ac:dyDescent="0.3">
      <c r="A21" s="262">
        <v>13</v>
      </c>
      <c r="B21" s="266"/>
      <c r="C21" s="267"/>
      <c r="D21" s="976" t="s">
        <v>860</v>
      </c>
      <c r="E21" s="268"/>
      <c r="F21" s="269"/>
      <c r="G21" s="1392"/>
      <c r="H21" s="354"/>
      <c r="I21" s="342"/>
      <c r="J21" s="1079">
        <v>100</v>
      </c>
      <c r="K21" s="277"/>
      <c r="L21" s="278">
        <f>SUM(I21:K21)</f>
        <v>100</v>
      </c>
      <c r="M21" s="270"/>
    </row>
    <row r="22" spans="1:13" ht="22.5" customHeight="1" x14ac:dyDescent="0.3">
      <c r="A22" s="262">
        <v>14</v>
      </c>
      <c r="B22" s="266"/>
      <c r="C22" s="267">
        <v>4</v>
      </c>
      <c r="D22" s="397" t="s">
        <v>421</v>
      </c>
      <c r="E22" s="268">
        <f>F22+G22+L24+M22</f>
        <v>211670</v>
      </c>
      <c r="F22" s="269">
        <f>84090+35890+22900+22900</f>
        <v>165780</v>
      </c>
      <c r="G22" s="1392">
        <v>22990</v>
      </c>
      <c r="H22" s="354" t="s">
        <v>24</v>
      </c>
      <c r="I22" s="342"/>
      <c r="J22" s="277"/>
      <c r="K22" s="277"/>
      <c r="L22" s="278"/>
      <c r="M22" s="270"/>
    </row>
    <row r="23" spans="1:13" ht="17.100000000000001" customHeight="1" x14ac:dyDescent="0.3">
      <c r="A23" s="262">
        <v>15</v>
      </c>
      <c r="B23" s="266"/>
      <c r="C23" s="267"/>
      <c r="D23" s="459" t="s">
        <v>268</v>
      </c>
      <c r="E23" s="268"/>
      <c r="F23" s="269"/>
      <c r="G23" s="1392"/>
      <c r="H23" s="354"/>
      <c r="I23" s="342"/>
      <c r="J23" s="1059">
        <v>22900</v>
      </c>
      <c r="K23" s="277"/>
      <c r="L23" s="1061">
        <f t="shared" si="0"/>
        <v>22900</v>
      </c>
      <c r="M23" s="270"/>
    </row>
    <row r="24" spans="1:13" ht="17.100000000000001" customHeight="1" x14ac:dyDescent="0.3">
      <c r="A24" s="262">
        <v>16</v>
      </c>
      <c r="B24" s="266"/>
      <c r="C24" s="267"/>
      <c r="D24" s="224" t="s">
        <v>796</v>
      </c>
      <c r="E24" s="268"/>
      <c r="F24" s="269"/>
      <c r="G24" s="1392"/>
      <c r="H24" s="354"/>
      <c r="I24" s="342"/>
      <c r="J24" s="277">
        <v>22900</v>
      </c>
      <c r="K24" s="277"/>
      <c r="L24" s="278">
        <f t="shared" si="0"/>
        <v>22900</v>
      </c>
      <c r="M24" s="270"/>
    </row>
    <row r="25" spans="1:13" ht="17.100000000000001" customHeight="1" x14ac:dyDescent="0.3">
      <c r="A25" s="262">
        <v>17</v>
      </c>
      <c r="B25" s="266"/>
      <c r="C25" s="267"/>
      <c r="D25" s="976" t="s">
        <v>860</v>
      </c>
      <c r="E25" s="268"/>
      <c r="F25" s="269"/>
      <c r="G25" s="1392"/>
      <c r="H25" s="354"/>
      <c r="I25" s="342"/>
      <c r="J25" s="1079">
        <v>22900</v>
      </c>
      <c r="K25" s="277"/>
      <c r="L25" s="278">
        <f t="shared" si="0"/>
        <v>22900</v>
      </c>
      <c r="M25" s="270"/>
    </row>
    <row r="26" spans="1:13" ht="22.5" customHeight="1" x14ac:dyDescent="0.3">
      <c r="A26" s="262">
        <v>18</v>
      </c>
      <c r="B26" s="266"/>
      <c r="C26" s="267">
        <v>5</v>
      </c>
      <c r="D26" s="397" t="s">
        <v>422</v>
      </c>
      <c r="E26" s="268">
        <f>F26+G26+L28+M26</f>
        <v>5600</v>
      </c>
      <c r="F26" s="269">
        <f>100+1500+2000</f>
        <v>3600</v>
      </c>
      <c r="G26" s="1392">
        <v>1000</v>
      </c>
      <c r="H26" s="354" t="s">
        <v>24</v>
      </c>
      <c r="I26" s="342"/>
      <c r="J26" s="277"/>
      <c r="K26" s="277"/>
      <c r="L26" s="278"/>
      <c r="M26" s="270"/>
    </row>
    <row r="27" spans="1:13" ht="17.100000000000001" customHeight="1" x14ac:dyDescent="0.3">
      <c r="A27" s="262">
        <v>19</v>
      </c>
      <c r="B27" s="266"/>
      <c r="C27" s="267"/>
      <c r="D27" s="459" t="s">
        <v>268</v>
      </c>
      <c r="E27" s="268"/>
      <c r="F27" s="269"/>
      <c r="G27" s="1392"/>
      <c r="H27" s="354"/>
      <c r="I27" s="342"/>
      <c r="J27" s="1062">
        <v>1000</v>
      </c>
      <c r="K27" s="1062"/>
      <c r="L27" s="1061">
        <f t="shared" si="0"/>
        <v>1000</v>
      </c>
      <c r="M27" s="270"/>
    </row>
    <row r="28" spans="1:13" ht="17.100000000000001" customHeight="1" x14ac:dyDescent="0.3">
      <c r="A28" s="262">
        <v>20</v>
      </c>
      <c r="B28" s="266"/>
      <c r="C28" s="267"/>
      <c r="D28" s="224" t="s">
        <v>796</v>
      </c>
      <c r="E28" s="268"/>
      <c r="F28" s="269"/>
      <c r="G28" s="1392"/>
      <c r="H28" s="354"/>
      <c r="I28" s="342"/>
      <c r="J28" s="277">
        <v>1000</v>
      </c>
      <c r="K28" s="277"/>
      <c r="L28" s="278">
        <f t="shared" si="0"/>
        <v>1000</v>
      </c>
      <c r="M28" s="270"/>
    </row>
    <row r="29" spans="1:13" ht="17.100000000000001" customHeight="1" x14ac:dyDescent="0.3">
      <c r="A29" s="262">
        <v>21</v>
      </c>
      <c r="B29" s="266"/>
      <c r="C29" s="267"/>
      <c r="D29" s="976" t="s">
        <v>860</v>
      </c>
      <c r="E29" s="268"/>
      <c r="F29" s="269"/>
      <c r="G29" s="1392"/>
      <c r="H29" s="354"/>
      <c r="I29" s="342"/>
      <c r="J29" s="1079">
        <v>1000</v>
      </c>
      <c r="K29" s="277"/>
      <c r="L29" s="278">
        <f t="shared" si="0"/>
        <v>1000</v>
      </c>
      <c r="M29" s="270"/>
    </row>
    <row r="30" spans="1:13" ht="22.5" customHeight="1" x14ac:dyDescent="0.3">
      <c r="A30" s="262">
        <v>22</v>
      </c>
      <c r="B30" s="266"/>
      <c r="C30" s="267">
        <v>6</v>
      </c>
      <c r="D30" s="397" t="s">
        <v>423</v>
      </c>
      <c r="E30" s="268">
        <f>F30+G30+L32+M30</f>
        <v>574100</v>
      </c>
      <c r="F30" s="269">
        <f>82900+195200+98000</f>
        <v>376100</v>
      </c>
      <c r="G30" s="1392">
        <v>99000</v>
      </c>
      <c r="H30" s="354" t="s">
        <v>24</v>
      </c>
      <c r="I30" s="342"/>
      <c r="J30" s="277"/>
      <c r="K30" s="277"/>
      <c r="L30" s="278"/>
      <c r="M30" s="270"/>
    </row>
    <row r="31" spans="1:13" ht="17.100000000000001" customHeight="1" x14ac:dyDescent="0.3">
      <c r="A31" s="262">
        <v>23</v>
      </c>
      <c r="B31" s="266"/>
      <c r="C31" s="267"/>
      <c r="D31" s="459" t="s">
        <v>268</v>
      </c>
      <c r="E31" s="268"/>
      <c r="F31" s="269"/>
      <c r="G31" s="1392"/>
      <c r="H31" s="354"/>
      <c r="I31" s="342"/>
      <c r="J31" s="1062">
        <v>99000</v>
      </c>
      <c r="K31" s="1062"/>
      <c r="L31" s="1061">
        <f t="shared" si="0"/>
        <v>99000</v>
      </c>
      <c r="M31" s="270"/>
    </row>
    <row r="32" spans="1:13" ht="17.100000000000001" customHeight="1" x14ac:dyDescent="0.3">
      <c r="A32" s="262">
        <v>24</v>
      </c>
      <c r="B32" s="266"/>
      <c r="C32" s="267"/>
      <c r="D32" s="224" t="s">
        <v>796</v>
      </c>
      <c r="E32" s="268"/>
      <c r="F32" s="269"/>
      <c r="G32" s="1392"/>
      <c r="H32" s="354"/>
      <c r="I32" s="342"/>
      <c r="J32" s="277">
        <v>99000</v>
      </c>
      <c r="K32" s="277"/>
      <c r="L32" s="278">
        <f t="shared" si="0"/>
        <v>99000</v>
      </c>
      <c r="M32" s="270"/>
    </row>
    <row r="33" spans="1:13" ht="17.100000000000001" customHeight="1" x14ac:dyDescent="0.3">
      <c r="A33" s="262">
        <v>25</v>
      </c>
      <c r="B33" s="266"/>
      <c r="C33" s="267"/>
      <c r="D33" s="976" t="s">
        <v>860</v>
      </c>
      <c r="E33" s="268"/>
      <c r="F33" s="269"/>
      <c r="G33" s="1392"/>
      <c r="H33" s="354"/>
      <c r="I33" s="342"/>
      <c r="J33" s="1079">
        <v>99000</v>
      </c>
      <c r="K33" s="277"/>
      <c r="L33" s="278">
        <f t="shared" si="0"/>
        <v>99000</v>
      </c>
      <c r="M33" s="270"/>
    </row>
    <row r="34" spans="1:13" ht="22.5" customHeight="1" x14ac:dyDescent="0.3">
      <c r="A34" s="262">
        <v>26</v>
      </c>
      <c r="B34" s="266"/>
      <c r="C34" s="267">
        <v>7</v>
      </c>
      <c r="D34" s="176" t="s">
        <v>355</v>
      </c>
      <c r="E34" s="268">
        <f>F34+G34+L36+M34</f>
        <v>81487</v>
      </c>
      <c r="F34" s="269">
        <f>8127+11064+7643</f>
        <v>26834</v>
      </c>
      <c r="G34" s="1392">
        <v>7255</v>
      </c>
      <c r="H34" s="354" t="s">
        <v>24</v>
      </c>
      <c r="I34" s="342"/>
      <c r="J34" s="277"/>
      <c r="K34" s="277"/>
      <c r="L34" s="278"/>
      <c r="M34" s="270"/>
    </row>
    <row r="35" spans="1:13" ht="17.100000000000001" customHeight="1" x14ac:dyDescent="0.3">
      <c r="A35" s="262">
        <v>27</v>
      </c>
      <c r="B35" s="266"/>
      <c r="C35" s="267"/>
      <c r="D35" s="459" t="s">
        <v>268</v>
      </c>
      <c r="E35" s="268"/>
      <c r="F35" s="269"/>
      <c r="G35" s="1392"/>
      <c r="H35" s="354"/>
      <c r="I35" s="1063">
        <v>391</v>
      </c>
      <c r="J35" s="1062">
        <v>44298</v>
      </c>
      <c r="K35" s="1062"/>
      <c r="L35" s="1061">
        <f t="shared" si="0"/>
        <v>44689</v>
      </c>
      <c r="M35" s="270"/>
    </row>
    <row r="36" spans="1:13" ht="17.100000000000001" customHeight="1" x14ac:dyDescent="0.3">
      <c r="A36" s="262">
        <v>28</v>
      </c>
      <c r="B36" s="266"/>
      <c r="C36" s="267"/>
      <c r="D36" s="224" t="s">
        <v>796</v>
      </c>
      <c r="E36" s="268"/>
      <c r="F36" s="269"/>
      <c r="G36" s="1392"/>
      <c r="H36" s="354"/>
      <c r="I36" s="342">
        <v>391</v>
      </c>
      <c r="J36" s="277">
        <v>47007</v>
      </c>
      <c r="K36" s="277"/>
      <c r="L36" s="278">
        <f t="shared" si="0"/>
        <v>47398</v>
      </c>
      <c r="M36" s="270"/>
    </row>
    <row r="37" spans="1:13" ht="17.100000000000001" customHeight="1" x14ac:dyDescent="0.3">
      <c r="A37" s="262">
        <v>29</v>
      </c>
      <c r="B37" s="266"/>
      <c r="C37" s="267"/>
      <c r="D37" s="976" t="s">
        <v>861</v>
      </c>
      <c r="E37" s="268"/>
      <c r="F37" s="269"/>
      <c r="G37" s="1392"/>
      <c r="H37" s="354"/>
      <c r="I37" s="1509">
        <v>1</v>
      </c>
      <c r="J37" s="1079"/>
      <c r="K37" s="277"/>
      <c r="L37" s="1321">
        <f t="shared" si="0"/>
        <v>1</v>
      </c>
      <c r="M37" s="270"/>
    </row>
    <row r="38" spans="1:13" ht="32.25" customHeight="1" x14ac:dyDescent="0.3">
      <c r="A38" s="262">
        <v>30</v>
      </c>
      <c r="B38" s="266"/>
      <c r="C38" s="271">
        <v>8</v>
      </c>
      <c r="D38" s="550" t="s">
        <v>485</v>
      </c>
      <c r="E38" s="268">
        <f>F38+G38+L40+M38</f>
        <v>21748</v>
      </c>
      <c r="F38" s="269"/>
      <c r="G38" s="1392">
        <v>9028</v>
      </c>
      <c r="H38" s="354" t="s">
        <v>24</v>
      </c>
      <c r="I38" s="342"/>
      <c r="J38" s="277"/>
      <c r="K38" s="277"/>
      <c r="L38" s="278"/>
      <c r="M38" s="270"/>
    </row>
    <row r="39" spans="1:13" ht="17.100000000000001" customHeight="1" x14ac:dyDescent="0.3">
      <c r="A39" s="262">
        <v>31</v>
      </c>
      <c r="B39" s="266"/>
      <c r="C39" s="271"/>
      <c r="D39" s="459" t="s">
        <v>268</v>
      </c>
      <c r="E39" s="268"/>
      <c r="F39" s="269"/>
      <c r="G39" s="1392"/>
      <c r="H39" s="354"/>
      <c r="I39" s="342"/>
      <c r="J39" s="1062">
        <v>9020</v>
      </c>
      <c r="K39" s="1062"/>
      <c r="L39" s="1062">
        <f t="shared" si="0"/>
        <v>9020</v>
      </c>
      <c r="M39" s="270"/>
    </row>
    <row r="40" spans="1:13" ht="17.100000000000001" customHeight="1" x14ac:dyDescent="0.3">
      <c r="A40" s="262">
        <v>32</v>
      </c>
      <c r="B40" s="266"/>
      <c r="C40" s="271"/>
      <c r="D40" s="224" t="s">
        <v>796</v>
      </c>
      <c r="E40" s="268"/>
      <c r="F40" s="269"/>
      <c r="G40" s="1392"/>
      <c r="H40" s="354"/>
      <c r="I40" s="342"/>
      <c r="J40" s="277">
        <v>12720</v>
      </c>
      <c r="K40" s="277"/>
      <c r="L40" s="277">
        <f t="shared" si="0"/>
        <v>12720</v>
      </c>
      <c r="M40" s="270"/>
    </row>
    <row r="41" spans="1:13" ht="17.100000000000001" customHeight="1" x14ac:dyDescent="0.3">
      <c r="A41" s="262">
        <v>33</v>
      </c>
      <c r="B41" s="266"/>
      <c r="C41" s="271"/>
      <c r="D41" s="976" t="s">
        <v>861</v>
      </c>
      <c r="E41" s="268"/>
      <c r="F41" s="269"/>
      <c r="G41" s="1392"/>
      <c r="H41" s="354"/>
      <c r="I41" s="1509">
        <v>640</v>
      </c>
      <c r="J41" s="1079">
        <f>3758+50</f>
        <v>3808</v>
      </c>
      <c r="K41" s="277"/>
      <c r="L41" s="1321">
        <f t="shared" si="0"/>
        <v>4448</v>
      </c>
      <c r="M41" s="270"/>
    </row>
    <row r="42" spans="1:13" ht="50.25" customHeight="1" x14ac:dyDescent="0.3">
      <c r="A42" s="262">
        <v>34</v>
      </c>
      <c r="B42" s="266"/>
      <c r="C42" s="271">
        <v>9</v>
      </c>
      <c r="D42" s="176" t="s">
        <v>521</v>
      </c>
      <c r="E42" s="268">
        <f>F42+G42+L44+M42</f>
        <v>27813</v>
      </c>
      <c r="F42" s="269"/>
      <c r="G42" s="1392"/>
      <c r="H42" s="354" t="s">
        <v>24</v>
      </c>
      <c r="I42" s="342"/>
      <c r="J42" s="277"/>
      <c r="K42" s="277"/>
      <c r="L42" s="278"/>
      <c r="M42" s="270"/>
    </row>
    <row r="43" spans="1:13" ht="17.100000000000001" customHeight="1" x14ac:dyDescent="0.3">
      <c r="A43" s="262">
        <v>35</v>
      </c>
      <c r="B43" s="266"/>
      <c r="C43" s="271"/>
      <c r="D43" s="459" t="s">
        <v>268</v>
      </c>
      <c r="E43" s="268"/>
      <c r="F43" s="269"/>
      <c r="G43" s="1392"/>
      <c r="H43" s="354"/>
      <c r="I43" s="342"/>
      <c r="J43" s="1062">
        <v>27813</v>
      </c>
      <c r="K43" s="1062"/>
      <c r="L43" s="1061">
        <f t="shared" si="0"/>
        <v>27813</v>
      </c>
      <c r="M43" s="270"/>
    </row>
    <row r="44" spans="1:13" ht="17.100000000000001" customHeight="1" x14ac:dyDescent="0.3">
      <c r="A44" s="262">
        <v>36</v>
      </c>
      <c r="B44" s="266"/>
      <c r="C44" s="271"/>
      <c r="D44" s="224" t="s">
        <v>796</v>
      </c>
      <c r="E44" s="268"/>
      <c r="F44" s="269"/>
      <c r="G44" s="1392"/>
      <c r="H44" s="354"/>
      <c r="I44" s="342"/>
      <c r="J44" s="277">
        <v>27813</v>
      </c>
      <c r="K44" s="277"/>
      <c r="L44" s="278">
        <f t="shared" si="0"/>
        <v>27813</v>
      </c>
      <c r="M44" s="270"/>
    </row>
    <row r="45" spans="1:13" ht="17.100000000000001" customHeight="1" x14ac:dyDescent="0.3">
      <c r="A45" s="262">
        <v>37</v>
      </c>
      <c r="B45" s="266"/>
      <c r="C45" s="271"/>
      <c r="D45" s="976" t="s">
        <v>860</v>
      </c>
      <c r="E45" s="268"/>
      <c r="F45" s="269"/>
      <c r="G45" s="1392"/>
      <c r="H45" s="354"/>
      <c r="I45" s="342"/>
      <c r="J45" s="277"/>
      <c r="K45" s="277"/>
      <c r="L45" s="278">
        <f t="shared" si="0"/>
        <v>0</v>
      </c>
      <c r="M45" s="270"/>
    </row>
    <row r="46" spans="1:13" ht="22.5" customHeight="1" x14ac:dyDescent="0.3">
      <c r="A46" s="262">
        <v>38</v>
      </c>
      <c r="B46" s="266"/>
      <c r="C46" s="267">
        <v>10</v>
      </c>
      <c r="D46" s="176" t="s">
        <v>523</v>
      </c>
      <c r="E46" s="268">
        <f>F46+G46+L48+M46</f>
        <v>28519</v>
      </c>
      <c r="F46" s="269"/>
      <c r="G46" s="1392"/>
      <c r="H46" s="354" t="s">
        <v>24</v>
      </c>
      <c r="I46" s="342"/>
      <c r="J46" s="277"/>
      <c r="K46" s="277"/>
      <c r="L46" s="278"/>
      <c r="M46" s="270"/>
    </row>
    <row r="47" spans="1:13" ht="17.100000000000001" customHeight="1" x14ac:dyDescent="0.3">
      <c r="A47" s="262">
        <v>39</v>
      </c>
      <c r="B47" s="266"/>
      <c r="C47" s="267"/>
      <c r="D47" s="459" t="s">
        <v>268</v>
      </c>
      <c r="E47" s="268"/>
      <c r="F47" s="269"/>
      <c r="G47" s="1392"/>
      <c r="H47" s="354"/>
      <c r="I47" s="342"/>
      <c r="J47" s="1062">
        <v>27265</v>
      </c>
      <c r="K47" s="1062"/>
      <c r="L47" s="1061">
        <f t="shared" si="0"/>
        <v>27265</v>
      </c>
      <c r="M47" s="270"/>
    </row>
    <row r="48" spans="1:13" ht="17.100000000000001" customHeight="1" x14ac:dyDescent="0.3">
      <c r="A48" s="262">
        <v>40</v>
      </c>
      <c r="B48" s="266"/>
      <c r="C48" s="267"/>
      <c r="D48" s="224" t="s">
        <v>796</v>
      </c>
      <c r="E48" s="268"/>
      <c r="F48" s="269"/>
      <c r="G48" s="1392"/>
      <c r="H48" s="354"/>
      <c r="I48" s="342"/>
      <c r="J48" s="277">
        <v>28519</v>
      </c>
      <c r="K48" s="277"/>
      <c r="L48" s="278">
        <f t="shared" si="0"/>
        <v>28519</v>
      </c>
      <c r="M48" s="270"/>
    </row>
    <row r="49" spans="1:13" ht="17.100000000000001" customHeight="1" x14ac:dyDescent="0.3">
      <c r="A49" s="262">
        <v>41</v>
      </c>
      <c r="B49" s="266"/>
      <c r="C49" s="267"/>
      <c r="D49" s="976" t="s">
        <v>861</v>
      </c>
      <c r="E49" s="268"/>
      <c r="F49" s="269"/>
      <c r="G49" s="1392"/>
      <c r="H49" s="354"/>
      <c r="I49" s="342"/>
      <c r="J49" s="1079">
        <v>9652</v>
      </c>
      <c r="K49" s="277"/>
      <c r="L49" s="1321">
        <f t="shared" si="0"/>
        <v>9652</v>
      </c>
      <c r="M49" s="270"/>
    </row>
    <row r="50" spans="1:13" ht="32.25" customHeight="1" x14ac:dyDescent="0.3">
      <c r="A50" s="262">
        <v>42</v>
      </c>
      <c r="B50" s="266"/>
      <c r="C50" s="271">
        <v>11</v>
      </c>
      <c r="D50" s="176" t="s">
        <v>524</v>
      </c>
      <c r="E50" s="268">
        <f>F50+G50+L52+M50</f>
        <v>5500</v>
      </c>
      <c r="F50" s="269"/>
      <c r="G50" s="1392"/>
      <c r="H50" s="354" t="s">
        <v>24</v>
      </c>
      <c r="I50" s="342"/>
      <c r="J50" s="277"/>
      <c r="K50" s="277"/>
      <c r="L50" s="278"/>
      <c r="M50" s="270"/>
    </row>
    <row r="51" spans="1:13" ht="17.100000000000001" customHeight="1" x14ac:dyDescent="0.3">
      <c r="A51" s="262">
        <v>43</v>
      </c>
      <c r="B51" s="266"/>
      <c r="C51" s="271"/>
      <c r="D51" s="459" t="s">
        <v>268</v>
      </c>
      <c r="E51" s="268"/>
      <c r="F51" s="269"/>
      <c r="G51" s="1392"/>
      <c r="H51" s="354"/>
      <c r="I51" s="342"/>
      <c r="J51" s="1062">
        <v>5500</v>
      </c>
      <c r="K51" s="1062"/>
      <c r="L51" s="1061">
        <f t="shared" si="0"/>
        <v>5500</v>
      </c>
      <c r="M51" s="270"/>
    </row>
    <row r="52" spans="1:13" ht="17.100000000000001" customHeight="1" x14ac:dyDescent="0.3">
      <c r="A52" s="262">
        <v>44</v>
      </c>
      <c r="B52" s="266"/>
      <c r="C52" s="271"/>
      <c r="D52" s="224" t="s">
        <v>796</v>
      </c>
      <c r="E52" s="268"/>
      <c r="F52" s="269"/>
      <c r="G52" s="1392"/>
      <c r="H52" s="354"/>
      <c r="I52" s="342"/>
      <c r="J52" s="277">
        <v>5500</v>
      </c>
      <c r="K52" s="277"/>
      <c r="L52" s="278">
        <f t="shared" si="0"/>
        <v>5500</v>
      </c>
      <c r="M52" s="270"/>
    </row>
    <row r="53" spans="1:13" ht="17.100000000000001" customHeight="1" x14ac:dyDescent="0.3">
      <c r="A53" s="262">
        <v>45</v>
      </c>
      <c r="B53" s="266"/>
      <c r="C53" s="271"/>
      <c r="D53" s="976" t="s">
        <v>860</v>
      </c>
      <c r="E53" s="268"/>
      <c r="F53" s="269"/>
      <c r="G53" s="1392"/>
      <c r="H53" s="354"/>
      <c r="I53" s="342"/>
      <c r="J53" s="277"/>
      <c r="K53" s="277"/>
      <c r="L53" s="278">
        <f t="shared" si="0"/>
        <v>0</v>
      </c>
      <c r="M53" s="270"/>
    </row>
    <row r="54" spans="1:13" ht="22.5" customHeight="1" x14ac:dyDescent="0.3">
      <c r="A54" s="262">
        <v>46</v>
      </c>
      <c r="B54" s="266"/>
      <c r="C54" s="267">
        <v>12</v>
      </c>
      <c r="D54" s="176" t="s">
        <v>525</v>
      </c>
      <c r="E54" s="268">
        <f>F54+G54+L56+M54</f>
        <v>1500</v>
      </c>
      <c r="F54" s="269"/>
      <c r="G54" s="1392"/>
      <c r="H54" s="354" t="s">
        <v>24</v>
      </c>
      <c r="I54" s="342"/>
      <c r="J54" s="277"/>
      <c r="K54" s="277"/>
      <c r="L54" s="278"/>
      <c r="M54" s="270"/>
    </row>
    <row r="55" spans="1:13" ht="17.100000000000001" customHeight="1" x14ac:dyDescent="0.3">
      <c r="A55" s="262">
        <v>47</v>
      </c>
      <c r="B55" s="266"/>
      <c r="C55" s="267"/>
      <c r="D55" s="459" t="s">
        <v>268</v>
      </c>
      <c r="E55" s="268"/>
      <c r="F55" s="269"/>
      <c r="G55" s="1392"/>
      <c r="H55" s="354"/>
      <c r="I55" s="342"/>
      <c r="J55" s="1062">
        <v>1500</v>
      </c>
      <c r="K55" s="1062"/>
      <c r="L55" s="1061">
        <f t="shared" si="0"/>
        <v>1500</v>
      </c>
      <c r="M55" s="270"/>
    </row>
    <row r="56" spans="1:13" ht="17.100000000000001" customHeight="1" x14ac:dyDescent="0.3">
      <c r="A56" s="262">
        <v>48</v>
      </c>
      <c r="B56" s="266"/>
      <c r="C56" s="267"/>
      <c r="D56" s="224" t="s">
        <v>796</v>
      </c>
      <c r="E56" s="268"/>
      <c r="F56" s="269"/>
      <c r="G56" s="1392"/>
      <c r="H56" s="354"/>
      <c r="I56" s="342"/>
      <c r="J56" s="277">
        <v>1500</v>
      </c>
      <c r="K56" s="277"/>
      <c r="L56" s="278">
        <f t="shared" si="0"/>
        <v>1500</v>
      </c>
      <c r="M56" s="270"/>
    </row>
    <row r="57" spans="1:13" ht="17.100000000000001" customHeight="1" x14ac:dyDescent="0.3">
      <c r="A57" s="262">
        <v>49</v>
      </c>
      <c r="B57" s="266"/>
      <c r="C57" s="267"/>
      <c r="D57" s="976" t="s">
        <v>860</v>
      </c>
      <c r="E57" s="268"/>
      <c r="F57" s="269"/>
      <c r="G57" s="1392"/>
      <c r="H57" s="354"/>
      <c r="I57" s="342"/>
      <c r="J57" s="277"/>
      <c r="K57" s="277"/>
      <c r="L57" s="278">
        <f t="shared" si="0"/>
        <v>0</v>
      </c>
      <c r="M57" s="270"/>
    </row>
    <row r="58" spans="1:13" ht="63" customHeight="1" x14ac:dyDescent="0.3">
      <c r="A58" s="262">
        <v>50</v>
      </c>
      <c r="B58" s="266"/>
      <c r="C58" s="271"/>
      <c r="D58" s="550" t="s">
        <v>526</v>
      </c>
      <c r="E58" s="268"/>
      <c r="F58" s="269"/>
      <c r="G58" s="1392"/>
      <c r="H58" s="354" t="s">
        <v>23</v>
      </c>
      <c r="I58" s="342"/>
      <c r="J58" s="277"/>
      <c r="K58" s="277"/>
      <c r="L58" s="278"/>
      <c r="M58" s="270"/>
    </row>
    <row r="59" spans="1:13" ht="18" customHeight="1" x14ac:dyDescent="0.35">
      <c r="A59" s="262">
        <v>51</v>
      </c>
      <c r="B59" s="266"/>
      <c r="C59" s="267">
        <v>13</v>
      </c>
      <c r="D59" s="948" t="s">
        <v>527</v>
      </c>
      <c r="E59" s="268">
        <f>F59+G59+L61+M59</f>
        <v>206114</v>
      </c>
      <c r="F59" s="269"/>
      <c r="G59" s="1392"/>
      <c r="H59" s="354"/>
      <c r="I59" s="342"/>
      <c r="J59" s="277"/>
      <c r="K59" s="277"/>
      <c r="L59" s="278"/>
      <c r="M59" s="270"/>
    </row>
    <row r="60" spans="1:13" ht="17.100000000000001" customHeight="1" x14ac:dyDescent="0.3">
      <c r="A60" s="262">
        <v>52</v>
      </c>
      <c r="B60" s="266"/>
      <c r="C60" s="267"/>
      <c r="D60" s="459" t="s">
        <v>268</v>
      </c>
      <c r="E60" s="268"/>
      <c r="F60" s="269"/>
      <c r="G60" s="1392"/>
      <c r="H60" s="354"/>
      <c r="I60" s="342"/>
      <c r="J60" s="1062">
        <v>206114</v>
      </c>
      <c r="K60" s="1062"/>
      <c r="L60" s="1061">
        <f t="shared" si="0"/>
        <v>206114</v>
      </c>
      <c r="M60" s="270"/>
    </row>
    <row r="61" spans="1:13" ht="17.100000000000001" customHeight="1" x14ac:dyDescent="0.3">
      <c r="A61" s="262">
        <v>53</v>
      </c>
      <c r="B61" s="266"/>
      <c r="C61" s="267"/>
      <c r="D61" s="224" t="s">
        <v>796</v>
      </c>
      <c r="E61" s="268"/>
      <c r="F61" s="269"/>
      <c r="G61" s="1392"/>
      <c r="H61" s="354"/>
      <c r="I61" s="342"/>
      <c r="J61" s="277">
        <v>206114</v>
      </c>
      <c r="K61" s="277"/>
      <c r="L61" s="278">
        <f t="shared" si="0"/>
        <v>206114</v>
      </c>
      <c r="M61" s="270"/>
    </row>
    <row r="62" spans="1:13" ht="17.100000000000001" customHeight="1" x14ac:dyDescent="0.3">
      <c r="A62" s="262">
        <v>54</v>
      </c>
      <c r="B62" s="266"/>
      <c r="C62" s="267"/>
      <c r="D62" s="976" t="s">
        <v>860</v>
      </c>
      <c r="E62" s="268"/>
      <c r="F62" s="269"/>
      <c r="G62" s="1392"/>
      <c r="H62" s="354"/>
      <c r="I62" s="342"/>
      <c r="J62" s="277"/>
      <c r="K62" s="277"/>
      <c r="L62" s="278">
        <f t="shared" si="0"/>
        <v>0</v>
      </c>
      <c r="M62" s="270"/>
    </row>
    <row r="63" spans="1:13" ht="18" customHeight="1" x14ac:dyDescent="0.35">
      <c r="A63" s="262">
        <v>55</v>
      </c>
      <c r="B63" s="266"/>
      <c r="C63" s="267">
        <v>14</v>
      </c>
      <c r="D63" s="948" t="s">
        <v>528</v>
      </c>
      <c r="E63" s="268">
        <f>F63+G63+L65+M63</f>
        <v>28183</v>
      </c>
      <c r="F63" s="269"/>
      <c r="G63" s="1392"/>
      <c r="H63" s="354"/>
      <c r="I63" s="342"/>
      <c r="J63" s="277"/>
      <c r="K63" s="277"/>
      <c r="L63" s="278"/>
      <c r="M63" s="270"/>
    </row>
    <row r="64" spans="1:13" ht="17.100000000000001" customHeight="1" x14ac:dyDescent="0.3">
      <c r="A64" s="262">
        <v>56</v>
      </c>
      <c r="B64" s="266"/>
      <c r="C64" s="267"/>
      <c r="D64" s="459" t="s">
        <v>268</v>
      </c>
      <c r="E64" s="268"/>
      <c r="F64" s="269"/>
      <c r="G64" s="1392"/>
      <c r="H64" s="354"/>
      <c r="I64" s="342"/>
      <c r="J64" s="1062">
        <v>28183</v>
      </c>
      <c r="K64" s="1062"/>
      <c r="L64" s="1061">
        <f t="shared" si="0"/>
        <v>28183</v>
      </c>
      <c r="M64" s="270"/>
    </row>
    <row r="65" spans="1:13" ht="17.100000000000001" customHeight="1" x14ac:dyDescent="0.3">
      <c r="A65" s="262">
        <v>57</v>
      </c>
      <c r="B65" s="266"/>
      <c r="C65" s="267"/>
      <c r="D65" s="224" t="s">
        <v>796</v>
      </c>
      <c r="E65" s="268"/>
      <c r="F65" s="269"/>
      <c r="G65" s="1392"/>
      <c r="H65" s="354"/>
      <c r="I65" s="342"/>
      <c r="J65" s="277">
        <v>28183</v>
      </c>
      <c r="K65" s="277"/>
      <c r="L65" s="278">
        <f t="shared" si="0"/>
        <v>28183</v>
      </c>
      <c r="M65" s="270"/>
    </row>
    <row r="66" spans="1:13" ht="17.100000000000001" customHeight="1" x14ac:dyDescent="0.3">
      <c r="A66" s="262">
        <v>58</v>
      </c>
      <c r="B66" s="266"/>
      <c r="C66" s="267"/>
      <c r="D66" s="976" t="s">
        <v>860</v>
      </c>
      <c r="E66" s="268"/>
      <c r="F66" s="269"/>
      <c r="G66" s="1392"/>
      <c r="H66" s="354"/>
      <c r="I66" s="342"/>
      <c r="J66" s="277"/>
      <c r="K66" s="277"/>
      <c r="L66" s="278">
        <f t="shared" si="0"/>
        <v>0</v>
      </c>
      <c r="M66" s="270"/>
    </row>
    <row r="67" spans="1:13" ht="32.25" customHeight="1" x14ac:dyDescent="0.3">
      <c r="A67" s="262">
        <v>59</v>
      </c>
      <c r="B67" s="266"/>
      <c r="C67" s="271">
        <v>15</v>
      </c>
      <c r="D67" s="550" t="s">
        <v>424</v>
      </c>
      <c r="E67" s="268">
        <f>F67+G67+L69+M67</f>
        <v>21891</v>
      </c>
      <c r="F67" s="269"/>
      <c r="G67" s="1392"/>
      <c r="H67" s="354" t="s">
        <v>23</v>
      </c>
      <c r="I67" s="342"/>
      <c r="J67" s="277"/>
      <c r="K67" s="277"/>
      <c r="L67" s="278"/>
      <c r="M67" s="270"/>
    </row>
    <row r="68" spans="1:13" ht="17.100000000000001" customHeight="1" x14ac:dyDescent="0.3">
      <c r="A68" s="262">
        <v>60</v>
      </c>
      <c r="B68" s="266"/>
      <c r="C68" s="271"/>
      <c r="D68" s="459" t="s">
        <v>268</v>
      </c>
      <c r="E68" s="268"/>
      <c r="F68" s="269"/>
      <c r="G68" s="1392"/>
      <c r="H68" s="354"/>
      <c r="I68" s="342"/>
      <c r="J68" s="1062">
        <v>21891</v>
      </c>
      <c r="K68" s="1062"/>
      <c r="L68" s="1061">
        <f t="shared" si="0"/>
        <v>21891</v>
      </c>
      <c r="M68" s="270"/>
    </row>
    <row r="69" spans="1:13" ht="17.100000000000001" customHeight="1" x14ac:dyDescent="0.3">
      <c r="A69" s="262">
        <v>61</v>
      </c>
      <c r="B69" s="266"/>
      <c r="C69" s="271"/>
      <c r="D69" s="224" t="s">
        <v>796</v>
      </c>
      <c r="E69" s="268"/>
      <c r="F69" s="269"/>
      <c r="G69" s="1392"/>
      <c r="H69" s="354"/>
      <c r="I69" s="342"/>
      <c r="J69" s="277">
        <v>21891</v>
      </c>
      <c r="K69" s="277"/>
      <c r="L69" s="278">
        <f t="shared" si="0"/>
        <v>21891</v>
      </c>
      <c r="M69" s="270"/>
    </row>
    <row r="70" spans="1:13" ht="17.100000000000001" customHeight="1" x14ac:dyDescent="0.3">
      <c r="A70" s="262">
        <v>62</v>
      </c>
      <c r="B70" s="266"/>
      <c r="C70" s="271"/>
      <c r="D70" s="976" t="s">
        <v>860</v>
      </c>
      <c r="E70" s="268"/>
      <c r="F70" s="269"/>
      <c r="G70" s="1392"/>
      <c r="H70" s="354"/>
      <c r="I70" s="342"/>
      <c r="J70" s="1079">
        <v>2184</v>
      </c>
      <c r="K70" s="1079"/>
      <c r="L70" s="1321">
        <f t="shared" si="0"/>
        <v>2184</v>
      </c>
      <c r="M70" s="270"/>
    </row>
    <row r="71" spans="1:13" ht="32.25" customHeight="1" x14ac:dyDescent="0.3">
      <c r="A71" s="262">
        <v>63</v>
      </c>
      <c r="B71" s="266"/>
      <c r="C71" s="271">
        <v>16</v>
      </c>
      <c r="D71" s="550" t="s">
        <v>425</v>
      </c>
      <c r="E71" s="268">
        <f>F71+G71+L73+M71</f>
        <v>28848</v>
      </c>
      <c r="F71" s="269"/>
      <c r="G71" s="1392">
        <v>996</v>
      </c>
      <c r="H71" s="354" t="s">
        <v>23</v>
      </c>
      <c r="I71" s="342"/>
      <c r="J71" s="277"/>
      <c r="K71" s="277"/>
      <c r="L71" s="278"/>
      <c r="M71" s="270"/>
    </row>
    <row r="72" spans="1:13" ht="17.100000000000001" customHeight="1" x14ac:dyDescent="0.3">
      <c r="A72" s="262">
        <v>64</v>
      </c>
      <c r="B72" s="266"/>
      <c r="C72" s="271"/>
      <c r="D72" s="459" t="s">
        <v>268</v>
      </c>
      <c r="E72" s="268"/>
      <c r="F72" s="269"/>
      <c r="G72" s="1392"/>
      <c r="H72" s="354"/>
      <c r="I72" s="342"/>
      <c r="J72" s="1062">
        <v>21864</v>
      </c>
      <c r="K72" s="1062"/>
      <c r="L72" s="1061">
        <f t="shared" si="0"/>
        <v>21864</v>
      </c>
      <c r="M72" s="270"/>
    </row>
    <row r="73" spans="1:13" ht="17.100000000000001" customHeight="1" x14ac:dyDescent="0.3">
      <c r="A73" s="262">
        <v>65</v>
      </c>
      <c r="B73" s="266"/>
      <c r="C73" s="271"/>
      <c r="D73" s="224" t="s">
        <v>796</v>
      </c>
      <c r="E73" s="268"/>
      <c r="F73" s="269"/>
      <c r="G73" s="1392"/>
      <c r="H73" s="354"/>
      <c r="I73" s="342"/>
      <c r="J73" s="277">
        <v>27852</v>
      </c>
      <c r="K73" s="277"/>
      <c r="L73" s="278">
        <f t="shared" si="0"/>
        <v>27852</v>
      </c>
      <c r="M73" s="270"/>
    </row>
    <row r="74" spans="1:13" ht="17.100000000000001" customHeight="1" x14ac:dyDescent="0.3">
      <c r="A74" s="262">
        <v>66</v>
      </c>
      <c r="B74" s="266"/>
      <c r="C74" s="271"/>
      <c r="D74" s="976" t="s">
        <v>861</v>
      </c>
      <c r="E74" s="268"/>
      <c r="F74" s="269"/>
      <c r="G74" s="1392"/>
      <c r="H74" s="354"/>
      <c r="I74" s="342"/>
      <c r="J74" s="1079">
        <v>27852</v>
      </c>
      <c r="K74" s="277"/>
      <c r="L74" s="1321">
        <f t="shared" si="0"/>
        <v>27852</v>
      </c>
      <c r="M74" s="270"/>
    </row>
    <row r="75" spans="1:13" ht="51.95" customHeight="1" x14ac:dyDescent="0.3">
      <c r="A75" s="262">
        <v>67</v>
      </c>
      <c r="B75" s="266"/>
      <c r="C75" s="271">
        <v>17</v>
      </c>
      <c r="D75" s="550" t="s">
        <v>426</v>
      </c>
      <c r="E75" s="268">
        <f>F75+G75+L77+M75</f>
        <v>23252</v>
      </c>
      <c r="F75" s="269"/>
      <c r="G75" s="1392">
        <v>767</v>
      </c>
      <c r="H75" s="354" t="s">
        <v>23</v>
      </c>
      <c r="I75" s="342"/>
      <c r="J75" s="277"/>
      <c r="K75" s="277"/>
      <c r="L75" s="278"/>
      <c r="M75" s="270"/>
    </row>
    <row r="76" spans="1:13" ht="17.100000000000001" customHeight="1" x14ac:dyDescent="0.3">
      <c r="A76" s="262">
        <v>68</v>
      </c>
      <c r="B76" s="266"/>
      <c r="C76" s="271"/>
      <c r="D76" s="459" t="s">
        <v>268</v>
      </c>
      <c r="E76" s="268"/>
      <c r="F76" s="269"/>
      <c r="G76" s="1392"/>
      <c r="H76" s="354"/>
      <c r="I76" s="342"/>
      <c r="J76" s="1062">
        <v>20188</v>
      </c>
      <c r="K76" s="277"/>
      <c r="L76" s="1061">
        <f t="shared" si="0"/>
        <v>20188</v>
      </c>
      <c r="M76" s="270"/>
    </row>
    <row r="77" spans="1:13" ht="17.100000000000001" customHeight="1" x14ac:dyDescent="0.3">
      <c r="A77" s="262">
        <v>69</v>
      </c>
      <c r="B77" s="266"/>
      <c r="C77" s="271"/>
      <c r="D77" s="224" t="s">
        <v>796</v>
      </c>
      <c r="E77" s="268"/>
      <c r="F77" s="269"/>
      <c r="G77" s="1392"/>
      <c r="H77" s="354"/>
      <c r="I77" s="342"/>
      <c r="J77" s="277">
        <v>22485</v>
      </c>
      <c r="K77" s="277"/>
      <c r="L77" s="278">
        <f t="shared" si="0"/>
        <v>22485</v>
      </c>
      <c r="M77" s="270"/>
    </row>
    <row r="78" spans="1:13" ht="17.100000000000001" customHeight="1" x14ac:dyDescent="0.3">
      <c r="A78" s="262">
        <v>70</v>
      </c>
      <c r="B78" s="266"/>
      <c r="C78" s="271"/>
      <c r="D78" s="976" t="s">
        <v>860</v>
      </c>
      <c r="E78" s="268"/>
      <c r="F78" s="269"/>
      <c r="G78" s="1392"/>
      <c r="H78" s="354"/>
      <c r="I78" s="342"/>
      <c r="J78" s="1079">
        <v>22485</v>
      </c>
      <c r="K78" s="277"/>
      <c r="L78" s="1321">
        <f t="shared" si="0"/>
        <v>22485</v>
      </c>
      <c r="M78" s="270"/>
    </row>
    <row r="79" spans="1:13" ht="80.25" customHeight="1" x14ac:dyDescent="0.3">
      <c r="A79" s="262">
        <v>71</v>
      </c>
      <c r="B79" s="266"/>
      <c r="C79" s="271">
        <v>18</v>
      </c>
      <c r="D79" s="550" t="s">
        <v>479</v>
      </c>
      <c r="E79" s="268">
        <f>F79+G79+L81+M79</f>
        <v>3175</v>
      </c>
      <c r="F79" s="269"/>
      <c r="G79" s="1392"/>
      <c r="H79" s="354" t="s">
        <v>23</v>
      </c>
      <c r="I79" s="342"/>
      <c r="J79" s="277"/>
      <c r="K79" s="277"/>
      <c r="L79" s="278"/>
      <c r="M79" s="270"/>
    </row>
    <row r="80" spans="1:13" ht="17.100000000000001" customHeight="1" x14ac:dyDescent="0.3">
      <c r="A80" s="262">
        <v>72</v>
      </c>
      <c r="B80" s="266"/>
      <c r="C80" s="271"/>
      <c r="D80" s="459" t="s">
        <v>268</v>
      </c>
      <c r="E80" s="268"/>
      <c r="F80" s="269"/>
      <c r="G80" s="1392"/>
      <c r="H80" s="354"/>
      <c r="I80" s="342"/>
      <c r="J80" s="1062">
        <v>3175</v>
      </c>
      <c r="K80" s="1062"/>
      <c r="L80" s="1061">
        <f t="shared" si="0"/>
        <v>3175</v>
      </c>
      <c r="M80" s="270"/>
    </row>
    <row r="81" spans="1:13" ht="17.100000000000001" customHeight="1" x14ac:dyDescent="0.3">
      <c r="A81" s="262">
        <v>73</v>
      </c>
      <c r="B81" s="266"/>
      <c r="C81" s="271"/>
      <c r="D81" s="224" t="s">
        <v>796</v>
      </c>
      <c r="E81" s="268"/>
      <c r="F81" s="269"/>
      <c r="G81" s="1392"/>
      <c r="H81" s="354"/>
      <c r="I81" s="342"/>
      <c r="J81" s="277">
        <v>3175</v>
      </c>
      <c r="K81" s="277"/>
      <c r="L81" s="278">
        <f t="shared" si="0"/>
        <v>3175</v>
      </c>
      <c r="M81" s="270"/>
    </row>
    <row r="82" spans="1:13" ht="17.100000000000001" customHeight="1" x14ac:dyDescent="0.3">
      <c r="A82" s="262">
        <v>74</v>
      </c>
      <c r="B82" s="266"/>
      <c r="C82" s="271"/>
      <c r="D82" s="976" t="s">
        <v>860</v>
      </c>
      <c r="E82" s="268"/>
      <c r="F82" s="269"/>
      <c r="G82" s="1392"/>
      <c r="H82" s="354"/>
      <c r="I82" s="342"/>
      <c r="J82" s="277"/>
      <c r="K82" s="277"/>
      <c r="L82" s="278">
        <f t="shared" si="0"/>
        <v>0</v>
      </c>
      <c r="M82" s="270"/>
    </row>
    <row r="83" spans="1:13" ht="51.95" customHeight="1" x14ac:dyDescent="0.3">
      <c r="A83" s="262">
        <v>75</v>
      </c>
      <c r="B83" s="266"/>
      <c r="C83" s="271">
        <v>19</v>
      </c>
      <c r="D83" s="550" t="s">
        <v>480</v>
      </c>
      <c r="E83" s="268">
        <f>F83+G83+L85+M83</f>
        <v>6350</v>
      </c>
      <c r="F83" s="269"/>
      <c r="G83" s="1392"/>
      <c r="H83" s="354" t="s">
        <v>23</v>
      </c>
      <c r="I83" s="342"/>
      <c r="J83" s="277"/>
      <c r="K83" s="277"/>
      <c r="L83" s="278"/>
      <c r="M83" s="270"/>
    </row>
    <row r="84" spans="1:13" ht="17.100000000000001" customHeight="1" x14ac:dyDescent="0.3">
      <c r="A84" s="262">
        <v>76</v>
      </c>
      <c r="B84" s="266"/>
      <c r="C84" s="271"/>
      <c r="D84" s="459" t="s">
        <v>268</v>
      </c>
      <c r="E84" s="268"/>
      <c r="F84" s="269"/>
      <c r="G84" s="1392"/>
      <c r="H84" s="354"/>
      <c r="I84" s="342"/>
      <c r="J84" s="1062">
        <v>6350</v>
      </c>
      <c r="K84" s="1062"/>
      <c r="L84" s="1061">
        <f t="shared" si="0"/>
        <v>6350</v>
      </c>
      <c r="M84" s="270"/>
    </row>
    <row r="85" spans="1:13" ht="17.100000000000001" customHeight="1" x14ac:dyDescent="0.3">
      <c r="A85" s="262">
        <v>77</v>
      </c>
      <c r="B85" s="266"/>
      <c r="C85" s="271"/>
      <c r="D85" s="224" t="s">
        <v>796</v>
      </c>
      <c r="E85" s="268"/>
      <c r="F85" s="269"/>
      <c r="G85" s="1392"/>
      <c r="H85" s="354"/>
      <c r="I85" s="342"/>
      <c r="J85" s="277">
        <v>6350</v>
      </c>
      <c r="K85" s="277"/>
      <c r="L85" s="278">
        <f t="shared" si="0"/>
        <v>6350</v>
      </c>
      <c r="M85" s="270"/>
    </row>
    <row r="86" spans="1:13" ht="17.100000000000001" customHeight="1" x14ac:dyDescent="0.3">
      <c r="A86" s="262">
        <v>78</v>
      </c>
      <c r="B86" s="266"/>
      <c r="C86" s="271"/>
      <c r="D86" s="976" t="s">
        <v>860</v>
      </c>
      <c r="E86" s="268"/>
      <c r="F86" s="269"/>
      <c r="G86" s="1392"/>
      <c r="H86" s="354"/>
      <c r="I86" s="342"/>
      <c r="J86" s="277"/>
      <c r="K86" s="277"/>
      <c r="L86" s="278">
        <f t="shared" si="0"/>
        <v>0</v>
      </c>
      <c r="M86" s="270"/>
    </row>
    <row r="87" spans="1:13" ht="33" x14ac:dyDescent="0.3">
      <c r="A87" s="262">
        <v>79</v>
      </c>
      <c r="B87" s="266"/>
      <c r="C87" s="271">
        <v>20</v>
      </c>
      <c r="D87" s="550" t="s">
        <v>481</v>
      </c>
      <c r="E87" s="268">
        <f>F87+G87+L89+M87</f>
        <v>104775</v>
      </c>
      <c r="F87" s="269"/>
      <c r="G87" s="1392"/>
      <c r="H87" s="354" t="s">
        <v>23</v>
      </c>
      <c r="I87" s="342"/>
      <c r="J87" s="277"/>
      <c r="K87" s="277"/>
      <c r="L87" s="278"/>
      <c r="M87" s="270"/>
    </row>
    <row r="88" spans="1:13" ht="17.100000000000001" customHeight="1" x14ac:dyDescent="0.3">
      <c r="A88" s="262">
        <v>80</v>
      </c>
      <c r="B88" s="266"/>
      <c r="C88" s="271"/>
      <c r="D88" s="459" t="s">
        <v>268</v>
      </c>
      <c r="E88" s="268"/>
      <c r="F88" s="269"/>
      <c r="G88" s="1392"/>
      <c r="H88" s="354"/>
      <c r="I88" s="342"/>
      <c r="J88" s="1062">
        <v>104775</v>
      </c>
      <c r="K88" s="1062"/>
      <c r="L88" s="1061">
        <f t="shared" si="0"/>
        <v>104775</v>
      </c>
      <c r="M88" s="270"/>
    </row>
    <row r="89" spans="1:13" ht="17.100000000000001" customHeight="1" x14ac:dyDescent="0.3">
      <c r="A89" s="262">
        <v>81</v>
      </c>
      <c r="B89" s="266"/>
      <c r="C89" s="271"/>
      <c r="D89" s="224" t="s">
        <v>796</v>
      </c>
      <c r="E89" s="268"/>
      <c r="F89" s="269"/>
      <c r="G89" s="1392"/>
      <c r="H89" s="354"/>
      <c r="I89" s="342"/>
      <c r="J89" s="277">
        <v>104775</v>
      </c>
      <c r="K89" s="277"/>
      <c r="L89" s="278">
        <f t="shared" si="0"/>
        <v>104775</v>
      </c>
      <c r="M89" s="270"/>
    </row>
    <row r="90" spans="1:13" ht="17.100000000000001" customHeight="1" x14ac:dyDescent="0.3">
      <c r="A90" s="262">
        <v>82</v>
      </c>
      <c r="B90" s="266"/>
      <c r="C90" s="271"/>
      <c r="D90" s="976" t="s">
        <v>860</v>
      </c>
      <c r="E90" s="268"/>
      <c r="F90" s="269"/>
      <c r="G90" s="1392"/>
      <c r="H90" s="354"/>
      <c r="I90" s="342"/>
      <c r="J90" s="277"/>
      <c r="K90" s="277"/>
      <c r="L90" s="278">
        <f t="shared" si="0"/>
        <v>0</v>
      </c>
      <c r="M90" s="270"/>
    </row>
    <row r="91" spans="1:13" ht="51.95" customHeight="1" x14ac:dyDescent="0.3">
      <c r="A91" s="262">
        <v>83</v>
      </c>
      <c r="B91" s="266"/>
      <c r="C91" s="271">
        <v>21</v>
      </c>
      <c r="D91" s="550" t="s">
        <v>482</v>
      </c>
      <c r="E91" s="268">
        <f>F91+G91+L93+M91</f>
        <v>12700</v>
      </c>
      <c r="F91" s="269"/>
      <c r="G91" s="1392"/>
      <c r="H91" s="354" t="s">
        <v>23</v>
      </c>
      <c r="I91" s="342"/>
      <c r="J91" s="277"/>
      <c r="K91" s="277"/>
      <c r="L91" s="278"/>
      <c r="M91" s="270"/>
    </row>
    <row r="92" spans="1:13" ht="17.100000000000001" customHeight="1" x14ac:dyDescent="0.3">
      <c r="A92" s="262">
        <v>84</v>
      </c>
      <c r="B92" s="266"/>
      <c r="C92" s="271"/>
      <c r="D92" s="459" t="s">
        <v>268</v>
      </c>
      <c r="E92" s="268"/>
      <c r="F92" s="269"/>
      <c r="G92" s="1392"/>
      <c r="H92" s="354"/>
      <c r="I92" s="342"/>
      <c r="J92" s="1062">
        <v>12700</v>
      </c>
      <c r="K92" s="1062"/>
      <c r="L92" s="1061">
        <f t="shared" si="0"/>
        <v>12700</v>
      </c>
      <c r="M92" s="270"/>
    </row>
    <row r="93" spans="1:13" ht="17.100000000000001" customHeight="1" x14ac:dyDescent="0.3">
      <c r="A93" s="262">
        <v>85</v>
      </c>
      <c r="B93" s="266"/>
      <c r="C93" s="271"/>
      <c r="D93" s="224" t="s">
        <v>796</v>
      </c>
      <c r="E93" s="268"/>
      <c r="F93" s="269"/>
      <c r="G93" s="1392"/>
      <c r="H93" s="354"/>
      <c r="I93" s="342"/>
      <c r="J93" s="277">
        <v>12700</v>
      </c>
      <c r="K93" s="277"/>
      <c r="L93" s="278">
        <f t="shared" si="0"/>
        <v>12700</v>
      </c>
      <c r="M93" s="270"/>
    </row>
    <row r="94" spans="1:13" ht="17.100000000000001" customHeight="1" x14ac:dyDescent="0.3">
      <c r="A94" s="262">
        <v>86</v>
      </c>
      <c r="B94" s="266"/>
      <c r="C94" s="271"/>
      <c r="D94" s="976" t="s">
        <v>860</v>
      </c>
      <c r="E94" s="268"/>
      <c r="F94" s="269"/>
      <c r="G94" s="1392"/>
      <c r="H94" s="354"/>
      <c r="I94" s="342"/>
      <c r="J94" s="277"/>
      <c r="K94" s="277"/>
      <c r="L94" s="278">
        <f t="shared" si="0"/>
        <v>0</v>
      </c>
      <c r="M94" s="270"/>
    </row>
    <row r="95" spans="1:13" ht="22.5" customHeight="1" x14ac:dyDescent="0.3">
      <c r="A95" s="262">
        <v>87</v>
      </c>
      <c r="B95" s="266"/>
      <c r="C95" s="267">
        <v>22</v>
      </c>
      <c r="D95" s="176" t="s">
        <v>688</v>
      </c>
      <c r="E95" s="268">
        <f>F95+G95+L97+M95</f>
        <v>4496</v>
      </c>
      <c r="F95" s="269"/>
      <c r="G95" s="1392"/>
      <c r="H95" s="354" t="s">
        <v>24</v>
      </c>
      <c r="I95" s="342"/>
      <c r="J95" s="277"/>
      <c r="K95" s="277"/>
      <c r="L95" s="278"/>
      <c r="M95" s="270">
        <v>2481</v>
      </c>
    </row>
    <row r="96" spans="1:13" ht="17.100000000000001" customHeight="1" x14ac:dyDescent="0.3">
      <c r="A96" s="262">
        <v>88</v>
      </c>
      <c r="B96" s="266"/>
      <c r="C96" s="267"/>
      <c r="D96" s="459" t="s">
        <v>268</v>
      </c>
      <c r="E96" s="268"/>
      <c r="F96" s="269"/>
      <c r="G96" s="1392"/>
      <c r="H96" s="354"/>
      <c r="I96" s="342"/>
      <c r="J96" s="1062">
        <v>2015</v>
      </c>
      <c r="K96" s="1062"/>
      <c r="L96" s="1061">
        <f t="shared" si="0"/>
        <v>2015</v>
      </c>
      <c r="M96" s="270"/>
    </row>
    <row r="97" spans="1:23" ht="17.100000000000001" customHeight="1" x14ac:dyDescent="0.3">
      <c r="A97" s="262">
        <v>89</v>
      </c>
      <c r="B97" s="266"/>
      <c r="C97" s="267"/>
      <c r="D97" s="224" t="s">
        <v>796</v>
      </c>
      <c r="E97" s="268"/>
      <c r="F97" s="269"/>
      <c r="G97" s="1392"/>
      <c r="H97" s="354"/>
      <c r="I97" s="342"/>
      <c r="J97" s="277">
        <v>2015</v>
      </c>
      <c r="K97" s="277"/>
      <c r="L97" s="278">
        <f t="shared" si="0"/>
        <v>2015</v>
      </c>
      <c r="M97" s="270"/>
    </row>
    <row r="98" spans="1:23" ht="17.100000000000001" customHeight="1" x14ac:dyDescent="0.3">
      <c r="A98" s="262">
        <v>90</v>
      </c>
      <c r="B98" s="266"/>
      <c r="C98" s="267"/>
      <c r="D98" s="976" t="s">
        <v>860</v>
      </c>
      <c r="E98" s="268"/>
      <c r="F98" s="269"/>
      <c r="G98" s="1392"/>
      <c r="H98" s="354"/>
      <c r="I98" s="342"/>
      <c r="J98" s="277"/>
      <c r="K98" s="277"/>
      <c r="L98" s="278">
        <f t="shared" si="0"/>
        <v>0</v>
      </c>
      <c r="M98" s="270"/>
    </row>
    <row r="99" spans="1:23" ht="22.5" customHeight="1" x14ac:dyDescent="0.3">
      <c r="A99" s="262">
        <v>91</v>
      </c>
      <c r="B99" s="266"/>
      <c r="C99" s="267">
        <v>23</v>
      </c>
      <c r="D99" s="176" t="s">
        <v>483</v>
      </c>
      <c r="E99" s="268">
        <f>F99+G99+L101+M99</f>
        <v>54801</v>
      </c>
      <c r="F99" s="269"/>
      <c r="G99" s="1392">
        <v>50041</v>
      </c>
      <c r="H99" s="354" t="s">
        <v>23</v>
      </c>
      <c r="I99" s="342"/>
      <c r="J99" s="277"/>
      <c r="K99" s="277"/>
      <c r="L99" s="278"/>
      <c r="M99" s="270"/>
    </row>
    <row r="100" spans="1:23" ht="17.100000000000001" customHeight="1" x14ac:dyDescent="0.3">
      <c r="A100" s="262">
        <v>92</v>
      </c>
      <c r="B100" s="266"/>
      <c r="C100" s="267"/>
      <c r="D100" s="459" t="s">
        <v>268</v>
      </c>
      <c r="E100" s="268"/>
      <c r="F100" s="269"/>
      <c r="G100" s="1392"/>
      <c r="H100" s="354"/>
      <c r="I100" s="342"/>
      <c r="J100" s="1062">
        <v>4764</v>
      </c>
      <c r="K100" s="1062"/>
      <c r="L100" s="1061">
        <f t="shared" si="0"/>
        <v>4764</v>
      </c>
      <c r="M100" s="270"/>
    </row>
    <row r="101" spans="1:23" ht="17.100000000000001" customHeight="1" x14ac:dyDescent="0.3">
      <c r="A101" s="262">
        <v>93</v>
      </c>
      <c r="B101" s="266"/>
      <c r="C101" s="267"/>
      <c r="D101" s="224" t="s">
        <v>796</v>
      </c>
      <c r="E101" s="268"/>
      <c r="F101" s="269"/>
      <c r="G101" s="1392"/>
      <c r="H101" s="354"/>
      <c r="I101" s="342"/>
      <c r="J101" s="277">
        <v>4760</v>
      </c>
      <c r="K101" s="277"/>
      <c r="L101" s="278">
        <f t="shared" si="0"/>
        <v>4760</v>
      </c>
      <c r="M101" s="270"/>
    </row>
    <row r="102" spans="1:23" ht="17.100000000000001" customHeight="1" x14ac:dyDescent="0.3">
      <c r="A102" s="262">
        <v>94</v>
      </c>
      <c r="B102" s="266"/>
      <c r="C102" s="267"/>
      <c r="D102" s="976" t="s">
        <v>861</v>
      </c>
      <c r="E102" s="268"/>
      <c r="F102" s="269"/>
      <c r="G102" s="1392"/>
      <c r="H102" s="354"/>
      <c r="I102" s="342"/>
      <c r="J102" s="1079">
        <v>4761</v>
      </c>
      <c r="K102" s="277"/>
      <c r="L102" s="278">
        <f t="shared" si="0"/>
        <v>4761</v>
      </c>
      <c r="M102" s="270"/>
    </row>
    <row r="103" spans="1:23" ht="22.5" customHeight="1" x14ac:dyDescent="0.3">
      <c r="A103" s="262">
        <v>95</v>
      </c>
      <c r="B103" s="266"/>
      <c r="C103" s="267">
        <v>24</v>
      </c>
      <c r="D103" s="947" t="s">
        <v>333</v>
      </c>
      <c r="E103" s="268">
        <f>F103+G103+L105+M103</f>
        <v>2687</v>
      </c>
      <c r="F103" s="269">
        <v>858</v>
      </c>
      <c r="G103" s="1392"/>
      <c r="H103" s="354" t="s">
        <v>24</v>
      </c>
      <c r="I103" s="342"/>
      <c r="J103" s="277"/>
      <c r="K103" s="277"/>
      <c r="L103" s="278"/>
      <c r="M103" s="270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</row>
    <row r="104" spans="1:23" ht="17.100000000000001" customHeight="1" x14ac:dyDescent="0.3">
      <c r="A104" s="262">
        <v>96</v>
      </c>
      <c r="B104" s="266"/>
      <c r="C104" s="267"/>
      <c r="D104" s="459" t="s">
        <v>268</v>
      </c>
      <c r="E104" s="268"/>
      <c r="F104" s="269"/>
      <c r="G104" s="1392"/>
      <c r="H104" s="354"/>
      <c r="I104" s="1063">
        <v>29</v>
      </c>
      <c r="J104" s="1062">
        <v>1800</v>
      </c>
      <c r="K104" s="1062"/>
      <c r="L104" s="1061">
        <f t="shared" si="0"/>
        <v>1829</v>
      </c>
      <c r="M104" s="270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</row>
    <row r="105" spans="1:23" ht="17.100000000000001" customHeight="1" x14ac:dyDescent="0.3">
      <c r="A105" s="262">
        <v>97</v>
      </c>
      <c r="B105" s="266"/>
      <c r="C105" s="267"/>
      <c r="D105" s="224" t="s">
        <v>796</v>
      </c>
      <c r="E105" s="268"/>
      <c r="F105" s="269"/>
      <c r="G105" s="1392"/>
      <c r="H105" s="354"/>
      <c r="I105" s="342">
        <v>29</v>
      </c>
      <c r="J105" s="277">
        <v>1800</v>
      </c>
      <c r="K105" s="277"/>
      <c r="L105" s="278">
        <f t="shared" si="0"/>
        <v>1829</v>
      </c>
      <c r="M105" s="270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</row>
    <row r="106" spans="1:23" ht="17.100000000000001" customHeight="1" x14ac:dyDescent="0.3">
      <c r="A106" s="262">
        <v>98</v>
      </c>
      <c r="B106" s="266"/>
      <c r="C106" s="267"/>
      <c r="D106" s="976" t="s">
        <v>860</v>
      </c>
      <c r="E106" s="268"/>
      <c r="F106" s="269"/>
      <c r="G106" s="1392"/>
      <c r="H106" s="354"/>
      <c r="I106" s="342"/>
      <c r="J106" s="277"/>
      <c r="K106" s="277"/>
      <c r="L106" s="278">
        <f t="shared" si="0"/>
        <v>0</v>
      </c>
      <c r="M106" s="270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</row>
    <row r="107" spans="1:23" ht="22.5" customHeight="1" x14ac:dyDescent="0.3">
      <c r="A107" s="262">
        <v>99</v>
      </c>
      <c r="B107" s="266"/>
      <c r="C107" s="267">
        <v>25</v>
      </c>
      <c r="D107" s="947" t="s">
        <v>415</v>
      </c>
      <c r="E107" s="268">
        <f>F107+G107+L109+M107</f>
        <v>3653</v>
      </c>
      <c r="F107" s="269">
        <f>1753+950</f>
        <v>2703</v>
      </c>
      <c r="G107" s="1392">
        <v>950</v>
      </c>
      <c r="H107" s="354" t="s">
        <v>24</v>
      </c>
      <c r="I107" s="342"/>
      <c r="J107" s="277"/>
      <c r="K107" s="277"/>
      <c r="L107" s="278"/>
      <c r="M107" s="270"/>
    </row>
    <row r="108" spans="1:23" ht="17.100000000000001" customHeight="1" x14ac:dyDescent="0.3">
      <c r="A108" s="262">
        <v>100</v>
      </c>
      <c r="B108" s="266"/>
      <c r="C108" s="267"/>
      <c r="D108" s="459" t="s">
        <v>268</v>
      </c>
      <c r="E108" s="268"/>
      <c r="F108" s="269"/>
      <c r="G108" s="1392"/>
      <c r="H108" s="354"/>
      <c r="I108" s="342"/>
      <c r="J108" s="1062">
        <v>2183</v>
      </c>
      <c r="K108" s="1062"/>
      <c r="L108" s="1061">
        <f t="shared" si="0"/>
        <v>2183</v>
      </c>
      <c r="M108" s="270"/>
    </row>
    <row r="109" spans="1:23" ht="17.100000000000001" customHeight="1" x14ac:dyDescent="0.3">
      <c r="A109" s="262">
        <v>101</v>
      </c>
      <c r="B109" s="266"/>
      <c r="C109" s="267"/>
      <c r="D109" s="224" t="s">
        <v>796</v>
      </c>
      <c r="E109" s="268"/>
      <c r="F109" s="269"/>
      <c r="G109" s="1392"/>
      <c r="H109" s="354"/>
      <c r="I109" s="342"/>
      <c r="J109" s="277">
        <v>0</v>
      </c>
      <c r="K109" s="277"/>
      <c r="L109" s="278">
        <f t="shared" si="0"/>
        <v>0</v>
      </c>
      <c r="M109" s="270"/>
    </row>
    <row r="110" spans="1:23" ht="17.100000000000001" customHeight="1" x14ac:dyDescent="0.3">
      <c r="A110" s="262">
        <v>102</v>
      </c>
      <c r="B110" s="266"/>
      <c r="C110" s="267"/>
      <c r="D110" s="976" t="s">
        <v>861</v>
      </c>
      <c r="E110" s="268"/>
      <c r="F110" s="269"/>
      <c r="G110" s="1392"/>
      <c r="H110" s="354"/>
      <c r="I110" s="342"/>
      <c r="J110" s="1079"/>
      <c r="K110" s="277"/>
      <c r="L110" s="278">
        <f t="shared" si="0"/>
        <v>0</v>
      </c>
      <c r="M110" s="270"/>
    </row>
    <row r="111" spans="1:23" ht="22.5" customHeight="1" x14ac:dyDescent="0.3">
      <c r="A111" s="262">
        <v>103</v>
      </c>
      <c r="B111" s="266"/>
      <c r="C111" s="267">
        <v>26</v>
      </c>
      <c r="D111" s="176" t="s">
        <v>418</v>
      </c>
      <c r="E111" s="268">
        <f>F111+G111+L113+M111</f>
        <v>0</v>
      </c>
      <c r="F111" s="269"/>
      <c r="G111" s="1392"/>
      <c r="H111" s="354" t="s">
        <v>24</v>
      </c>
      <c r="I111" s="342"/>
      <c r="J111" s="277"/>
      <c r="K111" s="277"/>
      <c r="L111" s="278"/>
      <c r="M111" s="270"/>
    </row>
    <row r="112" spans="1:23" ht="17.100000000000001" customHeight="1" x14ac:dyDescent="0.3">
      <c r="A112" s="262">
        <v>104</v>
      </c>
      <c r="B112" s="266"/>
      <c r="C112" s="267"/>
      <c r="D112" s="459" t="s">
        <v>268</v>
      </c>
      <c r="E112" s="268"/>
      <c r="F112" s="269"/>
      <c r="G112" s="1392"/>
      <c r="H112" s="354"/>
      <c r="I112" s="342"/>
      <c r="J112" s="1062">
        <v>500</v>
      </c>
      <c r="K112" s="1062"/>
      <c r="L112" s="1061">
        <f t="shared" si="0"/>
        <v>500</v>
      </c>
      <c r="M112" s="270"/>
    </row>
    <row r="113" spans="1:251" ht="17.100000000000001" customHeight="1" x14ac:dyDescent="0.3">
      <c r="A113" s="262">
        <v>105</v>
      </c>
      <c r="B113" s="266"/>
      <c r="C113" s="267"/>
      <c r="D113" s="224" t="s">
        <v>796</v>
      </c>
      <c r="E113" s="268"/>
      <c r="F113" s="269"/>
      <c r="G113" s="1392"/>
      <c r="H113" s="354"/>
      <c r="I113" s="342"/>
      <c r="J113" s="277">
        <v>0</v>
      </c>
      <c r="K113" s="277"/>
      <c r="L113" s="278">
        <f t="shared" si="0"/>
        <v>0</v>
      </c>
      <c r="M113" s="270"/>
    </row>
    <row r="114" spans="1:251" ht="17.100000000000001" customHeight="1" x14ac:dyDescent="0.3">
      <c r="A114" s="262">
        <v>106</v>
      </c>
      <c r="B114" s="266"/>
      <c r="C114" s="267"/>
      <c r="D114" s="976" t="s">
        <v>861</v>
      </c>
      <c r="E114" s="268"/>
      <c r="F114" s="269"/>
      <c r="G114" s="1392"/>
      <c r="H114" s="354"/>
      <c r="I114" s="342"/>
      <c r="J114" s="1079"/>
      <c r="K114" s="277"/>
      <c r="L114" s="278">
        <f t="shared" si="0"/>
        <v>0</v>
      </c>
      <c r="M114" s="270"/>
    </row>
    <row r="115" spans="1:251" ht="32.25" customHeight="1" x14ac:dyDescent="0.3">
      <c r="A115" s="262">
        <v>107</v>
      </c>
      <c r="B115" s="266"/>
      <c r="C115" s="271">
        <v>27</v>
      </c>
      <c r="D115" s="550" t="s">
        <v>484</v>
      </c>
      <c r="E115" s="268">
        <f>F115+G115+L117+M115</f>
        <v>230</v>
      </c>
      <c r="F115" s="269"/>
      <c r="G115" s="1392">
        <v>50</v>
      </c>
      <c r="H115" s="354" t="s">
        <v>24</v>
      </c>
      <c r="I115" s="342"/>
      <c r="J115" s="277"/>
      <c r="K115" s="277"/>
      <c r="L115" s="278"/>
      <c r="M115" s="270"/>
    </row>
    <row r="116" spans="1:251" ht="17.100000000000001" customHeight="1" x14ac:dyDescent="0.3">
      <c r="A116" s="262">
        <v>108</v>
      </c>
      <c r="B116" s="266"/>
      <c r="C116" s="271"/>
      <c r="D116" s="459" t="s">
        <v>268</v>
      </c>
      <c r="E116" s="268"/>
      <c r="F116" s="269"/>
      <c r="G116" s="1392"/>
      <c r="H116" s="354"/>
      <c r="I116" s="342"/>
      <c r="J116" s="1062">
        <v>180</v>
      </c>
      <c r="K116" s="1062"/>
      <c r="L116" s="1061">
        <f t="shared" si="0"/>
        <v>180</v>
      </c>
      <c r="M116" s="270"/>
    </row>
    <row r="117" spans="1:251" ht="17.100000000000001" customHeight="1" x14ac:dyDescent="0.3">
      <c r="A117" s="262">
        <v>109</v>
      </c>
      <c r="B117" s="266"/>
      <c r="C117" s="271"/>
      <c r="D117" s="224" t="s">
        <v>796</v>
      </c>
      <c r="E117" s="268"/>
      <c r="F117" s="269"/>
      <c r="G117" s="1392"/>
      <c r="H117" s="354"/>
      <c r="I117" s="342"/>
      <c r="J117" s="277">
        <v>180</v>
      </c>
      <c r="K117" s="277"/>
      <c r="L117" s="278">
        <f t="shared" si="0"/>
        <v>180</v>
      </c>
      <c r="M117" s="270"/>
    </row>
    <row r="118" spans="1:251" ht="17.100000000000001" customHeight="1" x14ac:dyDescent="0.3">
      <c r="A118" s="262">
        <v>110</v>
      </c>
      <c r="B118" s="266"/>
      <c r="C118" s="271"/>
      <c r="D118" s="976" t="s">
        <v>860</v>
      </c>
      <c r="E118" s="268"/>
      <c r="F118" s="269"/>
      <c r="G118" s="1392"/>
      <c r="H118" s="354"/>
      <c r="I118" s="342"/>
      <c r="J118" s="277"/>
      <c r="K118" s="277"/>
      <c r="L118" s="278">
        <f t="shared" si="0"/>
        <v>0</v>
      </c>
      <c r="M118" s="270"/>
    </row>
    <row r="119" spans="1:251" ht="32.25" customHeight="1" x14ac:dyDescent="0.3">
      <c r="A119" s="262">
        <v>111</v>
      </c>
      <c r="B119" s="266"/>
      <c r="C119" s="271">
        <v>28</v>
      </c>
      <c r="D119" s="550" t="s">
        <v>416</v>
      </c>
      <c r="E119" s="268">
        <f>F119+G119+L121+M119</f>
        <v>6096</v>
      </c>
      <c r="F119" s="269"/>
      <c r="G119" s="1392"/>
      <c r="H119" s="354" t="s">
        <v>24</v>
      </c>
      <c r="I119" s="343"/>
      <c r="J119" s="268"/>
      <c r="K119" s="268"/>
      <c r="L119" s="279"/>
      <c r="M119" s="270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  <c r="AR119" s="263"/>
      <c r="AS119" s="263"/>
      <c r="AT119" s="263"/>
      <c r="AU119" s="263"/>
      <c r="AV119" s="263"/>
      <c r="AW119" s="263"/>
      <c r="AX119" s="263"/>
      <c r="AY119" s="263"/>
      <c r="AZ119" s="263"/>
      <c r="BA119" s="263"/>
      <c r="BB119" s="263"/>
      <c r="BC119" s="263"/>
      <c r="BD119" s="263"/>
      <c r="BE119" s="263"/>
      <c r="BF119" s="263"/>
      <c r="BG119" s="263"/>
      <c r="BH119" s="263"/>
      <c r="BI119" s="263"/>
      <c r="BJ119" s="263"/>
      <c r="BK119" s="263"/>
      <c r="BL119" s="263"/>
      <c r="BM119" s="263"/>
      <c r="BN119" s="263"/>
      <c r="BO119" s="263"/>
      <c r="BP119" s="263"/>
      <c r="BQ119" s="263"/>
      <c r="BR119" s="263"/>
      <c r="BS119" s="263"/>
      <c r="BT119" s="263"/>
      <c r="BU119" s="263"/>
      <c r="BV119" s="263"/>
      <c r="BW119" s="263"/>
      <c r="BX119" s="263"/>
      <c r="BY119" s="263"/>
      <c r="BZ119" s="263"/>
      <c r="CA119" s="263"/>
      <c r="CB119" s="263"/>
      <c r="CC119" s="263"/>
      <c r="CD119" s="263"/>
      <c r="CE119" s="263"/>
      <c r="CF119" s="263"/>
      <c r="CG119" s="263"/>
      <c r="CH119" s="263"/>
      <c r="CI119" s="263"/>
      <c r="CJ119" s="263"/>
      <c r="CK119" s="263"/>
      <c r="CL119" s="263"/>
      <c r="CM119" s="263"/>
      <c r="CN119" s="263"/>
      <c r="CO119" s="263"/>
      <c r="CP119" s="263"/>
      <c r="CQ119" s="263"/>
      <c r="CR119" s="263"/>
      <c r="CS119" s="263"/>
      <c r="CT119" s="263"/>
      <c r="CU119" s="263"/>
      <c r="CV119" s="263"/>
      <c r="CW119" s="263"/>
      <c r="CX119" s="263"/>
      <c r="CY119" s="263"/>
      <c r="CZ119" s="263"/>
      <c r="DA119" s="263"/>
      <c r="DB119" s="263"/>
      <c r="DC119" s="263"/>
      <c r="DD119" s="263"/>
      <c r="DE119" s="263"/>
      <c r="DF119" s="263"/>
      <c r="DG119" s="263"/>
      <c r="DH119" s="263"/>
      <c r="DI119" s="263"/>
      <c r="DJ119" s="263"/>
      <c r="DK119" s="263"/>
      <c r="DL119" s="263"/>
      <c r="DM119" s="263"/>
      <c r="DN119" s="263"/>
      <c r="DO119" s="263"/>
      <c r="DP119" s="263"/>
      <c r="DQ119" s="263"/>
      <c r="DR119" s="263"/>
      <c r="DS119" s="263"/>
      <c r="DT119" s="263"/>
      <c r="DU119" s="263"/>
      <c r="DV119" s="263"/>
      <c r="DW119" s="263"/>
      <c r="DX119" s="263"/>
      <c r="DY119" s="263"/>
      <c r="DZ119" s="263"/>
      <c r="EA119" s="263"/>
      <c r="EB119" s="263"/>
      <c r="EC119" s="263"/>
      <c r="ED119" s="263"/>
      <c r="EE119" s="263"/>
      <c r="EF119" s="263"/>
      <c r="EG119" s="263"/>
      <c r="EH119" s="263"/>
      <c r="EI119" s="263"/>
      <c r="EJ119" s="263"/>
      <c r="EK119" s="263"/>
      <c r="EL119" s="263"/>
      <c r="EM119" s="263"/>
      <c r="EN119" s="263"/>
      <c r="EO119" s="263"/>
      <c r="EP119" s="263"/>
      <c r="EQ119" s="263"/>
      <c r="ER119" s="263"/>
      <c r="ES119" s="263"/>
      <c r="ET119" s="263"/>
      <c r="EU119" s="263"/>
      <c r="EV119" s="263"/>
      <c r="EW119" s="263"/>
      <c r="EX119" s="263"/>
      <c r="EY119" s="263"/>
      <c r="EZ119" s="263"/>
      <c r="FA119" s="263"/>
      <c r="FB119" s="263"/>
      <c r="FC119" s="263"/>
      <c r="FD119" s="263"/>
      <c r="FE119" s="263"/>
      <c r="FF119" s="263"/>
      <c r="FG119" s="263"/>
      <c r="FH119" s="263"/>
      <c r="FI119" s="263"/>
      <c r="FJ119" s="263"/>
      <c r="FK119" s="263"/>
      <c r="FL119" s="263"/>
      <c r="FM119" s="263"/>
      <c r="FN119" s="263"/>
      <c r="FO119" s="263"/>
      <c r="FP119" s="263"/>
      <c r="FQ119" s="263"/>
      <c r="FR119" s="263"/>
      <c r="FS119" s="263"/>
      <c r="FT119" s="263"/>
      <c r="FU119" s="263"/>
      <c r="FV119" s="263"/>
      <c r="FW119" s="263"/>
      <c r="FX119" s="263"/>
      <c r="FY119" s="263"/>
      <c r="FZ119" s="263"/>
      <c r="GA119" s="263"/>
      <c r="GB119" s="263"/>
      <c r="GC119" s="263"/>
      <c r="GD119" s="263"/>
      <c r="GE119" s="263"/>
      <c r="GF119" s="263"/>
      <c r="GG119" s="263"/>
      <c r="GH119" s="263"/>
      <c r="GI119" s="263"/>
      <c r="GJ119" s="263"/>
      <c r="GK119" s="263"/>
      <c r="GL119" s="263"/>
      <c r="GM119" s="263"/>
      <c r="GN119" s="263"/>
      <c r="GO119" s="263"/>
      <c r="GP119" s="263"/>
      <c r="GQ119" s="263"/>
      <c r="GR119" s="263"/>
      <c r="GS119" s="263"/>
      <c r="GT119" s="263"/>
      <c r="GU119" s="263"/>
      <c r="GV119" s="263"/>
      <c r="GW119" s="263"/>
      <c r="GX119" s="263"/>
      <c r="GY119" s="263"/>
      <c r="GZ119" s="263"/>
      <c r="HA119" s="263"/>
      <c r="HB119" s="263"/>
      <c r="HC119" s="263"/>
      <c r="HD119" s="263"/>
      <c r="HE119" s="263"/>
      <c r="HF119" s="263"/>
      <c r="HG119" s="263"/>
      <c r="HH119" s="263"/>
      <c r="HI119" s="263"/>
      <c r="HJ119" s="263"/>
      <c r="HK119" s="263"/>
      <c r="HL119" s="263"/>
      <c r="HM119" s="263"/>
      <c r="HN119" s="263"/>
      <c r="HO119" s="263"/>
      <c r="HP119" s="263"/>
      <c r="HQ119" s="263"/>
      <c r="HR119" s="263"/>
      <c r="HS119" s="263"/>
      <c r="HT119" s="263"/>
      <c r="HU119" s="263"/>
      <c r="HV119" s="263"/>
      <c r="HW119" s="263"/>
      <c r="HX119" s="263"/>
      <c r="HY119" s="263"/>
      <c r="HZ119" s="263"/>
      <c r="IA119" s="263"/>
      <c r="IB119" s="263"/>
      <c r="IC119" s="263"/>
      <c r="ID119" s="263"/>
      <c r="IE119" s="263"/>
      <c r="IF119" s="263"/>
      <c r="IG119" s="263"/>
      <c r="IH119" s="263"/>
      <c r="II119" s="263"/>
      <c r="IJ119" s="263"/>
      <c r="IK119" s="263"/>
      <c r="IL119" s="263"/>
      <c r="IM119" s="263"/>
      <c r="IN119" s="263"/>
      <c r="IO119" s="263"/>
      <c r="IP119" s="263"/>
      <c r="IQ119" s="263"/>
    </row>
    <row r="120" spans="1:251" ht="17.100000000000001" customHeight="1" x14ac:dyDescent="0.3">
      <c r="A120" s="262">
        <v>112</v>
      </c>
      <c r="B120" s="266"/>
      <c r="C120" s="271"/>
      <c r="D120" s="459" t="s">
        <v>268</v>
      </c>
      <c r="E120" s="268"/>
      <c r="F120" s="269"/>
      <c r="G120" s="1392"/>
      <c r="H120" s="354"/>
      <c r="I120" s="343"/>
      <c r="J120" s="1064">
        <v>6096</v>
      </c>
      <c r="K120" s="1064"/>
      <c r="L120" s="1065">
        <f t="shared" si="0"/>
        <v>6096</v>
      </c>
      <c r="M120" s="270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263"/>
      <c r="AD120" s="263"/>
      <c r="AE120" s="263"/>
      <c r="AF120" s="263"/>
      <c r="AG120" s="263"/>
      <c r="AH120" s="263"/>
      <c r="AI120" s="263"/>
      <c r="AJ120" s="263"/>
      <c r="AK120" s="263"/>
      <c r="AL120" s="263"/>
      <c r="AM120" s="263"/>
      <c r="AN120" s="263"/>
      <c r="AO120" s="263"/>
      <c r="AP120" s="263"/>
      <c r="AQ120" s="263"/>
      <c r="AR120" s="263"/>
      <c r="AS120" s="263"/>
      <c r="AT120" s="263"/>
      <c r="AU120" s="263"/>
      <c r="AV120" s="263"/>
      <c r="AW120" s="263"/>
      <c r="AX120" s="263"/>
      <c r="AY120" s="263"/>
      <c r="AZ120" s="263"/>
      <c r="BA120" s="263"/>
      <c r="BB120" s="263"/>
      <c r="BC120" s="263"/>
      <c r="BD120" s="263"/>
      <c r="BE120" s="263"/>
      <c r="BF120" s="263"/>
      <c r="BG120" s="263"/>
      <c r="BH120" s="263"/>
      <c r="BI120" s="263"/>
      <c r="BJ120" s="263"/>
      <c r="BK120" s="263"/>
      <c r="BL120" s="263"/>
      <c r="BM120" s="263"/>
      <c r="BN120" s="263"/>
      <c r="BO120" s="263"/>
      <c r="BP120" s="263"/>
      <c r="BQ120" s="263"/>
      <c r="BR120" s="263"/>
      <c r="BS120" s="263"/>
      <c r="BT120" s="263"/>
      <c r="BU120" s="263"/>
      <c r="BV120" s="263"/>
      <c r="BW120" s="263"/>
      <c r="BX120" s="263"/>
      <c r="BY120" s="263"/>
      <c r="BZ120" s="263"/>
      <c r="CA120" s="263"/>
      <c r="CB120" s="263"/>
      <c r="CC120" s="263"/>
      <c r="CD120" s="263"/>
      <c r="CE120" s="263"/>
      <c r="CF120" s="263"/>
      <c r="CG120" s="263"/>
      <c r="CH120" s="263"/>
      <c r="CI120" s="263"/>
      <c r="CJ120" s="263"/>
      <c r="CK120" s="263"/>
      <c r="CL120" s="263"/>
      <c r="CM120" s="263"/>
      <c r="CN120" s="263"/>
      <c r="CO120" s="263"/>
      <c r="CP120" s="263"/>
      <c r="CQ120" s="263"/>
      <c r="CR120" s="263"/>
      <c r="CS120" s="263"/>
      <c r="CT120" s="263"/>
      <c r="CU120" s="263"/>
      <c r="CV120" s="263"/>
      <c r="CW120" s="263"/>
      <c r="CX120" s="263"/>
      <c r="CY120" s="263"/>
      <c r="CZ120" s="263"/>
      <c r="DA120" s="263"/>
      <c r="DB120" s="263"/>
      <c r="DC120" s="263"/>
      <c r="DD120" s="263"/>
      <c r="DE120" s="263"/>
      <c r="DF120" s="263"/>
      <c r="DG120" s="263"/>
      <c r="DH120" s="263"/>
      <c r="DI120" s="263"/>
      <c r="DJ120" s="263"/>
      <c r="DK120" s="263"/>
      <c r="DL120" s="263"/>
      <c r="DM120" s="263"/>
      <c r="DN120" s="263"/>
      <c r="DO120" s="263"/>
      <c r="DP120" s="263"/>
      <c r="DQ120" s="263"/>
      <c r="DR120" s="263"/>
      <c r="DS120" s="263"/>
      <c r="DT120" s="263"/>
      <c r="DU120" s="263"/>
      <c r="DV120" s="263"/>
      <c r="DW120" s="263"/>
      <c r="DX120" s="263"/>
      <c r="DY120" s="263"/>
      <c r="DZ120" s="263"/>
      <c r="EA120" s="263"/>
      <c r="EB120" s="263"/>
      <c r="EC120" s="263"/>
      <c r="ED120" s="263"/>
      <c r="EE120" s="263"/>
      <c r="EF120" s="263"/>
      <c r="EG120" s="263"/>
      <c r="EH120" s="263"/>
      <c r="EI120" s="263"/>
      <c r="EJ120" s="263"/>
      <c r="EK120" s="263"/>
      <c r="EL120" s="263"/>
      <c r="EM120" s="263"/>
      <c r="EN120" s="263"/>
      <c r="EO120" s="263"/>
      <c r="EP120" s="263"/>
      <c r="EQ120" s="263"/>
      <c r="ER120" s="263"/>
      <c r="ES120" s="263"/>
      <c r="ET120" s="263"/>
      <c r="EU120" s="263"/>
      <c r="EV120" s="263"/>
      <c r="EW120" s="263"/>
      <c r="EX120" s="263"/>
      <c r="EY120" s="263"/>
      <c r="EZ120" s="263"/>
      <c r="FA120" s="263"/>
      <c r="FB120" s="263"/>
      <c r="FC120" s="263"/>
      <c r="FD120" s="263"/>
      <c r="FE120" s="263"/>
      <c r="FF120" s="263"/>
      <c r="FG120" s="263"/>
      <c r="FH120" s="263"/>
      <c r="FI120" s="263"/>
      <c r="FJ120" s="263"/>
      <c r="FK120" s="263"/>
      <c r="FL120" s="263"/>
      <c r="FM120" s="263"/>
      <c r="FN120" s="263"/>
      <c r="FO120" s="263"/>
      <c r="FP120" s="263"/>
      <c r="FQ120" s="263"/>
      <c r="FR120" s="263"/>
      <c r="FS120" s="263"/>
      <c r="FT120" s="263"/>
      <c r="FU120" s="263"/>
      <c r="FV120" s="263"/>
      <c r="FW120" s="263"/>
      <c r="FX120" s="263"/>
      <c r="FY120" s="263"/>
      <c r="FZ120" s="263"/>
      <c r="GA120" s="263"/>
      <c r="GB120" s="263"/>
      <c r="GC120" s="263"/>
      <c r="GD120" s="263"/>
      <c r="GE120" s="263"/>
      <c r="GF120" s="263"/>
      <c r="GG120" s="263"/>
      <c r="GH120" s="263"/>
      <c r="GI120" s="263"/>
      <c r="GJ120" s="263"/>
      <c r="GK120" s="263"/>
      <c r="GL120" s="263"/>
      <c r="GM120" s="263"/>
      <c r="GN120" s="263"/>
      <c r="GO120" s="263"/>
      <c r="GP120" s="263"/>
      <c r="GQ120" s="263"/>
      <c r="GR120" s="263"/>
      <c r="GS120" s="263"/>
      <c r="GT120" s="263"/>
      <c r="GU120" s="263"/>
      <c r="GV120" s="263"/>
      <c r="GW120" s="263"/>
      <c r="GX120" s="263"/>
      <c r="GY120" s="263"/>
      <c r="GZ120" s="263"/>
      <c r="HA120" s="263"/>
      <c r="HB120" s="263"/>
      <c r="HC120" s="263"/>
      <c r="HD120" s="263"/>
      <c r="HE120" s="263"/>
      <c r="HF120" s="263"/>
      <c r="HG120" s="263"/>
      <c r="HH120" s="263"/>
      <c r="HI120" s="263"/>
      <c r="HJ120" s="263"/>
      <c r="HK120" s="263"/>
      <c r="HL120" s="263"/>
      <c r="HM120" s="263"/>
      <c r="HN120" s="263"/>
      <c r="HO120" s="263"/>
      <c r="HP120" s="263"/>
      <c r="HQ120" s="263"/>
      <c r="HR120" s="263"/>
      <c r="HS120" s="263"/>
      <c r="HT120" s="263"/>
      <c r="HU120" s="263"/>
      <c r="HV120" s="263"/>
      <c r="HW120" s="263"/>
      <c r="HX120" s="263"/>
      <c r="HY120" s="263"/>
      <c r="HZ120" s="263"/>
      <c r="IA120" s="263"/>
      <c r="IB120" s="263"/>
      <c r="IC120" s="263"/>
      <c r="ID120" s="263"/>
      <c r="IE120" s="263"/>
      <c r="IF120" s="263"/>
      <c r="IG120" s="263"/>
      <c r="IH120" s="263"/>
      <c r="II120" s="263"/>
      <c r="IJ120" s="263"/>
      <c r="IK120" s="263"/>
      <c r="IL120" s="263"/>
      <c r="IM120" s="263"/>
      <c r="IN120" s="263"/>
      <c r="IO120" s="263"/>
      <c r="IP120" s="263"/>
      <c r="IQ120" s="263"/>
    </row>
    <row r="121" spans="1:251" ht="17.100000000000001" customHeight="1" x14ac:dyDescent="0.3">
      <c r="A121" s="262">
        <v>113</v>
      </c>
      <c r="B121" s="266"/>
      <c r="C121" s="271"/>
      <c r="D121" s="224" t="s">
        <v>796</v>
      </c>
      <c r="E121" s="268"/>
      <c r="F121" s="269"/>
      <c r="G121" s="1392"/>
      <c r="H121" s="354"/>
      <c r="I121" s="343"/>
      <c r="J121" s="268">
        <v>6096</v>
      </c>
      <c r="K121" s="268"/>
      <c r="L121" s="279">
        <f t="shared" si="0"/>
        <v>6096</v>
      </c>
      <c r="M121" s="270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263"/>
      <c r="AJ121" s="263"/>
      <c r="AK121" s="263"/>
      <c r="AL121" s="263"/>
      <c r="AM121" s="263"/>
      <c r="AN121" s="263"/>
      <c r="AO121" s="263"/>
      <c r="AP121" s="263"/>
      <c r="AQ121" s="263"/>
      <c r="AR121" s="263"/>
      <c r="AS121" s="263"/>
      <c r="AT121" s="263"/>
      <c r="AU121" s="263"/>
      <c r="AV121" s="263"/>
      <c r="AW121" s="263"/>
      <c r="AX121" s="263"/>
      <c r="AY121" s="263"/>
      <c r="AZ121" s="263"/>
      <c r="BA121" s="263"/>
      <c r="BB121" s="263"/>
      <c r="BC121" s="263"/>
      <c r="BD121" s="263"/>
      <c r="BE121" s="263"/>
      <c r="BF121" s="263"/>
      <c r="BG121" s="263"/>
      <c r="BH121" s="263"/>
      <c r="BI121" s="263"/>
      <c r="BJ121" s="263"/>
      <c r="BK121" s="263"/>
      <c r="BL121" s="263"/>
      <c r="BM121" s="263"/>
      <c r="BN121" s="263"/>
      <c r="BO121" s="263"/>
      <c r="BP121" s="263"/>
      <c r="BQ121" s="263"/>
      <c r="BR121" s="263"/>
      <c r="BS121" s="263"/>
      <c r="BT121" s="263"/>
      <c r="BU121" s="263"/>
      <c r="BV121" s="263"/>
      <c r="BW121" s="263"/>
      <c r="BX121" s="263"/>
      <c r="BY121" s="263"/>
      <c r="BZ121" s="263"/>
      <c r="CA121" s="263"/>
      <c r="CB121" s="263"/>
      <c r="CC121" s="263"/>
      <c r="CD121" s="263"/>
      <c r="CE121" s="263"/>
      <c r="CF121" s="263"/>
      <c r="CG121" s="263"/>
      <c r="CH121" s="263"/>
      <c r="CI121" s="263"/>
      <c r="CJ121" s="263"/>
      <c r="CK121" s="263"/>
      <c r="CL121" s="263"/>
      <c r="CM121" s="263"/>
      <c r="CN121" s="263"/>
      <c r="CO121" s="263"/>
      <c r="CP121" s="263"/>
      <c r="CQ121" s="263"/>
      <c r="CR121" s="263"/>
      <c r="CS121" s="263"/>
      <c r="CT121" s="263"/>
      <c r="CU121" s="263"/>
      <c r="CV121" s="263"/>
      <c r="CW121" s="263"/>
      <c r="CX121" s="263"/>
      <c r="CY121" s="263"/>
      <c r="CZ121" s="263"/>
      <c r="DA121" s="263"/>
      <c r="DB121" s="263"/>
      <c r="DC121" s="263"/>
      <c r="DD121" s="263"/>
      <c r="DE121" s="263"/>
      <c r="DF121" s="263"/>
      <c r="DG121" s="263"/>
      <c r="DH121" s="263"/>
      <c r="DI121" s="263"/>
      <c r="DJ121" s="263"/>
      <c r="DK121" s="263"/>
      <c r="DL121" s="263"/>
      <c r="DM121" s="263"/>
      <c r="DN121" s="263"/>
      <c r="DO121" s="263"/>
      <c r="DP121" s="263"/>
      <c r="DQ121" s="263"/>
      <c r="DR121" s="263"/>
      <c r="DS121" s="263"/>
      <c r="DT121" s="263"/>
      <c r="DU121" s="263"/>
      <c r="DV121" s="263"/>
      <c r="DW121" s="263"/>
      <c r="DX121" s="263"/>
      <c r="DY121" s="263"/>
      <c r="DZ121" s="263"/>
      <c r="EA121" s="263"/>
      <c r="EB121" s="263"/>
      <c r="EC121" s="263"/>
      <c r="ED121" s="263"/>
      <c r="EE121" s="263"/>
      <c r="EF121" s="263"/>
      <c r="EG121" s="263"/>
      <c r="EH121" s="263"/>
      <c r="EI121" s="263"/>
      <c r="EJ121" s="263"/>
      <c r="EK121" s="263"/>
      <c r="EL121" s="263"/>
      <c r="EM121" s="263"/>
      <c r="EN121" s="263"/>
      <c r="EO121" s="263"/>
      <c r="EP121" s="263"/>
      <c r="EQ121" s="263"/>
      <c r="ER121" s="263"/>
      <c r="ES121" s="263"/>
      <c r="ET121" s="263"/>
      <c r="EU121" s="263"/>
      <c r="EV121" s="263"/>
      <c r="EW121" s="263"/>
      <c r="EX121" s="263"/>
      <c r="EY121" s="263"/>
      <c r="EZ121" s="263"/>
      <c r="FA121" s="263"/>
      <c r="FB121" s="263"/>
      <c r="FC121" s="263"/>
      <c r="FD121" s="263"/>
      <c r="FE121" s="263"/>
      <c r="FF121" s="263"/>
      <c r="FG121" s="263"/>
      <c r="FH121" s="263"/>
      <c r="FI121" s="263"/>
      <c r="FJ121" s="263"/>
      <c r="FK121" s="263"/>
      <c r="FL121" s="263"/>
      <c r="FM121" s="263"/>
      <c r="FN121" s="263"/>
      <c r="FO121" s="263"/>
      <c r="FP121" s="263"/>
      <c r="FQ121" s="263"/>
      <c r="FR121" s="263"/>
      <c r="FS121" s="263"/>
      <c r="FT121" s="263"/>
      <c r="FU121" s="263"/>
      <c r="FV121" s="263"/>
      <c r="FW121" s="263"/>
      <c r="FX121" s="263"/>
      <c r="FY121" s="263"/>
      <c r="FZ121" s="263"/>
      <c r="GA121" s="263"/>
      <c r="GB121" s="263"/>
      <c r="GC121" s="263"/>
      <c r="GD121" s="263"/>
      <c r="GE121" s="263"/>
      <c r="GF121" s="263"/>
      <c r="GG121" s="263"/>
      <c r="GH121" s="263"/>
      <c r="GI121" s="263"/>
      <c r="GJ121" s="263"/>
      <c r="GK121" s="263"/>
      <c r="GL121" s="263"/>
      <c r="GM121" s="263"/>
      <c r="GN121" s="263"/>
      <c r="GO121" s="263"/>
      <c r="GP121" s="263"/>
      <c r="GQ121" s="263"/>
      <c r="GR121" s="263"/>
      <c r="GS121" s="263"/>
      <c r="GT121" s="263"/>
      <c r="GU121" s="263"/>
      <c r="GV121" s="263"/>
      <c r="GW121" s="263"/>
      <c r="GX121" s="263"/>
      <c r="GY121" s="263"/>
      <c r="GZ121" s="263"/>
      <c r="HA121" s="263"/>
      <c r="HB121" s="263"/>
      <c r="HC121" s="263"/>
      <c r="HD121" s="263"/>
      <c r="HE121" s="263"/>
      <c r="HF121" s="263"/>
      <c r="HG121" s="263"/>
      <c r="HH121" s="263"/>
      <c r="HI121" s="263"/>
      <c r="HJ121" s="263"/>
      <c r="HK121" s="263"/>
      <c r="HL121" s="263"/>
      <c r="HM121" s="263"/>
      <c r="HN121" s="263"/>
      <c r="HO121" s="263"/>
      <c r="HP121" s="263"/>
      <c r="HQ121" s="263"/>
      <c r="HR121" s="263"/>
      <c r="HS121" s="263"/>
      <c r="HT121" s="263"/>
      <c r="HU121" s="263"/>
      <c r="HV121" s="263"/>
      <c r="HW121" s="263"/>
      <c r="HX121" s="263"/>
      <c r="HY121" s="263"/>
      <c r="HZ121" s="263"/>
      <c r="IA121" s="263"/>
      <c r="IB121" s="263"/>
      <c r="IC121" s="263"/>
      <c r="ID121" s="263"/>
      <c r="IE121" s="263"/>
      <c r="IF121" s="263"/>
      <c r="IG121" s="263"/>
      <c r="IH121" s="263"/>
      <c r="II121" s="263"/>
      <c r="IJ121" s="263"/>
      <c r="IK121" s="263"/>
      <c r="IL121" s="263"/>
      <c r="IM121" s="263"/>
      <c r="IN121" s="263"/>
      <c r="IO121" s="263"/>
      <c r="IP121" s="263"/>
      <c r="IQ121" s="263"/>
    </row>
    <row r="122" spans="1:251" ht="17.100000000000001" customHeight="1" x14ac:dyDescent="0.3">
      <c r="A122" s="262">
        <v>114</v>
      </c>
      <c r="B122" s="266"/>
      <c r="C122" s="271"/>
      <c r="D122" s="976" t="s">
        <v>860</v>
      </c>
      <c r="E122" s="268"/>
      <c r="F122" s="269"/>
      <c r="G122" s="1392"/>
      <c r="H122" s="354"/>
      <c r="I122" s="343"/>
      <c r="J122" s="268"/>
      <c r="K122" s="268"/>
      <c r="L122" s="279">
        <f t="shared" si="0"/>
        <v>0</v>
      </c>
      <c r="M122" s="270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3"/>
      <c r="AK122" s="263"/>
      <c r="AL122" s="263"/>
      <c r="AM122" s="263"/>
      <c r="AN122" s="263"/>
      <c r="AO122" s="263"/>
      <c r="AP122" s="263"/>
      <c r="AQ122" s="263"/>
      <c r="AR122" s="263"/>
      <c r="AS122" s="263"/>
      <c r="AT122" s="263"/>
      <c r="AU122" s="263"/>
      <c r="AV122" s="263"/>
      <c r="AW122" s="263"/>
      <c r="AX122" s="263"/>
      <c r="AY122" s="263"/>
      <c r="AZ122" s="263"/>
      <c r="BA122" s="263"/>
      <c r="BB122" s="263"/>
      <c r="BC122" s="263"/>
      <c r="BD122" s="263"/>
      <c r="BE122" s="263"/>
      <c r="BF122" s="263"/>
      <c r="BG122" s="263"/>
      <c r="BH122" s="263"/>
      <c r="BI122" s="263"/>
      <c r="BJ122" s="263"/>
      <c r="BK122" s="263"/>
      <c r="BL122" s="263"/>
      <c r="BM122" s="263"/>
      <c r="BN122" s="263"/>
      <c r="BO122" s="263"/>
      <c r="BP122" s="263"/>
      <c r="BQ122" s="263"/>
      <c r="BR122" s="263"/>
      <c r="BS122" s="263"/>
      <c r="BT122" s="263"/>
      <c r="BU122" s="263"/>
      <c r="BV122" s="263"/>
      <c r="BW122" s="263"/>
      <c r="BX122" s="263"/>
      <c r="BY122" s="263"/>
      <c r="BZ122" s="263"/>
      <c r="CA122" s="263"/>
      <c r="CB122" s="263"/>
      <c r="CC122" s="263"/>
      <c r="CD122" s="263"/>
      <c r="CE122" s="263"/>
      <c r="CF122" s="263"/>
      <c r="CG122" s="263"/>
      <c r="CH122" s="263"/>
      <c r="CI122" s="263"/>
      <c r="CJ122" s="263"/>
      <c r="CK122" s="263"/>
      <c r="CL122" s="263"/>
      <c r="CM122" s="263"/>
      <c r="CN122" s="263"/>
      <c r="CO122" s="263"/>
      <c r="CP122" s="263"/>
      <c r="CQ122" s="263"/>
      <c r="CR122" s="263"/>
      <c r="CS122" s="263"/>
      <c r="CT122" s="263"/>
      <c r="CU122" s="263"/>
      <c r="CV122" s="263"/>
      <c r="CW122" s="263"/>
      <c r="CX122" s="263"/>
      <c r="CY122" s="263"/>
      <c r="CZ122" s="263"/>
      <c r="DA122" s="263"/>
      <c r="DB122" s="263"/>
      <c r="DC122" s="263"/>
      <c r="DD122" s="263"/>
      <c r="DE122" s="263"/>
      <c r="DF122" s="263"/>
      <c r="DG122" s="263"/>
      <c r="DH122" s="263"/>
      <c r="DI122" s="263"/>
      <c r="DJ122" s="263"/>
      <c r="DK122" s="263"/>
      <c r="DL122" s="263"/>
      <c r="DM122" s="263"/>
      <c r="DN122" s="263"/>
      <c r="DO122" s="263"/>
      <c r="DP122" s="263"/>
      <c r="DQ122" s="263"/>
      <c r="DR122" s="263"/>
      <c r="DS122" s="263"/>
      <c r="DT122" s="263"/>
      <c r="DU122" s="263"/>
      <c r="DV122" s="263"/>
      <c r="DW122" s="263"/>
      <c r="DX122" s="263"/>
      <c r="DY122" s="263"/>
      <c r="DZ122" s="263"/>
      <c r="EA122" s="263"/>
      <c r="EB122" s="263"/>
      <c r="EC122" s="263"/>
      <c r="ED122" s="263"/>
      <c r="EE122" s="263"/>
      <c r="EF122" s="263"/>
      <c r="EG122" s="263"/>
      <c r="EH122" s="263"/>
      <c r="EI122" s="263"/>
      <c r="EJ122" s="263"/>
      <c r="EK122" s="263"/>
      <c r="EL122" s="263"/>
      <c r="EM122" s="263"/>
      <c r="EN122" s="263"/>
      <c r="EO122" s="263"/>
      <c r="EP122" s="263"/>
      <c r="EQ122" s="263"/>
      <c r="ER122" s="263"/>
      <c r="ES122" s="263"/>
      <c r="ET122" s="263"/>
      <c r="EU122" s="263"/>
      <c r="EV122" s="263"/>
      <c r="EW122" s="263"/>
      <c r="EX122" s="263"/>
      <c r="EY122" s="263"/>
      <c r="EZ122" s="263"/>
      <c r="FA122" s="263"/>
      <c r="FB122" s="263"/>
      <c r="FC122" s="263"/>
      <c r="FD122" s="263"/>
      <c r="FE122" s="263"/>
      <c r="FF122" s="263"/>
      <c r="FG122" s="263"/>
      <c r="FH122" s="263"/>
      <c r="FI122" s="263"/>
      <c r="FJ122" s="263"/>
      <c r="FK122" s="263"/>
      <c r="FL122" s="263"/>
      <c r="FM122" s="263"/>
      <c r="FN122" s="263"/>
      <c r="FO122" s="263"/>
      <c r="FP122" s="263"/>
      <c r="FQ122" s="263"/>
      <c r="FR122" s="263"/>
      <c r="FS122" s="263"/>
      <c r="FT122" s="263"/>
      <c r="FU122" s="263"/>
      <c r="FV122" s="263"/>
      <c r="FW122" s="263"/>
      <c r="FX122" s="263"/>
      <c r="FY122" s="263"/>
      <c r="FZ122" s="263"/>
      <c r="GA122" s="263"/>
      <c r="GB122" s="263"/>
      <c r="GC122" s="263"/>
      <c r="GD122" s="263"/>
      <c r="GE122" s="263"/>
      <c r="GF122" s="263"/>
      <c r="GG122" s="263"/>
      <c r="GH122" s="263"/>
      <c r="GI122" s="263"/>
      <c r="GJ122" s="263"/>
      <c r="GK122" s="263"/>
      <c r="GL122" s="263"/>
      <c r="GM122" s="263"/>
      <c r="GN122" s="263"/>
      <c r="GO122" s="263"/>
      <c r="GP122" s="263"/>
      <c r="GQ122" s="263"/>
      <c r="GR122" s="263"/>
      <c r="GS122" s="263"/>
      <c r="GT122" s="263"/>
      <c r="GU122" s="263"/>
      <c r="GV122" s="263"/>
      <c r="GW122" s="263"/>
      <c r="GX122" s="263"/>
      <c r="GY122" s="263"/>
      <c r="GZ122" s="263"/>
      <c r="HA122" s="263"/>
      <c r="HB122" s="263"/>
      <c r="HC122" s="263"/>
      <c r="HD122" s="263"/>
      <c r="HE122" s="263"/>
      <c r="HF122" s="263"/>
      <c r="HG122" s="263"/>
      <c r="HH122" s="263"/>
      <c r="HI122" s="263"/>
      <c r="HJ122" s="263"/>
      <c r="HK122" s="263"/>
      <c r="HL122" s="263"/>
      <c r="HM122" s="263"/>
      <c r="HN122" s="263"/>
      <c r="HO122" s="263"/>
      <c r="HP122" s="263"/>
      <c r="HQ122" s="263"/>
      <c r="HR122" s="263"/>
      <c r="HS122" s="263"/>
      <c r="HT122" s="263"/>
      <c r="HU122" s="263"/>
      <c r="HV122" s="263"/>
      <c r="HW122" s="263"/>
      <c r="HX122" s="263"/>
      <c r="HY122" s="263"/>
      <c r="HZ122" s="263"/>
      <c r="IA122" s="263"/>
      <c r="IB122" s="263"/>
      <c r="IC122" s="263"/>
      <c r="ID122" s="263"/>
      <c r="IE122" s="263"/>
      <c r="IF122" s="263"/>
      <c r="IG122" s="263"/>
      <c r="IH122" s="263"/>
      <c r="II122" s="263"/>
      <c r="IJ122" s="263"/>
      <c r="IK122" s="263"/>
      <c r="IL122" s="263"/>
      <c r="IM122" s="263"/>
      <c r="IN122" s="263"/>
      <c r="IO122" s="263"/>
      <c r="IP122" s="263"/>
      <c r="IQ122" s="263"/>
    </row>
    <row r="123" spans="1:251" ht="52.5" customHeight="1" x14ac:dyDescent="0.3">
      <c r="A123" s="262">
        <v>115</v>
      </c>
      <c r="B123" s="266"/>
      <c r="C123" s="271">
        <v>29</v>
      </c>
      <c r="D123" s="550" t="s">
        <v>529</v>
      </c>
      <c r="E123" s="268">
        <f>F123+G123+L125+M123</f>
        <v>100</v>
      </c>
      <c r="F123" s="269">
        <v>10</v>
      </c>
      <c r="G123" s="1392"/>
      <c r="H123" s="354" t="s">
        <v>24</v>
      </c>
      <c r="I123" s="343"/>
      <c r="J123" s="268"/>
      <c r="K123" s="268"/>
      <c r="L123" s="279"/>
      <c r="M123" s="270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3"/>
      <c r="AG123" s="263"/>
      <c r="AH123" s="263"/>
      <c r="AI123" s="263"/>
      <c r="AJ123" s="263"/>
      <c r="AK123" s="263"/>
      <c r="AL123" s="263"/>
      <c r="AM123" s="263"/>
      <c r="AN123" s="263"/>
      <c r="AO123" s="263"/>
      <c r="AP123" s="263"/>
      <c r="AQ123" s="263"/>
      <c r="AR123" s="263"/>
      <c r="AS123" s="263"/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3"/>
      <c r="BD123" s="263"/>
      <c r="BE123" s="263"/>
      <c r="BF123" s="263"/>
      <c r="BG123" s="263"/>
      <c r="BH123" s="263"/>
      <c r="BI123" s="263"/>
      <c r="BJ123" s="263"/>
      <c r="BK123" s="263"/>
      <c r="BL123" s="263"/>
      <c r="BM123" s="263"/>
      <c r="BN123" s="263"/>
      <c r="BO123" s="263"/>
      <c r="BP123" s="263"/>
      <c r="BQ123" s="263"/>
      <c r="BR123" s="263"/>
      <c r="BS123" s="263"/>
      <c r="BT123" s="263"/>
      <c r="BU123" s="263"/>
      <c r="BV123" s="263"/>
      <c r="BW123" s="263"/>
      <c r="BX123" s="263"/>
      <c r="BY123" s="263"/>
      <c r="BZ123" s="263"/>
      <c r="CA123" s="263"/>
      <c r="CB123" s="263"/>
      <c r="CC123" s="263"/>
      <c r="CD123" s="263"/>
      <c r="CE123" s="263"/>
      <c r="CF123" s="263"/>
      <c r="CG123" s="263"/>
      <c r="CH123" s="263"/>
      <c r="CI123" s="263"/>
      <c r="CJ123" s="263"/>
      <c r="CK123" s="263"/>
      <c r="CL123" s="263"/>
      <c r="CM123" s="263"/>
      <c r="CN123" s="263"/>
      <c r="CO123" s="263"/>
      <c r="CP123" s="263"/>
      <c r="CQ123" s="263"/>
      <c r="CR123" s="263"/>
      <c r="CS123" s="263"/>
      <c r="CT123" s="263"/>
      <c r="CU123" s="263"/>
      <c r="CV123" s="263"/>
      <c r="CW123" s="263"/>
      <c r="CX123" s="263"/>
      <c r="CY123" s="263"/>
      <c r="CZ123" s="263"/>
      <c r="DA123" s="263"/>
      <c r="DB123" s="263"/>
      <c r="DC123" s="263"/>
      <c r="DD123" s="263"/>
      <c r="DE123" s="263"/>
      <c r="DF123" s="263"/>
      <c r="DG123" s="263"/>
      <c r="DH123" s="263"/>
      <c r="DI123" s="263"/>
      <c r="DJ123" s="263"/>
      <c r="DK123" s="263"/>
      <c r="DL123" s="263"/>
      <c r="DM123" s="263"/>
      <c r="DN123" s="263"/>
      <c r="DO123" s="263"/>
      <c r="DP123" s="263"/>
      <c r="DQ123" s="263"/>
      <c r="DR123" s="263"/>
      <c r="DS123" s="263"/>
      <c r="DT123" s="263"/>
      <c r="DU123" s="263"/>
      <c r="DV123" s="263"/>
      <c r="DW123" s="263"/>
      <c r="DX123" s="263"/>
      <c r="DY123" s="263"/>
      <c r="DZ123" s="263"/>
      <c r="EA123" s="263"/>
      <c r="EB123" s="263"/>
      <c r="EC123" s="263"/>
      <c r="ED123" s="263"/>
      <c r="EE123" s="263"/>
      <c r="EF123" s="263"/>
      <c r="EG123" s="263"/>
      <c r="EH123" s="263"/>
      <c r="EI123" s="263"/>
      <c r="EJ123" s="263"/>
      <c r="EK123" s="263"/>
      <c r="EL123" s="263"/>
      <c r="EM123" s="263"/>
      <c r="EN123" s="263"/>
      <c r="EO123" s="263"/>
      <c r="EP123" s="263"/>
      <c r="EQ123" s="263"/>
      <c r="ER123" s="263"/>
      <c r="ES123" s="263"/>
      <c r="ET123" s="263"/>
      <c r="EU123" s="263"/>
      <c r="EV123" s="263"/>
      <c r="EW123" s="263"/>
      <c r="EX123" s="263"/>
      <c r="EY123" s="263"/>
      <c r="EZ123" s="263"/>
      <c r="FA123" s="263"/>
      <c r="FB123" s="263"/>
      <c r="FC123" s="263"/>
      <c r="FD123" s="263"/>
      <c r="FE123" s="263"/>
      <c r="FF123" s="263"/>
      <c r="FG123" s="263"/>
      <c r="FH123" s="263"/>
      <c r="FI123" s="263"/>
      <c r="FJ123" s="263"/>
      <c r="FK123" s="263"/>
      <c r="FL123" s="263"/>
      <c r="FM123" s="263"/>
      <c r="FN123" s="263"/>
      <c r="FO123" s="263"/>
      <c r="FP123" s="263"/>
      <c r="FQ123" s="263"/>
      <c r="FR123" s="263"/>
      <c r="FS123" s="263"/>
      <c r="FT123" s="263"/>
      <c r="FU123" s="263"/>
      <c r="FV123" s="263"/>
      <c r="FW123" s="263"/>
      <c r="FX123" s="263"/>
      <c r="FY123" s="263"/>
      <c r="FZ123" s="263"/>
      <c r="GA123" s="263"/>
      <c r="GB123" s="263"/>
      <c r="GC123" s="263"/>
      <c r="GD123" s="263"/>
      <c r="GE123" s="263"/>
      <c r="GF123" s="263"/>
      <c r="GG123" s="263"/>
      <c r="GH123" s="263"/>
      <c r="GI123" s="263"/>
      <c r="GJ123" s="263"/>
      <c r="GK123" s="263"/>
      <c r="GL123" s="263"/>
      <c r="GM123" s="263"/>
      <c r="GN123" s="263"/>
      <c r="GO123" s="263"/>
      <c r="GP123" s="263"/>
      <c r="GQ123" s="263"/>
      <c r="GR123" s="263"/>
      <c r="GS123" s="263"/>
      <c r="GT123" s="263"/>
      <c r="GU123" s="263"/>
      <c r="GV123" s="263"/>
      <c r="GW123" s="263"/>
      <c r="GX123" s="263"/>
      <c r="GY123" s="263"/>
      <c r="GZ123" s="263"/>
      <c r="HA123" s="263"/>
      <c r="HB123" s="263"/>
      <c r="HC123" s="263"/>
      <c r="HD123" s="263"/>
      <c r="HE123" s="263"/>
      <c r="HF123" s="263"/>
      <c r="HG123" s="263"/>
      <c r="HH123" s="263"/>
      <c r="HI123" s="263"/>
      <c r="HJ123" s="263"/>
      <c r="HK123" s="263"/>
      <c r="HL123" s="263"/>
      <c r="HM123" s="263"/>
      <c r="HN123" s="263"/>
      <c r="HO123" s="263"/>
      <c r="HP123" s="263"/>
      <c r="HQ123" s="263"/>
      <c r="HR123" s="263"/>
      <c r="HS123" s="263"/>
      <c r="HT123" s="263"/>
      <c r="HU123" s="263"/>
      <c r="HV123" s="263"/>
      <c r="HW123" s="263"/>
      <c r="HX123" s="263"/>
      <c r="HY123" s="263"/>
      <c r="HZ123" s="263"/>
      <c r="IA123" s="263"/>
      <c r="IB123" s="263"/>
      <c r="IC123" s="263"/>
      <c r="ID123" s="263"/>
      <c r="IE123" s="263"/>
      <c r="IF123" s="263"/>
      <c r="IG123" s="263"/>
      <c r="IH123" s="263"/>
      <c r="II123" s="263"/>
      <c r="IJ123" s="263"/>
      <c r="IK123" s="263"/>
      <c r="IL123" s="263"/>
      <c r="IM123" s="263"/>
      <c r="IN123" s="263"/>
      <c r="IO123" s="263"/>
      <c r="IP123" s="263"/>
      <c r="IQ123" s="263"/>
    </row>
    <row r="124" spans="1:251" ht="17.100000000000001" customHeight="1" x14ac:dyDescent="0.3">
      <c r="A124" s="262">
        <v>116</v>
      </c>
      <c r="B124" s="266"/>
      <c r="C124" s="271"/>
      <c r="D124" s="459" t="s">
        <v>268</v>
      </c>
      <c r="E124" s="268"/>
      <c r="F124" s="269"/>
      <c r="G124" s="1392"/>
      <c r="H124" s="354"/>
      <c r="I124" s="343"/>
      <c r="J124" s="1064">
        <v>90</v>
      </c>
      <c r="K124" s="1064"/>
      <c r="L124" s="1065">
        <f t="shared" si="0"/>
        <v>90</v>
      </c>
      <c r="M124" s="270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  <c r="AC124" s="263"/>
      <c r="AD124" s="263"/>
      <c r="AE124" s="263"/>
      <c r="AF124" s="263"/>
      <c r="AG124" s="263"/>
      <c r="AH124" s="263"/>
      <c r="AI124" s="263"/>
      <c r="AJ124" s="263"/>
      <c r="AK124" s="263"/>
      <c r="AL124" s="263"/>
      <c r="AM124" s="263"/>
      <c r="AN124" s="263"/>
      <c r="AO124" s="263"/>
      <c r="AP124" s="263"/>
      <c r="AQ124" s="263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3"/>
      <c r="BC124" s="263"/>
      <c r="BD124" s="263"/>
      <c r="BE124" s="263"/>
      <c r="BF124" s="263"/>
      <c r="BG124" s="263"/>
      <c r="BH124" s="263"/>
      <c r="BI124" s="263"/>
      <c r="BJ124" s="263"/>
      <c r="BK124" s="263"/>
      <c r="BL124" s="263"/>
      <c r="BM124" s="263"/>
      <c r="BN124" s="263"/>
      <c r="BO124" s="263"/>
      <c r="BP124" s="263"/>
      <c r="BQ124" s="263"/>
      <c r="BR124" s="263"/>
      <c r="BS124" s="263"/>
      <c r="BT124" s="263"/>
      <c r="BU124" s="263"/>
      <c r="BV124" s="263"/>
      <c r="BW124" s="263"/>
      <c r="BX124" s="263"/>
      <c r="BY124" s="263"/>
      <c r="BZ124" s="263"/>
      <c r="CA124" s="263"/>
      <c r="CB124" s="263"/>
      <c r="CC124" s="263"/>
      <c r="CD124" s="263"/>
      <c r="CE124" s="263"/>
      <c r="CF124" s="263"/>
      <c r="CG124" s="263"/>
      <c r="CH124" s="263"/>
      <c r="CI124" s="263"/>
      <c r="CJ124" s="263"/>
      <c r="CK124" s="263"/>
      <c r="CL124" s="263"/>
      <c r="CM124" s="263"/>
      <c r="CN124" s="263"/>
      <c r="CO124" s="263"/>
      <c r="CP124" s="263"/>
      <c r="CQ124" s="263"/>
      <c r="CR124" s="263"/>
      <c r="CS124" s="263"/>
      <c r="CT124" s="263"/>
      <c r="CU124" s="263"/>
      <c r="CV124" s="263"/>
      <c r="CW124" s="263"/>
      <c r="CX124" s="263"/>
      <c r="CY124" s="263"/>
      <c r="CZ124" s="263"/>
      <c r="DA124" s="263"/>
      <c r="DB124" s="263"/>
      <c r="DC124" s="263"/>
      <c r="DD124" s="263"/>
      <c r="DE124" s="263"/>
      <c r="DF124" s="263"/>
      <c r="DG124" s="263"/>
      <c r="DH124" s="263"/>
      <c r="DI124" s="263"/>
      <c r="DJ124" s="263"/>
      <c r="DK124" s="263"/>
      <c r="DL124" s="263"/>
      <c r="DM124" s="263"/>
      <c r="DN124" s="263"/>
      <c r="DO124" s="263"/>
      <c r="DP124" s="263"/>
      <c r="DQ124" s="263"/>
      <c r="DR124" s="263"/>
      <c r="DS124" s="263"/>
      <c r="DT124" s="263"/>
      <c r="DU124" s="263"/>
      <c r="DV124" s="263"/>
      <c r="DW124" s="263"/>
      <c r="DX124" s="263"/>
      <c r="DY124" s="263"/>
      <c r="DZ124" s="263"/>
      <c r="EA124" s="263"/>
      <c r="EB124" s="263"/>
      <c r="EC124" s="263"/>
      <c r="ED124" s="263"/>
      <c r="EE124" s="263"/>
      <c r="EF124" s="263"/>
      <c r="EG124" s="263"/>
      <c r="EH124" s="263"/>
      <c r="EI124" s="263"/>
      <c r="EJ124" s="263"/>
      <c r="EK124" s="263"/>
      <c r="EL124" s="263"/>
      <c r="EM124" s="263"/>
      <c r="EN124" s="263"/>
      <c r="EO124" s="263"/>
      <c r="EP124" s="263"/>
      <c r="EQ124" s="263"/>
      <c r="ER124" s="263"/>
      <c r="ES124" s="263"/>
      <c r="ET124" s="263"/>
      <c r="EU124" s="263"/>
      <c r="EV124" s="263"/>
      <c r="EW124" s="263"/>
      <c r="EX124" s="263"/>
      <c r="EY124" s="263"/>
      <c r="EZ124" s="263"/>
      <c r="FA124" s="263"/>
      <c r="FB124" s="263"/>
      <c r="FC124" s="263"/>
      <c r="FD124" s="263"/>
      <c r="FE124" s="263"/>
      <c r="FF124" s="263"/>
      <c r="FG124" s="263"/>
      <c r="FH124" s="263"/>
      <c r="FI124" s="263"/>
      <c r="FJ124" s="263"/>
      <c r="FK124" s="263"/>
      <c r="FL124" s="263"/>
      <c r="FM124" s="263"/>
      <c r="FN124" s="263"/>
      <c r="FO124" s="263"/>
      <c r="FP124" s="263"/>
      <c r="FQ124" s="263"/>
      <c r="FR124" s="263"/>
      <c r="FS124" s="263"/>
      <c r="FT124" s="263"/>
      <c r="FU124" s="263"/>
      <c r="FV124" s="263"/>
      <c r="FW124" s="263"/>
      <c r="FX124" s="263"/>
      <c r="FY124" s="263"/>
      <c r="FZ124" s="263"/>
      <c r="GA124" s="263"/>
      <c r="GB124" s="263"/>
      <c r="GC124" s="263"/>
      <c r="GD124" s="263"/>
      <c r="GE124" s="263"/>
      <c r="GF124" s="263"/>
      <c r="GG124" s="263"/>
      <c r="GH124" s="263"/>
      <c r="GI124" s="263"/>
      <c r="GJ124" s="263"/>
      <c r="GK124" s="263"/>
      <c r="GL124" s="263"/>
      <c r="GM124" s="263"/>
      <c r="GN124" s="263"/>
      <c r="GO124" s="263"/>
      <c r="GP124" s="263"/>
      <c r="GQ124" s="263"/>
      <c r="GR124" s="263"/>
      <c r="GS124" s="263"/>
      <c r="GT124" s="263"/>
      <c r="GU124" s="263"/>
      <c r="GV124" s="263"/>
      <c r="GW124" s="263"/>
      <c r="GX124" s="263"/>
      <c r="GY124" s="263"/>
      <c r="GZ124" s="263"/>
      <c r="HA124" s="263"/>
      <c r="HB124" s="263"/>
      <c r="HC124" s="263"/>
      <c r="HD124" s="263"/>
      <c r="HE124" s="263"/>
      <c r="HF124" s="263"/>
      <c r="HG124" s="263"/>
      <c r="HH124" s="263"/>
      <c r="HI124" s="263"/>
      <c r="HJ124" s="263"/>
      <c r="HK124" s="263"/>
      <c r="HL124" s="263"/>
      <c r="HM124" s="263"/>
      <c r="HN124" s="263"/>
      <c r="HO124" s="263"/>
      <c r="HP124" s="263"/>
      <c r="HQ124" s="263"/>
      <c r="HR124" s="263"/>
      <c r="HS124" s="263"/>
      <c r="HT124" s="263"/>
      <c r="HU124" s="263"/>
      <c r="HV124" s="263"/>
      <c r="HW124" s="263"/>
      <c r="HX124" s="263"/>
      <c r="HY124" s="263"/>
      <c r="HZ124" s="263"/>
      <c r="IA124" s="263"/>
      <c r="IB124" s="263"/>
      <c r="IC124" s="263"/>
      <c r="ID124" s="263"/>
      <c r="IE124" s="263"/>
      <c r="IF124" s="263"/>
      <c r="IG124" s="263"/>
      <c r="IH124" s="263"/>
      <c r="II124" s="263"/>
      <c r="IJ124" s="263"/>
      <c r="IK124" s="263"/>
      <c r="IL124" s="263"/>
      <c r="IM124" s="263"/>
      <c r="IN124" s="263"/>
      <c r="IO124" s="263"/>
      <c r="IP124" s="263"/>
      <c r="IQ124" s="263"/>
    </row>
    <row r="125" spans="1:251" ht="17.100000000000001" customHeight="1" x14ac:dyDescent="0.3">
      <c r="A125" s="262">
        <v>117</v>
      </c>
      <c r="B125" s="266"/>
      <c r="C125" s="271"/>
      <c r="D125" s="224" t="s">
        <v>796</v>
      </c>
      <c r="E125" s="268"/>
      <c r="F125" s="269"/>
      <c r="G125" s="1392"/>
      <c r="H125" s="354"/>
      <c r="I125" s="343"/>
      <c r="J125" s="268">
        <v>90</v>
      </c>
      <c r="K125" s="268"/>
      <c r="L125" s="279">
        <f t="shared" si="0"/>
        <v>90</v>
      </c>
      <c r="M125" s="270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3"/>
      <c r="AK125" s="263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3"/>
      <c r="BC125" s="263"/>
      <c r="BD125" s="263"/>
      <c r="BE125" s="263"/>
      <c r="BF125" s="263"/>
      <c r="BG125" s="263"/>
      <c r="BH125" s="263"/>
      <c r="BI125" s="263"/>
      <c r="BJ125" s="263"/>
      <c r="BK125" s="263"/>
      <c r="BL125" s="263"/>
      <c r="BM125" s="263"/>
      <c r="BN125" s="263"/>
      <c r="BO125" s="263"/>
      <c r="BP125" s="263"/>
      <c r="BQ125" s="263"/>
      <c r="BR125" s="263"/>
      <c r="BS125" s="263"/>
      <c r="BT125" s="263"/>
      <c r="BU125" s="263"/>
      <c r="BV125" s="263"/>
      <c r="BW125" s="263"/>
      <c r="BX125" s="263"/>
      <c r="BY125" s="263"/>
      <c r="BZ125" s="263"/>
      <c r="CA125" s="263"/>
      <c r="CB125" s="263"/>
      <c r="CC125" s="263"/>
      <c r="CD125" s="263"/>
      <c r="CE125" s="263"/>
      <c r="CF125" s="263"/>
      <c r="CG125" s="263"/>
      <c r="CH125" s="263"/>
      <c r="CI125" s="263"/>
      <c r="CJ125" s="263"/>
      <c r="CK125" s="263"/>
      <c r="CL125" s="263"/>
      <c r="CM125" s="263"/>
      <c r="CN125" s="263"/>
      <c r="CO125" s="263"/>
      <c r="CP125" s="263"/>
      <c r="CQ125" s="263"/>
      <c r="CR125" s="263"/>
      <c r="CS125" s="263"/>
      <c r="CT125" s="263"/>
      <c r="CU125" s="263"/>
      <c r="CV125" s="263"/>
      <c r="CW125" s="263"/>
      <c r="CX125" s="263"/>
      <c r="CY125" s="263"/>
      <c r="CZ125" s="263"/>
      <c r="DA125" s="263"/>
      <c r="DB125" s="263"/>
      <c r="DC125" s="263"/>
      <c r="DD125" s="263"/>
      <c r="DE125" s="263"/>
      <c r="DF125" s="263"/>
      <c r="DG125" s="263"/>
      <c r="DH125" s="263"/>
      <c r="DI125" s="263"/>
      <c r="DJ125" s="263"/>
      <c r="DK125" s="263"/>
      <c r="DL125" s="263"/>
      <c r="DM125" s="263"/>
      <c r="DN125" s="263"/>
      <c r="DO125" s="263"/>
      <c r="DP125" s="263"/>
      <c r="DQ125" s="263"/>
      <c r="DR125" s="263"/>
      <c r="DS125" s="263"/>
      <c r="DT125" s="263"/>
      <c r="DU125" s="263"/>
      <c r="DV125" s="263"/>
      <c r="DW125" s="263"/>
      <c r="DX125" s="263"/>
      <c r="DY125" s="263"/>
      <c r="DZ125" s="263"/>
      <c r="EA125" s="263"/>
      <c r="EB125" s="263"/>
      <c r="EC125" s="263"/>
      <c r="ED125" s="263"/>
      <c r="EE125" s="263"/>
      <c r="EF125" s="263"/>
      <c r="EG125" s="263"/>
      <c r="EH125" s="263"/>
      <c r="EI125" s="263"/>
      <c r="EJ125" s="263"/>
      <c r="EK125" s="263"/>
      <c r="EL125" s="263"/>
      <c r="EM125" s="263"/>
      <c r="EN125" s="263"/>
      <c r="EO125" s="263"/>
      <c r="EP125" s="263"/>
      <c r="EQ125" s="263"/>
      <c r="ER125" s="263"/>
      <c r="ES125" s="263"/>
      <c r="ET125" s="263"/>
      <c r="EU125" s="263"/>
      <c r="EV125" s="263"/>
      <c r="EW125" s="263"/>
      <c r="EX125" s="263"/>
      <c r="EY125" s="263"/>
      <c r="EZ125" s="263"/>
      <c r="FA125" s="263"/>
      <c r="FB125" s="263"/>
      <c r="FC125" s="263"/>
      <c r="FD125" s="263"/>
      <c r="FE125" s="263"/>
      <c r="FF125" s="263"/>
      <c r="FG125" s="263"/>
      <c r="FH125" s="263"/>
      <c r="FI125" s="263"/>
      <c r="FJ125" s="263"/>
      <c r="FK125" s="263"/>
      <c r="FL125" s="263"/>
      <c r="FM125" s="263"/>
      <c r="FN125" s="263"/>
      <c r="FO125" s="263"/>
      <c r="FP125" s="263"/>
      <c r="FQ125" s="263"/>
      <c r="FR125" s="263"/>
      <c r="FS125" s="263"/>
      <c r="FT125" s="263"/>
      <c r="FU125" s="263"/>
      <c r="FV125" s="263"/>
      <c r="FW125" s="263"/>
      <c r="FX125" s="263"/>
      <c r="FY125" s="263"/>
      <c r="FZ125" s="263"/>
      <c r="GA125" s="263"/>
      <c r="GB125" s="263"/>
      <c r="GC125" s="263"/>
      <c r="GD125" s="263"/>
      <c r="GE125" s="263"/>
      <c r="GF125" s="263"/>
      <c r="GG125" s="263"/>
      <c r="GH125" s="263"/>
      <c r="GI125" s="263"/>
      <c r="GJ125" s="263"/>
      <c r="GK125" s="263"/>
      <c r="GL125" s="263"/>
      <c r="GM125" s="263"/>
      <c r="GN125" s="263"/>
      <c r="GO125" s="263"/>
      <c r="GP125" s="263"/>
      <c r="GQ125" s="263"/>
      <c r="GR125" s="263"/>
      <c r="GS125" s="263"/>
      <c r="GT125" s="263"/>
      <c r="GU125" s="263"/>
      <c r="GV125" s="263"/>
      <c r="GW125" s="263"/>
      <c r="GX125" s="263"/>
      <c r="GY125" s="263"/>
      <c r="GZ125" s="263"/>
      <c r="HA125" s="263"/>
      <c r="HB125" s="263"/>
      <c r="HC125" s="263"/>
      <c r="HD125" s="263"/>
      <c r="HE125" s="263"/>
      <c r="HF125" s="263"/>
      <c r="HG125" s="263"/>
      <c r="HH125" s="263"/>
      <c r="HI125" s="263"/>
      <c r="HJ125" s="263"/>
      <c r="HK125" s="263"/>
      <c r="HL125" s="263"/>
      <c r="HM125" s="263"/>
      <c r="HN125" s="263"/>
      <c r="HO125" s="263"/>
      <c r="HP125" s="263"/>
      <c r="HQ125" s="263"/>
      <c r="HR125" s="263"/>
      <c r="HS125" s="263"/>
      <c r="HT125" s="263"/>
      <c r="HU125" s="263"/>
      <c r="HV125" s="263"/>
      <c r="HW125" s="263"/>
      <c r="HX125" s="263"/>
      <c r="HY125" s="263"/>
      <c r="HZ125" s="263"/>
      <c r="IA125" s="263"/>
      <c r="IB125" s="263"/>
      <c r="IC125" s="263"/>
      <c r="ID125" s="263"/>
      <c r="IE125" s="263"/>
      <c r="IF125" s="263"/>
      <c r="IG125" s="263"/>
      <c r="IH125" s="263"/>
      <c r="II125" s="263"/>
      <c r="IJ125" s="263"/>
      <c r="IK125" s="263"/>
      <c r="IL125" s="263"/>
      <c r="IM125" s="263"/>
      <c r="IN125" s="263"/>
      <c r="IO125" s="263"/>
      <c r="IP125" s="263"/>
      <c r="IQ125" s="263"/>
    </row>
    <row r="126" spans="1:251" ht="17.100000000000001" customHeight="1" x14ac:dyDescent="0.3">
      <c r="A126" s="262">
        <v>118</v>
      </c>
      <c r="B126" s="266"/>
      <c r="C126" s="271"/>
      <c r="D126" s="976" t="s">
        <v>860</v>
      </c>
      <c r="E126" s="268"/>
      <c r="F126" s="269"/>
      <c r="G126" s="1392"/>
      <c r="H126" s="354"/>
      <c r="I126" s="343"/>
      <c r="J126" s="1322">
        <v>30</v>
      </c>
      <c r="K126" s="1322"/>
      <c r="L126" s="1080">
        <f t="shared" si="0"/>
        <v>30</v>
      </c>
      <c r="M126" s="270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  <c r="AC126" s="263"/>
      <c r="AD126" s="263"/>
      <c r="AE126" s="263"/>
      <c r="AF126" s="263"/>
      <c r="AG126" s="263"/>
      <c r="AH126" s="263"/>
      <c r="AI126" s="263"/>
      <c r="AJ126" s="263"/>
      <c r="AK126" s="263"/>
      <c r="AL126" s="263"/>
      <c r="AM126" s="263"/>
      <c r="AN126" s="263"/>
      <c r="AO126" s="263"/>
      <c r="AP126" s="263"/>
      <c r="AQ126" s="263"/>
      <c r="AR126" s="263"/>
      <c r="AS126" s="263"/>
      <c r="AT126" s="263"/>
      <c r="AU126" s="263"/>
      <c r="AV126" s="263"/>
      <c r="AW126" s="263"/>
      <c r="AX126" s="263"/>
      <c r="AY126" s="263"/>
      <c r="AZ126" s="263"/>
      <c r="BA126" s="263"/>
      <c r="BB126" s="263"/>
      <c r="BC126" s="263"/>
      <c r="BD126" s="263"/>
      <c r="BE126" s="263"/>
      <c r="BF126" s="263"/>
      <c r="BG126" s="263"/>
      <c r="BH126" s="263"/>
      <c r="BI126" s="263"/>
      <c r="BJ126" s="263"/>
      <c r="BK126" s="263"/>
      <c r="BL126" s="263"/>
      <c r="BM126" s="263"/>
      <c r="BN126" s="263"/>
      <c r="BO126" s="263"/>
      <c r="BP126" s="263"/>
      <c r="BQ126" s="263"/>
      <c r="BR126" s="263"/>
      <c r="BS126" s="263"/>
      <c r="BT126" s="263"/>
      <c r="BU126" s="263"/>
      <c r="BV126" s="263"/>
      <c r="BW126" s="263"/>
      <c r="BX126" s="263"/>
      <c r="BY126" s="263"/>
      <c r="BZ126" s="263"/>
      <c r="CA126" s="263"/>
      <c r="CB126" s="263"/>
      <c r="CC126" s="263"/>
      <c r="CD126" s="263"/>
      <c r="CE126" s="263"/>
      <c r="CF126" s="263"/>
      <c r="CG126" s="263"/>
      <c r="CH126" s="263"/>
      <c r="CI126" s="263"/>
      <c r="CJ126" s="263"/>
      <c r="CK126" s="263"/>
      <c r="CL126" s="263"/>
      <c r="CM126" s="263"/>
      <c r="CN126" s="263"/>
      <c r="CO126" s="263"/>
      <c r="CP126" s="263"/>
      <c r="CQ126" s="263"/>
      <c r="CR126" s="263"/>
      <c r="CS126" s="263"/>
      <c r="CT126" s="263"/>
      <c r="CU126" s="263"/>
      <c r="CV126" s="263"/>
      <c r="CW126" s="263"/>
      <c r="CX126" s="263"/>
      <c r="CY126" s="263"/>
      <c r="CZ126" s="263"/>
      <c r="DA126" s="263"/>
      <c r="DB126" s="263"/>
      <c r="DC126" s="263"/>
      <c r="DD126" s="263"/>
      <c r="DE126" s="263"/>
      <c r="DF126" s="263"/>
      <c r="DG126" s="263"/>
      <c r="DH126" s="263"/>
      <c r="DI126" s="263"/>
      <c r="DJ126" s="263"/>
      <c r="DK126" s="263"/>
      <c r="DL126" s="263"/>
      <c r="DM126" s="263"/>
      <c r="DN126" s="263"/>
      <c r="DO126" s="263"/>
      <c r="DP126" s="263"/>
      <c r="DQ126" s="263"/>
      <c r="DR126" s="263"/>
      <c r="DS126" s="263"/>
      <c r="DT126" s="263"/>
      <c r="DU126" s="263"/>
      <c r="DV126" s="263"/>
      <c r="DW126" s="263"/>
      <c r="DX126" s="263"/>
      <c r="DY126" s="263"/>
      <c r="DZ126" s="263"/>
      <c r="EA126" s="263"/>
      <c r="EB126" s="263"/>
      <c r="EC126" s="263"/>
      <c r="ED126" s="263"/>
      <c r="EE126" s="263"/>
      <c r="EF126" s="263"/>
      <c r="EG126" s="263"/>
      <c r="EH126" s="263"/>
      <c r="EI126" s="263"/>
      <c r="EJ126" s="263"/>
      <c r="EK126" s="263"/>
      <c r="EL126" s="263"/>
      <c r="EM126" s="263"/>
      <c r="EN126" s="263"/>
      <c r="EO126" s="263"/>
      <c r="EP126" s="263"/>
      <c r="EQ126" s="263"/>
      <c r="ER126" s="263"/>
      <c r="ES126" s="263"/>
      <c r="ET126" s="263"/>
      <c r="EU126" s="263"/>
      <c r="EV126" s="263"/>
      <c r="EW126" s="263"/>
      <c r="EX126" s="263"/>
      <c r="EY126" s="263"/>
      <c r="EZ126" s="263"/>
      <c r="FA126" s="263"/>
      <c r="FB126" s="263"/>
      <c r="FC126" s="263"/>
      <c r="FD126" s="263"/>
      <c r="FE126" s="263"/>
      <c r="FF126" s="263"/>
      <c r="FG126" s="263"/>
      <c r="FH126" s="263"/>
      <c r="FI126" s="263"/>
      <c r="FJ126" s="263"/>
      <c r="FK126" s="263"/>
      <c r="FL126" s="263"/>
      <c r="FM126" s="263"/>
      <c r="FN126" s="263"/>
      <c r="FO126" s="263"/>
      <c r="FP126" s="263"/>
      <c r="FQ126" s="263"/>
      <c r="FR126" s="263"/>
      <c r="FS126" s="263"/>
      <c r="FT126" s="263"/>
      <c r="FU126" s="263"/>
      <c r="FV126" s="263"/>
      <c r="FW126" s="263"/>
      <c r="FX126" s="263"/>
      <c r="FY126" s="263"/>
      <c r="FZ126" s="263"/>
      <c r="GA126" s="263"/>
      <c r="GB126" s="263"/>
      <c r="GC126" s="263"/>
      <c r="GD126" s="263"/>
      <c r="GE126" s="263"/>
      <c r="GF126" s="263"/>
      <c r="GG126" s="263"/>
      <c r="GH126" s="263"/>
      <c r="GI126" s="263"/>
      <c r="GJ126" s="263"/>
      <c r="GK126" s="263"/>
      <c r="GL126" s="263"/>
      <c r="GM126" s="263"/>
      <c r="GN126" s="263"/>
      <c r="GO126" s="263"/>
      <c r="GP126" s="263"/>
      <c r="GQ126" s="263"/>
      <c r="GR126" s="263"/>
      <c r="GS126" s="263"/>
      <c r="GT126" s="263"/>
      <c r="GU126" s="263"/>
      <c r="GV126" s="263"/>
      <c r="GW126" s="263"/>
      <c r="GX126" s="263"/>
      <c r="GY126" s="263"/>
      <c r="GZ126" s="263"/>
      <c r="HA126" s="263"/>
      <c r="HB126" s="263"/>
      <c r="HC126" s="263"/>
      <c r="HD126" s="263"/>
      <c r="HE126" s="263"/>
      <c r="HF126" s="263"/>
      <c r="HG126" s="263"/>
      <c r="HH126" s="263"/>
      <c r="HI126" s="263"/>
      <c r="HJ126" s="263"/>
      <c r="HK126" s="263"/>
      <c r="HL126" s="263"/>
      <c r="HM126" s="263"/>
      <c r="HN126" s="263"/>
      <c r="HO126" s="263"/>
      <c r="HP126" s="263"/>
      <c r="HQ126" s="263"/>
      <c r="HR126" s="263"/>
      <c r="HS126" s="263"/>
      <c r="HT126" s="263"/>
      <c r="HU126" s="263"/>
      <c r="HV126" s="263"/>
      <c r="HW126" s="263"/>
      <c r="HX126" s="263"/>
      <c r="HY126" s="263"/>
      <c r="HZ126" s="263"/>
      <c r="IA126" s="263"/>
      <c r="IB126" s="263"/>
      <c r="IC126" s="263"/>
      <c r="ID126" s="263"/>
      <c r="IE126" s="263"/>
      <c r="IF126" s="263"/>
      <c r="IG126" s="263"/>
      <c r="IH126" s="263"/>
      <c r="II126" s="263"/>
      <c r="IJ126" s="263"/>
      <c r="IK126" s="263"/>
      <c r="IL126" s="263"/>
      <c r="IM126" s="263"/>
      <c r="IN126" s="263"/>
      <c r="IO126" s="263"/>
      <c r="IP126" s="263"/>
      <c r="IQ126" s="263"/>
    </row>
    <row r="127" spans="1:251" ht="33.75" customHeight="1" x14ac:dyDescent="0.3">
      <c r="A127" s="262">
        <v>119</v>
      </c>
      <c r="B127" s="266"/>
      <c r="C127" s="271">
        <v>30</v>
      </c>
      <c r="D127" s="550" t="s">
        <v>530</v>
      </c>
      <c r="E127" s="268">
        <f>F127+G127+L129+M127</f>
        <v>902</v>
      </c>
      <c r="F127" s="269"/>
      <c r="G127" s="1392"/>
      <c r="H127" s="354" t="s">
        <v>24</v>
      </c>
      <c r="I127" s="343"/>
      <c r="J127" s="268"/>
      <c r="K127" s="268"/>
      <c r="L127" s="279"/>
      <c r="M127" s="270"/>
      <c r="N127" s="263"/>
      <c r="O127" s="263"/>
      <c r="P127" s="263"/>
      <c r="Q127" s="263"/>
      <c r="R127" s="263"/>
      <c r="S127" s="263"/>
      <c r="T127" s="263"/>
      <c r="U127" s="263"/>
      <c r="V127" s="263"/>
      <c r="W127" s="263"/>
      <c r="X127" s="263"/>
      <c r="Y127" s="263"/>
      <c r="Z127" s="263"/>
      <c r="AA127" s="263"/>
      <c r="AB127" s="263"/>
      <c r="AC127" s="263"/>
      <c r="AD127" s="263"/>
      <c r="AE127" s="263"/>
      <c r="AF127" s="263"/>
      <c r="AG127" s="263"/>
      <c r="AH127" s="263"/>
      <c r="AI127" s="263"/>
      <c r="AJ127" s="263"/>
      <c r="AK127" s="263"/>
      <c r="AL127" s="263"/>
      <c r="AM127" s="263"/>
      <c r="AN127" s="263"/>
      <c r="AO127" s="263"/>
      <c r="AP127" s="263"/>
      <c r="AQ127" s="263"/>
      <c r="AR127" s="263"/>
      <c r="AS127" s="263"/>
      <c r="AT127" s="263"/>
      <c r="AU127" s="263"/>
      <c r="AV127" s="263"/>
      <c r="AW127" s="263"/>
      <c r="AX127" s="263"/>
      <c r="AY127" s="263"/>
      <c r="AZ127" s="263"/>
      <c r="BA127" s="263"/>
      <c r="BB127" s="263"/>
      <c r="BC127" s="263"/>
      <c r="BD127" s="263"/>
      <c r="BE127" s="263"/>
      <c r="BF127" s="263"/>
      <c r="BG127" s="263"/>
      <c r="BH127" s="263"/>
      <c r="BI127" s="263"/>
      <c r="BJ127" s="263"/>
      <c r="BK127" s="263"/>
      <c r="BL127" s="263"/>
      <c r="BM127" s="263"/>
      <c r="BN127" s="263"/>
      <c r="BO127" s="263"/>
      <c r="BP127" s="263"/>
      <c r="BQ127" s="263"/>
      <c r="BR127" s="263"/>
      <c r="BS127" s="263"/>
      <c r="BT127" s="263"/>
      <c r="BU127" s="263"/>
      <c r="BV127" s="263"/>
      <c r="BW127" s="263"/>
      <c r="BX127" s="263"/>
      <c r="BY127" s="263"/>
      <c r="BZ127" s="263"/>
      <c r="CA127" s="263"/>
      <c r="CB127" s="263"/>
      <c r="CC127" s="263"/>
      <c r="CD127" s="263"/>
      <c r="CE127" s="263"/>
      <c r="CF127" s="263"/>
      <c r="CG127" s="263"/>
      <c r="CH127" s="263"/>
      <c r="CI127" s="263"/>
      <c r="CJ127" s="263"/>
      <c r="CK127" s="263"/>
      <c r="CL127" s="263"/>
      <c r="CM127" s="263"/>
      <c r="CN127" s="263"/>
      <c r="CO127" s="263"/>
      <c r="CP127" s="263"/>
      <c r="CQ127" s="263"/>
      <c r="CR127" s="263"/>
      <c r="CS127" s="263"/>
      <c r="CT127" s="263"/>
      <c r="CU127" s="263"/>
      <c r="CV127" s="263"/>
      <c r="CW127" s="263"/>
      <c r="CX127" s="263"/>
      <c r="CY127" s="263"/>
      <c r="CZ127" s="263"/>
      <c r="DA127" s="263"/>
      <c r="DB127" s="263"/>
      <c r="DC127" s="263"/>
      <c r="DD127" s="263"/>
      <c r="DE127" s="263"/>
      <c r="DF127" s="263"/>
      <c r="DG127" s="263"/>
      <c r="DH127" s="263"/>
      <c r="DI127" s="263"/>
      <c r="DJ127" s="263"/>
      <c r="DK127" s="263"/>
      <c r="DL127" s="263"/>
      <c r="DM127" s="263"/>
      <c r="DN127" s="263"/>
      <c r="DO127" s="263"/>
      <c r="DP127" s="263"/>
      <c r="DQ127" s="263"/>
      <c r="DR127" s="263"/>
      <c r="DS127" s="263"/>
      <c r="DT127" s="263"/>
      <c r="DU127" s="263"/>
      <c r="DV127" s="263"/>
      <c r="DW127" s="263"/>
      <c r="DX127" s="263"/>
      <c r="DY127" s="263"/>
      <c r="DZ127" s="263"/>
      <c r="EA127" s="263"/>
      <c r="EB127" s="263"/>
      <c r="EC127" s="263"/>
      <c r="ED127" s="263"/>
      <c r="EE127" s="263"/>
      <c r="EF127" s="263"/>
      <c r="EG127" s="263"/>
      <c r="EH127" s="263"/>
      <c r="EI127" s="263"/>
      <c r="EJ127" s="263"/>
      <c r="EK127" s="263"/>
      <c r="EL127" s="263"/>
      <c r="EM127" s="263"/>
      <c r="EN127" s="263"/>
      <c r="EO127" s="263"/>
      <c r="EP127" s="263"/>
      <c r="EQ127" s="263"/>
      <c r="ER127" s="263"/>
      <c r="ES127" s="263"/>
      <c r="ET127" s="263"/>
      <c r="EU127" s="263"/>
      <c r="EV127" s="263"/>
      <c r="EW127" s="263"/>
      <c r="EX127" s="263"/>
      <c r="EY127" s="263"/>
      <c r="EZ127" s="263"/>
      <c r="FA127" s="263"/>
      <c r="FB127" s="263"/>
      <c r="FC127" s="263"/>
      <c r="FD127" s="263"/>
      <c r="FE127" s="263"/>
      <c r="FF127" s="263"/>
      <c r="FG127" s="263"/>
      <c r="FH127" s="263"/>
      <c r="FI127" s="263"/>
      <c r="FJ127" s="263"/>
      <c r="FK127" s="263"/>
      <c r="FL127" s="263"/>
      <c r="FM127" s="263"/>
      <c r="FN127" s="263"/>
      <c r="FO127" s="263"/>
      <c r="FP127" s="263"/>
      <c r="FQ127" s="263"/>
      <c r="FR127" s="263"/>
      <c r="FS127" s="263"/>
      <c r="FT127" s="263"/>
      <c r="FU127" s="263"/>
      <c r="FV127" s="263"/>
      <c r="FW127" s="263"/>
      <c r="FX127" s="263"/>
      <c r="FY127" s="263"/>
      <c r="FZ127" s="263"/>
      <c r="GA127" s="263"/>
      <c r="GB127" s="263"/>
      <c r="GC127" s="263"/>
      <c r="GD127" s="263"/>
      <c r="GE127" s="263"/>
      <c r="GF127" s="263"/>
      <c r="GG127" s="263"/>
      <c r="GH127" s="263"/>
      <c r="GI127" s="263"/>
      <c r="GJ127" s="263"/>
      <c r="GK127" s="263"/>
      <c r="GL127" s="263"/>
      <c r="GM127" s="263"/>
      <c r="GN127" s="263"/>
      <c r="GO127" s="263"/>
      <c r="GP127" s="263"/>
      <c r="GQ127" s="263"/>
      <c r="GR127" s="263"/>
      <c r="GS127" s="263"/>
      <c r="GT127" s="263"/>
      <c r="GU127" s="263"/>
      <c r="GV127" s="263"/>
      <c r="GW127" s="263"/>
      <c r="GX127" s="263"/>
      <c r="GY127" s="263"/>
      <c r="GZ127" s="263"/>
      <c r="HA127" s="263"/>
      <c r="HB127" s="263"/>
      <c r="HC127" s="263"/>
      <c r="HD127" s="263"/>
      <c r="HE127" s="263"/>
      <c r="HF127" s="263"/>
      <c r="HG127" s="263"/>
      <c r="HH127" s="263"/>
      <c r="HI127" s="263"/>
      <c r="HJ127" s="263"/>
      <c r="HK127" s="263"/>
      <c r="HL127" s="263"/>
      <c r="HM127" s="263"/>
      <c r="HN127" s="263"/>
      <c r="HO127" s="263"/>
      <c r="HP127" s="263"/>
      <c r="HQ127" s="263"/>
      <c r="HR127" s="263"/>
      <c r="HS127" s="263"/>
      <c r="HT127" s="263"/>
      <c r="HU127" s="263"/>
      <c r="HV127" s="263"/>
      <c r="HW127" s="263"/>
      <c r="HX127" s="263"/>
      <c r="HY127" s="263"/>
      <c r="HZ127" s="263"/>
      <c r="IA127" s="263"/>
      <c r="IB127" s="263"/>
      <c r="IC127" s="263"/>
      <c r="ID127" s="263"/>
      <c r="IE127" s="263"/>
      <c r="IF127" s="263"/>
      <c r="IG127" s="263"/>
      <c r="IH127" s="263"/>
      <c r="II127" s="263"/>
      <c r="IJ127" s="263"/>
      <c r="IK127" s="263"/>
      <c r="IL127" s="263"/>
      <c r="IM127" s="263"/>
      <c r="IN127" s="263"/>
      <c r="IO127" s="263"/>
      <c r="IP127" s="263"/>
      <c r="IQ127" s="263"/>
    </row>
    <row r="128" spans="1:251" ht="17.100000000000001" customHeight="1" x14ac:dyDescent="0.3">
      <c r="A128" s="262">
        <v>120</v>
      </c>
      <c r="B128" s="266"/>
      <c r="C128" s="271"/>
      <c r="D128" s="459" t="s">
        <v>268</v>
      </c>
      <c r="E128" s="268"/>
      <c r="F128" s="269"/>
      <c r="G128" s="1392"/>
      <c r="H128" s="354"/>
      <c r="I128" s="1066">
        <v>902</v>
      </c>
      <c r="J128" s="1064">
        <v>3228</v>
      </c>
      <c r="K128" s="1064"/>
      <c r="L128" s="1065">
        <f t="shared" si="0"/>
        <v>4130</v>
      </c>
      <c r="M128" s="270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  <c r="Y128" s="263"/>
      <c r="Z128" s="263"/>
      <c r="AA128" s="263"/>
      <c r="AB128" s="263"/>
      <c r="AC128" s="263"/>
      <c r="AD128" s="263"/>
      <c r="AE128" s="263"/>
      <c r="AF128" s="263"/>
      <c r="AG128" s="263"/>
      <c r="AH128" s="263"/>
      <c r="AI128" s="263"/>
      <c r="AJ128" s="263"/>
      <c r="AK128" s="263"/>
      <c r="AL128" s="263"/>
      <c r="AM128" s="263"/>
      <c r="AN128" s="263"/>
      <c r="AO128" s="263"/>
      <c r="AP128" s="263"/>
      <c r="AQ128" s="263"/>
      <c r="AR128" s="263"/>
      <c r="AS128" s="263"/>
      <c r="AT128" s="263"/>
      <c r="AU128" s="263"/>
      <c r="AV128" s="263"/>
      <c r="AW128" s="263"/>
      <c r="AX128" s="263"/>
      <c r="AY128" s="263"/>
      <c r="AZ128" s="263"/>
      <c r="BA128" s="263"/>
      <c r="BB128" s="263"/>
      <c r="BC128" s="263"/>
      <c r="BD128" s="263"/>
      <c r="BE128" s="263"/>
      <c r="BF128" s="263"/>
      <c r="BG128" s="263"/>
      <c r="BH128" s="263"/>
      <c r="BI128" s="263"/>
      <c r="BJ128" s="263"/>
      <c r="BK128" s="263"/>
      <c r="BL128" s="263"/>
      <c r="BM128" s="263"/>
      <c r="BN128" s="263"/>
      <c r="BO128" s="263"/>
      <c r="BP128" s="263"/>
      <c r="BQ128" s="263"/>
      <c r="BR128" s="263"/>
      <c r="BS128" s="263"/>
      <c r="BT128" s="263"/>
      <c r="BU128" s="263"/>
      <c r="BV128" s="263"/>
      <c r="BW128" s="263"/>
      <c r="BX128" s="263"/>
      <c r="BY128" s="263"/>
      <c r="BZ128" s="263"/>
      <c r="CA128" s="263"/>
      <c r="CB128" s="263"/>
      <c r="CC128" s="263"/>
      <c r="CD128" s="263"/>
      <c r="CE128" s="263"/>
      <c r="CF128" s="263"/>
      <c r="CG128" s="263"/>
      <c r="CH128" s="263"/>
      <c r="CI128" s="263"/>
      <c r="CJ128" s="263"/>
      <c r="CK128" s="263"/>
      <c r="CL128" s="263"/>
      <c r="CM128" s="263"/>
      <c r="CN128" s="263"/>
      <c r="CO128" s="263"/>
      <c r="CP128" s="263"/>
      <c r="CQ128" s="263"/>
      <c r="CR128" s="263"/>
      <c r="CS128" s="263"/>
      <c r="CT128" s="263"/>
      <c r="CU128" s="263"/>
      <c r="CV128" s="263"/>
      <c r="CW128" s="263"/>
      <c r="CX128" s="263"/>
      <c r="CY128" s="263"/>
      <c r="CZ128" s="263"/>
      <c r="DA128" s="263"/>
      <c r="DB128" s="263"/>
      <c r="DC128" s="263"/>
      <c r="DD128" s="263"/>
      <c r="DE128" s="263"/>
      <c r="DF128" s="263"/>
      <c r="DG128" s="263"/>
      <c r="DH128" s="263"/>
      <c r="DI128" s="263"/>
      <c r="DJ128" s="263"/>
      <c r="DK128" s="263"/>
      <c r="DL128" s="263"/>
      <c r="DM128" s="263"/>
      <c r="DN128" s="263"/>
      <c r="DO128" s="263"/>
      <c r="DP128" s="263"/>
      <c r="DQ128" s="263"/>
      <c r="DR128" s="263"/>
      <c r="DS128" s="263"/>
      <c r="DT128" s="263"/>
      <c r="DU128" s="263"/>
      <c r="DV128" s="263"/>
      <c r="DW128" s="263"/>
      <c r="DX128" s="263"/>
      <c r="DY128" s="263"/>
      <c r="DZ128" s="263"/>
      <c r="EA128" s="263"/>
      <c r="EB128" s="263"/>
      <c r="EC128" s="263"/>
      <c r="ED128" s="263"/>
      <c r="EE128" s="263"/>
      <c r="EF128" s="263"/>
      <c r="EG128" s="263"/>
      <c r="EH128" s="263"/>
      <c r="EI128" s="263"/>
      <c r="EJ128" s="263"/>
      <c r="EK128" s="263"/>
      <c r="EL128" s="263"/>
      <c r="EM128" s="263"/>
      <c r="EN128" s="263"/>
      <c r="EO128" s="263"/>
      <c r="EP128" s="263"/>
      <c r="EQ128" s="263"/>
      <c r="ER128" s="263"/>
      <c r="ES128" s="263"/>
      <c r="ET128" s="263"/>
      <c r="EU128" s="263"/>
      <c r="EV128" s="263"/>
      <c r="EW128" s="263"/>
      <c r="EX128" s="263"/>
      <c r="EY128" s="263"/>
      <c r="EZ128" s="263"/>
      <c r="FA128" s="263"/>
      <c r="FB128" s="263"/>
      <c r="FC128" s="263"/>
      <c r="FD128" s="263"/>
      <c r="FE128" s="263"/>
      <c r="FF128" s="263"/>
      <c r="FG128" s="263"/>
      <c r="FH128" s="263"/>
      <c r="FI128" s="263"/>
      <c r="FJ128" s="263"/>
      <c r="FK128" s="263"/>
      <c r="FL128" s="263"/>
      <c r="FM128" s="263"/>
      <c r="FN128" s="263"/>
      <c r="FO128" s="263"/>
      <c r="FP128" s="263"/>
      <c r="FQ128" s="263"/>
      <c r="FR128" s="263"/>
      <c r="FS128" s="263"/>
      <c r="FT128" s="263"/>
      <c r="FU128" s="263"/>
      <c r="FV128" s="263"/>
      <c r="FW128" s="263"/>
      <c r="FX128" s="263"/>
      <c r="FY128" s="263"/>
      <c r="FZ128" s="263"/>
      <c r="GA128" s="263"/>
      <c r="GB128" s="263"/>
      <c r="GC128" s="263"/>
      <c r="GD128" s="263"/>
      <c r="GE128" s="263"/>
      <c r="GF128" s="263"/>
      <c r="GG128" s="263"/>
      <c r="GH128" s="263"/>
      <c r="GI128" s="263"/>
      <c r="GJ128" s="263"/>
      <c r="GK128" s="263"/>
      <c r="GL128" s="263"/>
      <c r="GM128" s="263"/>
      <c r="GN128" s="263"/>
      <c r="GO128" s="263"/>
      <c r="GP128" s="263"/>
      <c r="GQ128" s="263"/>
      <c r="GR128" s="263"/>
      <c r="GS128" s="263"/>
      <c r="GT128" s="263"/>
      <c r="GU128" s="263"/>
      <c r="GV128" s="263"/>
      <c r="GW128" s="263"/>
      <c r="GX128" s="263"/>
      <c r="GY128" s="263"/>
      <c r="GZ128" s="263"/>
      <c r="HA128" s="263"/>
      <c r="HB128" s="263"/>
      <c r="HC128" s="263"/>
      <c r="HD128" s="263"/>
      <c r="HE128" s="263"/>
      <c r="HF128" s="263"/>
      <c r="HG128" s="263"/>
      <c r="HH128" s="263"/>
      <c r="HI128" s="263"/>
      <c r="HJ128" s="263"/>
      <c r="HK128" s="263"/>
      <c r="HL128" s="263"/>
      <c r="HM128" s="263"/>
      <c r="HN128" s="263"/>
      <c r="HO128" s="263"/>
      <c r="HP128" s="263"/>
      <c r="HQ128" s="263"/>
      <c r="HR128" s="263"/>
      <c r="HS128" s="263"/>
      <c r="HT128" s="263"/>
      <c r="HU128" s="263"/>
      <c r="HV128" s="263"/>
      <c r="HW128" s="263"/>
      <c r="HX128" s="263"/>
      <c r="HY128" s="263"/>
      <c r="HZ128" s="263"/>
      <c r="IA128" s="263"/>
      <c r="IB128" s="263"/>
      <c r="IC128" s="263"/>
      <c r="ID128" s="263"/>
      <c r="IE128" s="263"/>
      <c r="IF128" s="263"/>
      <c r="IG128" s="263"/>
      <c r="IH128" s="263"/>
      <c r="II128" s="263"/>
      <c r="IJ128" s="263"/>
      <c r="IK128" s="263"/>
      <c r="IL128" s="263"/>
      <c r="IM128" s="263"/>
      <c r="IN128" s="263"/>
      <c r="IO128" s="263"/>
      <c r="IP128" s="263"/>
      <c r="IQ128" s="263"/>
    </row>
    <row r="129" spans="1:251" ht="17.100000000000001" customHeight="1" x14ac:dyDescent="0.3">
      <c r="A129" s="262">
        <v>121</v>
      </c>
      <c r="B129" s="266"/>
      <c r="C129" s="271"/>
      <c r="D129" s="224" t="s">
        <v>796</v>
      </c>
      <c r="E129" s="268"/>
      <c r="F129" s="269"/>
      <c r="G129" s="1392"/>
      <c r="H129" s="354"/>
      <c r="I129" s="343">
        <v>902</v>
      </c>
      <c r="J129" s="268">
        <v>0</v>
      </c>
      <c r="K129" s="268"/>
      <c r="L129" s="279">
        <f t="shared" si="0"/>
        <v>902</v>
      </c>
      <c r="M129" s="270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  <c r="AA129" s="263"/>
      <c r="AB129" s="263"/>
      <c r="AC129" s="263"/>
      <c r="AD129" s="263"/>
      <c r="AE129" s="263"/>
      <c r="AF129" s="263"/>
      <c r="AG129" s="263"/>
      <c r="AH129" s="263"/>
      <c r="AI129" s="263"/>
      <c r="AJ129" s="263"/>
      <c r="AK129" s="263"/>
      <c r="AL129" s="263"/>
      <c r="AM129" s="263"/>
      <c r="AN129" s="263"/>
      <c r="AO129" s="263"/>
      <c r="AP129" s="263"/>
      <c r="AQ129" s="263"/>
      <c r="AR129" s="263"/>
      <c r="AS129" s="263"/>
      <c r="AT129" s="263"/>
      <c r="AU129" s="263"/>
      <c r="AV129" s="263"/>
      <c r="AW129" s="263"/>
      <c r="AX129" s="263"/>
      <c r="AY129" s="263"/>
      <c r="AZ129" s="263"/>
      <c r="BA129" s="263"/>
      <c r="BB129" s="263"/>
      <c r="BC129" s="263"/>
      <c r="BD129" s="263"/>
      <c r="BE129" s="263"/>
      <c r="BF129" s="263"/>
      <c r="BG129" s="263"/>
      <c r="BH129" s="263"/>
      <c r="BI129" s="263"/>
      <c r="BJ129" s="263"/>
      <c r="BK129" s="263"/>
      <c r="BL129" s="263"/>
      <c r="BM129" s="263"/>
      <c r="BN129" s="263"/>
      <c r="BO129" s="263"/>
      <c r="BP129" s="263"/>
      <c r="BQ129" s="263"/>
      <c r="BR129" s="263"/>
      <c r="BS129" s="263"/>
      <c r="BT129" s="263"/>
      <c r="BU129" s="263"/>
      <c r="BV129" s="263"/>
      <c r="BW129" s="263"/>
      <c r="BX129" s="263"/>
      <c r="BY129" s="263"/>
      <c r="BZ129" s="263"/>
      <c r="CA129" s="263"/>
      <c r="CB129" s="263"/>
      <c r="CC129" s="263"/>
      <c r="CD129" s="263"/>
      <c r="CE129" s="263"/>
      <c r="CF129" s="263"/>
      <c r="CG129" s="263"/>
      <c r="CH129" s="263"/>
      <c r="CI129" s="263"/>
      <c r="CJ129" s="263"/>
      <c r="CK129" s="263"/>
      <c r="CL129" s="263"/>
      <c r="CM129" s="263"/>
      <c r="CN129" s="263"/>
      <c r="CO129" s="263"/>
      <c r="CP129" s="263"/>
      <c r="CQ129" s="263"/>
      <c r="CR129" s="263"/>
      <c r="CS129" s="263"/>
      <c r="CT129" s="263"/>
      <c r="CU129" s="263"/>
      <c r="CV129" s="263"/>
      <c r="CW129" s="263"/>
      <c r="CX129" s="263"/>
      <c r="CY129" s="263"/>
      <c r="CZ129" s="263"/>
      <c r="DA129" s="263"/>
      <c r="DB129" s="263"/>
      <c r="DC129" s="263"/>
      <c r="DD129" s="263"/>
      <c r="DE129" s="263"/>
      <c r="DF129" s="263"/>
      <c r="DG129" s="263"/>
      <c r="DH129" s="263"/>
      <c r="DI129" s="263"/>
      <c r="DJ129" s="263"/>
      <c r="DK129" s="263"/>
      <c r="DL129" s="263"/>
      <c r="DM129" s="263"/>
      <c r="DN129" s="263"/>
      <c r="DO129" s="263"/>
      <c r="DP129" s="263"/>
      <c r="DQ129" s="263"/>
      <c r="DR129" s="263"/>
      <c r="DS129" s="263"/>
      <c r="DT129" s="263"/>
      <c r="DU129" s="263"/>
      <c r="DV129" s="263"/>
      <c r="DW129" s="263"/>
      <c r="DX129" s="263"/>
      <c r="DY129" s="263"/>
      <c r="DZ129" s="263"/>
      <c r="EA129" s="263"/>
      <c r="EB129" s="263"/>
      <c r="EC129" s="263"/>
      <c r="ED129" s="263"/>
      <c r="EE129" s="263"/>
      <c r="EF129" s="263"/>
      <c r="EG129" s="263"/>
      <c r="EH129" s="263"/>
      <c r="EI129" s="263"/>
      <c r="EJ129" s="263"/>
      <c r="EK129" s="263"/>
      <c r="EL129" s="263"/>
      <c r="EM129" s="263"/>
      <c r="EN129" s="263"/>
      <c r="EO129" s="263"/>
      <c r="EP129" s="263"/>
      <c r="EQ129" s="263"/>
      <c r="ER129" s="263"/>
      <c r="ES129" s="263"/>
      <c r="ET129" s="263"/>
      <c r="EU129" s="263"/>
      <c r="EV129" s="263"/>
      <c r="EW129" s="263"/>
      <c r="EX129" s="263"/>
      <c r="EY129" s="263"/>
      <c r="EZ129" s="263"/>
      <c r="FA129" s="263"/>
      <c r="FB129" s="263"/>
      <c r="FC129" s="263"/>
      <c r="FD129" s="263"/>
      <c r="FE129" s="263"/>
      <c r="FF129" s="263"/>
      <c r="FG129" s="263"/>
      <c r="FH129" s="263"/>
      <c r="FI129" s="263"/>
      <c r="FJ129" s="263"/>
      <c r="FK129" s="263"/>
      <c r="FL129" s="263"/>
      <c r="FM129" s="263"/>
      <c r="FN129" s="263"/>
      <c r="FO129" s="263"/>
      <c r="FP129" s="263"/>
      <c r="FQ129" s="263"/>
      <c r="FR129" s="263"/>
      <c r="FS129" s="263"/>
      <c r="FT129" s="263"/>
      <c r="FU129" s="263"/>
      <c r="FV129" s="263"/>
      <c r="FW129" s="263"/>
      <c r="FX129" s="263"/>
      <c r="FY129" s="263"/>
      <c r="FZ129" s="263"/>
      <c r="GA129" s="263"/>
      <c r="GB129" s="263"/>
      <c r="GC129" s="263"/>
      <c r="GD129" s="263"/>
      <c r="GE129" s="263"/>
      <c r="GF129" s="263"/>
      <c r="GG129" s="263"/>
      <c r="GH129" s="263"/>
      <c r="GI129" s="263"/>
      <c r="GJ129" s="263"/>
      <c r="GK129" s="263"/>
      <c r="GL129" s="263"/>
      <c r="GM129" s="263"/>
      <c r="GN129" s="263"/>
      <c r="GO129" s="263"/>
      <c r="GP129" s="263"/>
      <c r="GQ129" s="263"/>
      <c r="GR129" s="263"/>
      <c r="GS129" s="263"/>
      <c r="GT129" s="263"/>
      <c r="GU129" s="263"/>
      <c r="GV129" s="263"/>
      <c r="GW129" s="263"/>
      <c r="GX129" s="263"/>
      <c r="GY129" s="263"/>
      <c r="GZ129" s="263"/>
      <c r="HA129" s="263"/>
      <c r="HB129" s="263"/>
      <c r="HC129" s="263"/>
      <c r="HD129" s="263"/>
      <c r="HE129" s="263"/>
      <c r="HF129" s="263"/>
      <c r="HG129" s="263"/>
      <c r="HH129" s="263"/>
      <c r="HI129" s="263"/>
      <c r="HJ129" s="263"/>
      <c r="HK129" s="263"/>
      <c r="HL129" s="263"/>
      <c r="HM129" s="263"/>
      <c r="HN129" s="263"/>
      <c r="HO129" s="263"/>
      <c r="HP129" s="263"/>
      <c r="HQ129" s="263"/>
      <c r="HR129" s="263"/>
      <c r="HS129" s="263"/>
      <c r="HT129" s="263"/>
      <c r="HU129" s="263"/>
      <c r="HV129" s="263"/>
      <c r="HW129" s="263"/>
      <c r="HX129" s="263"/>
      <c r="HY129" s="263"/>
      <c r="HZ129" s="263"/>
      <c r="IA129" s="263"/>
      <c r="IB129" s="263"/>
      <c r="IC129" s="263"/>
      <c r="ID129" s="263"/>
      <c r="IE129" s="263"/>
      <c r="IF129" s="263"/>
      <c r="IG129" s="263"/>
      <c r="IH129" s="263"/>
      <c r="II129" s="263"/>
      <c r="IJ129" s="263"/>
      <c r="IK129" s="263"/>
      <c r="IL129" s="263"/>
      <c r="IM129" s="263"/>
      <c r="IN129" s="263"/>
      <c r="IO129" s="263"/>
      <c r="IP129" s="263"/>
      <c r="IQ129" s="263"/>
    </row>
    <row r="130" spans="1:251" ht="17.100000000000001" customHeight="1" x14ac:dyDescent="0.3">
      <c r="A130" s="262">
        <v>122</v>
      </c>
      <c r="B130" s="266"/>
      <c r="C130" s="271"/>
      <c r="D130" s="976" t="s">
        <v>861</v>
      </c>
      <c r="E130" s="268"/>
      <c r="F130" s="269"/>
      <c r="G130" s="1392"/>
      <c r="H130" s="354"/>
      <c r="I130" s="343">
        <v>902</v>
      </c>
      <c r="J130" s="1322"/>
      <c r="K130" s="268"/>
      <c r="L130" s="1080">
        <f t="shared" si="0"/>
        <v>902</v>
      </c>
      <c r="M130" s="270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3"/>
      <c r="AC130" s="263"/>
      <c r="AD130" s="263"/>
      <c r="AE130" s="263"/>
      <c r="AF130" s="263"/>
      <c r="AG130" s="263"/>
      <c r="AH130" s="263"/>
      <c r="AI130" s="263"/>
      <c r="AJ130" s="263"/>
      <c r="AK130" s="263"/>
      <c r="AL130" s="263"/>
      <c r="AM130" s="263"/>
      <c r="AN130" s="263"/>
      <c r="AO130" s="263"/>
      <c r="AP130" s="263"/>
      <c r="AQ130" s="263"/>
      <c r="AR130" s="263"/>
      <c r="AS130" s="263"/>
      <c r="AT130" s="263"/>
      <c r="AU130" s="263"/>
      <c r="AV130" s="263"/>
      <c r="AW130" s="263"/>
      <c r="AX130" s="263"/>
      <c r="AY130" s="263"/>
      <c r="AZ130" s="263"/>
      <c r="BA130" s="263"/>
      <c r="BB130" s="263"/>
      <c r="BC130" s="263"/>
      <c r="BD130" s="263"/>
      <c r="BE130" s="263"/>
      <c r="BF130" s="263"/>
      <c r="BG130" s="263"/>
      <c r="BH130" s="263"/>
      <c r="BI130" s="263"/>
      <c r="BJ130" s="263"/>
      <c r="BK130" s="263"/>
      <c r="BL130" s="263"/>
      <c r="BM130" s="263"/>
      <c r="BN130" s="263"/>
      <c r="BO130" s="263"/>
      <c r="BP130" s="263"/>
      <c r="BQ130" s="263"/>
      <c r="BR130" s="263"/>
      <c r="BS130" s="263"/>
      <c r="BT130" s="263"/>
      <c r="BU130" s="263"/>
      <c r="BV130" s="263"/>
      <c r="BW130" s="263"/>
      <c r="BX130" s="263"/>
      <c r="BY130" s="263"/>
      <c r="BZ130" s="263"/>
      <c r="CA130" s="263"/>
      <c r="CB130" s="263"/>
      <c r="CC130" s="263"/>
      <c r="CD130" s="263"/>
      <c r="CE130" s="263"/>
      <c r="CF130" s="263"/>
      <c r="CG130" s="263"/>
      <c r="CH130" s="263"/>
      <c r="CI130" s="263"/>
      <c r="CJ130" s="263"/>
      <c r="CK130" s="263"/>
      <c r="CL130" s="263"/>
      <c r="CM130" s="263"/>
      <c r="CN130" s="263"/>
      <c r="CO130" s="263"/>
      <c r="CP130" s="263"/>
      <c r="CQ130" s="263"/>
      <c r="CR130" s="263"/>
      <c r="CS130" s="263"/>
      <c r="CT130" s="263"/>
      <c r="CU130" s="263"/>
      <c r="CV130" s="263"/>
      <c r="CW130" s="263"/>
      <c r="CX130" s="263"/>
      <c r="CY130" s="263"/>
      <c r="CZ130" s="263"/>
      <c r="DA130" s="263"/>
      <c r="DB130" s="263"/>
      <c r="DC130" s="263"/>
      <c r="DD130" s="263"/>
      <c r="DE130" s="263"/>
      <c r="DF130" s="263"/>
      <c r="DG130" s="263"/>
      <c r="DH130" s="263"/>
      <c r="DI130" s="263"/>
      <c r="DJ130" s="263"/>
      <c r="DK130" s="263"/>
      <c r="DL130" s="263"/>
      <c r="DM130" s="263"/>
      <c r="DN130" s="263"/>
      <c r="DO130" s="263"/>
      <c r="DP130" s="263"/>
      <c r="DQ130" s="263"/>
      <c r="DR130" s="263"/>
      <c r="DS130" s="263"/>
      <c r="DT130" s="263"/>
      <c r="DU130" s="263"/>
      <c r="DV130" s="263"/>
      <c r="DW130" s="263"/>
      <c r="DX130" s="263"/>
      <c r="DY130" s="263"/>
      <c r="DZ130" s="263"/>
      <c r="EA130" s="263"/>
      <c r="EB130" s="263"/>
      <c r="EC130" s="263"/>
      <c r="ED130" s="263"/>
      <c r="EE130" s="263"/>
      <c r="EF130" s="263"/>
      <c r="EG130" s="263"/>
      <c r="EH130" s="263"/>
      <c r="EI130" s="263"/>
      <c r="EJ130" s="263"/>
      <c r="EK130" s="263"/>
      <c r="EL130" s="263"/>
      <c r="EM130" s="263"/>
      <c r="EN130" s="263"/>
      <c r="EO130" s="263"/>
      <c r="EP130" s="263"/>
      <c r="EQ130" s="263"/>
      <c r="ER130" s="263"/>
      <c r="ES130" s="263"/>
      <c r="ET130" s="263"/>
      <c r="EU130" s="263"/>
      <c r="EV130" s="263"/>
      <c r="EW130" s="263"/>
      <c r="EX130" s="263"/>
      <c r="EY130" s="263"/>
      <c r="EZ130" s="263"/>
      <c r="FA130" s="263"/>
      <c r="FB130" s="263"/>
      <c r="FC130" s="263"/>
      <c r="FD130" s="263"/>
      <c r="FE130" s="263"/>
      <c r="FF130" s="263"/>
      <c r="FG130" s="263"/>
      <c r="FH130" s="263"/>
      <c r="FI130" s="263"/>
      <c r="FJ130" s="263"/>
      <c r="FK130" s="263"/>
      <c r="FL130" s="263"/>
      <c r="FM130" s="263"/>
      <c r="FN130" s="263"/>
      <c r="FO130" s="263"/>
      <c r="FP130" s="263"/>
      <c r="FQ130" s="263"/>
      <c r="FR130" s="263"/>
      <c r="FS130" s="263"/>
      <c r="FT130" s="263"/>
      <c r="FU130" s="263"/>
      <c r="FV130" s="263"/>
      <c r="FW130" s="263"/>
      <c r="FX130" s="263"/>
      <c r="FY130" s="263"/>
      <c r="FZ130" s="263"/>
      <c r="GA130" s="263"/>
      <c r="GB130" s="263"/>
      <c r="GC130" s="263"/>
      <c r="GD130" s="263"/>
      <c r="GE130" s="263"/>
      <c r="GF130" s="263"/>
      <c r="GG130" s="263"/>
      <c r="GH130" s="263"/>
      <c r="GI130" s="263"/>
      <c r="GJ130" s="263"/>
      <c r="GK130" s="263"/>
      <c r="GL130" s="263"/>
      <c r="GM130" s="263"/>
      <c r="GN130" s="263"/>
      <c r="GO130" s="263"/>
      <c r="GP130" s="263"/>
      <c r="GQ130" s="263"/>
      <c r="GR130" s="263"/>
      <c r="GS130" s="263"/>
      <c r="GT130" s="263"/>
      <c r="GU130" s="263"/>
      <c r="GV130" s="263"/>
      <c r="GW130" s="263"/>
      <c r="GX130" s="263"/>
      <c r="GY130" s="263"/>
      <c r="GZ130" s="263"/>
      <c r="HA130" s="263"/>
      <c r="HB130" s="263"/>
      <c r="HC130" s="263"/>
      <c r="HD130" s="263"/>
      <c r="HE130" s="263"/>
      <c r="HF130" s="263"/>
      <c r="HG130" s="263"/>
      <c r="HH130" s="263"/>
      <c r="HI130" s="263"/>
      <c r="HJ130" s="263"/>
      <c r="HK130" s="263"/>
      <c r="HL130" s="263"/>
      <c r="HM130" s="263"/>
      <c r="HN130" s="263"/>
      <c r="HO130" s="263"/>
      <c r="HP130" s="263"/>
      <c r="HQ130" s="263"/>
      <c r="HR130" s="263"/>
      <c r="HS130" s="263"/>
      <c r="HT130" s="263"/>
      <c r="HU130" s="263"/>
      <c r="HV130" s="263"/>
      <c r="HW130" s="263"/>
      <c r="HX130" s="263"/>
      <c r="HY130" s="263"/>
      <c r="HZ130" s="263"/>
      <c r="IA130" s="263"/>
      <c r="IB130" s="263"/>
      <c r="IC130" s="263"/>
      <c r="ID130" s="263"/>
      <c r="IE130" s="263"/>
      <c r="IF130" s="263"/>
      <c r="IG130" s="263"/>
      <c r="IH130" s="263"/>
      <c r="II130" s="263"/>
      <c r="IJ130" s="263"/>
      <c r="IK130" s="263"/>
      <c r="IL130" s="263"/>
      <c r="IM130" s="263"/>
      <c r="IN130" s="263"/>
      <c r="IO130" s="263"/>
      <c r="IP130" s="263"/>
      <c r="IQ130" s="263"/>
    </row>
    <row r="131" spans="1:251" ht="22.5" customHeight="1" x14ac:dyDescent="0.3">
      <c r="A131" s="262">
        <v>123</v>
      </c>
      <c r="B131" s="266"/>
      <c r="C131" s="267">
        <v>31</v>
      </c>
      <c r="D131" s="176" t="s">
        <v>531</v>
      </c>
      <c r="E131" s="268">
        <f>F131+G131+L133+M131</f>
        <v>26206</v>
      </c>
      <c r="F131" s="269"/>
      <c r="G131" s="1392">
        <v>19538</v>
      </c>
      <c r="H131" s="354" t="s">
        <v>24</v>
      </c>
      <c r="I131" s="343"/>
      <c r="J131" s="268"/>
      <c r="K131" s="268"/>
      <c r="L131" s="279"/>
      <c r="M131" s="270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  <c r="AA131" s="263"/>
      <c r="AB131" s="263"/>
      <c r="AC131" s="263"/>
      <c r="AD131" s="263"/>
      <c r="AE131" s="263"/>
      <c r="AF131" s="263"/>
      <c r="AG131" s="263"/>
      <c r="AH131" s="263"/>
      <c r="AI131" s="263"/>
      <c r="AJ131" s="263"/>
      <c r="AK131" s="263"/>
      <c r="AL131" s="263"/>
      <c r="AM131" s="263"/>
      <c r="AN131" s="263"/>
      <c r="AO131" s="263"/>
      <c r="AP131" s="263"/>
      <c r="AQ131" s="263"/>
      <c r="AR131" s="263"/>
      <c r="AS131" s="263"/>
      <c r="AT131" s="263"/>
      <c r="AU131" s="263"/>
      <c r="AV131" s="263"/>
      <c r="AW131" s="263"/>
      <c r="AX131" s="263"/>
      <c r="AY131" s="263"/>
      <c r="AZ131" s="263"/>
      <c r="BA131" s="263"/>
      <c r="BB131" s="263"/>
      <c r="BC131" s="263"/>
      <c r="BD131" s="263"/>
      <c r="BE131" s="263"/>
      <c r="BF131" s="263"/>
      <c r="BG131" s="263"/>
      <c r="BH131" s="263"/>
      <c r="BI131" s="263"/>
      <c r="BJ131" s="263"/>
      <c r="BK131" s="263"/>
      <c r="BL131" s="263"/>
      <c r="BM131" s="263"/>
      <c r="BN131" s="263"/>
      <c r="BO131" s="263"/>
      <c r="BP131" s="263"/>
      <c r="BQ131" s="263"/>
      <c r="BR131" s="263"/>
      <c r="BS131" s="263"/>
      <c r="BT131" s="263"/>
      <c r="BU131" s="263"/>
      <c r="BV131" s="263"/>
      <c r="BW131" s="263"/>
      <c r="BX131" s="263"/>
      <c r="BY131" s="263"/>
      <c r="BZ131" s="263"/>
      <c r="CA131" s="263"/>
      <c r="CB131" s="263"/>
      <c r="CC131" s="263"/>
      <c r="CD131" s="263"/>
      <c r="CE131" s="263"/>
      <c r="CF131" s="263"/>
      <c r="CG131" s="263"/>
      <c r="CH131" s="263"/>
      <c r="CI131" s="263"/>
      <c r="CJ131" s="263"/>
      <c r="CK131" s="263"/>
      <c r="CL131" s="263"/>
      <c r="CM131" s="263"/>
      <c r="CN131" s="263"/>
      <c r="CO131" s="263"/>
      <c r="CP131" s="263"/>
      <c r="CQ131" s="263"/>
      <c r="CR131" s="263"/>
      <c r="CS131" s="263"/>
      <c r="CT131" s="263"/>
      <c r="CU131" s="263"/>
      <c r="CV131" s="263"/>
      <c r="CW131" s="263"/>
      <c r="CX131" s="263"/>
      <c r="CY131" s="263"/>
      <c r="CZ131" s="263"/>
      <c r="DA131" s="263"/>
      <c r="DB131" s="263"/>
      <c r="DC131" s="263"/>
      <c r="DD131" s="263"/>
      <c r="DE131" s="263"/>
      <c r="DF131" s="263"/>
      <c r="DG131" s="263"/>
      <c r="DH131" s="263"/>
      <c r="DI131" s="263"/>
      <c r="DJ131" s="263"/>
      <c r="DK131" s="263"/>
      <c r="DL131" s="263"/>
      <c r="DM131" s="263"/>
      <c r="DN131" s="263"/>
      <c r="DO131" s="263"/>
      <c r="DP131" s="263"/>
      <c r="DQ131" s="263"/>
      <c r="DR131" s="263"/>
      <c r="DS131" s="263"/>
      <c r="DT131" s="263"/>
      <c r="DU131" s="263"/>
      <c r="DV131" s="263"/>
      <c r="DW131" s="263"/>
      <c r="DX131" s="263"/>
      <c r="DY131" s="263"/>
      <c r="DZ131" s="263"/>
      <c r="EA131" s="263"/>
      <c r="EB131" s="263"/>
      <c r="EC131" s="263"/>
      <c r="ED131" s="263"/>
      <c r="EE131" s="263"/>
      <c r="EF131" s="263"/>
      <c r="EG131" s="263"/>
      <c r="EH131" s="263"/>
      <c r="EI131" s="263"/>
      <c r="EJ131" s="263"/>
      <c r="EK131" s="263"/>
      <c r="EL131" s="263"/>
      <c r="EM131" s="263"/>
      <c r="EN131" s="263"/>
      <c r="EO131" s="263"/>
      <c r="EP131" s="263"/>
      <c r="EQ131" s="263"/>
      <c r="ER131" s="263"/>
      <c r="ES131" s="263"/>
      <c r="ET131" s="263"/>
      <c r="EU131" s="263"/>
      <c r="EV131" s="263"/>
      <c r="EW131" s="263"/>
      <c r="EX131" s="263"/>
      <c r="EY131" s="263"/>
      <c r="EZ131" s="263"/>
      <c r="FA131" s="263"/>
      <c r="FB131" s="263"/>
      <c r="FC131" s="263"/>
      <c r="FD131" s="263"/>
      <c r="FE131" s="263"/>
      <c r="FF131" s="263"/>
      <c r="FG131" s="263"/>
      <c r="FH131" s="263"/>
      <c r="FI131" s="263"/>
      <c r="FJ131" s="263"/>
      <c r="FK131" s="263"/>
      <c r="FL131" s="263"/>
      <c r="FM131" s="263"/>
      <c r="FN131" s="263"/>
      <c r="FO131" s="263"/>
      <c r="FP131" s="263"/>
      <c r="FQ131" s="263"/>
      <c r="FR131" s="263"/>
      <c r="FS131" s="263"/>
      <c r="FT131" s="263"/>
      <c r="FU131" s="263"/>
      <c r="FV131" s="263"/>
      <c r="FW131" s="263"/>
      <c r="FX131" s="263"/>
      <c r="FY131" s="263"/>
      <c r="FZ131" s="263"/>
      <c r="GA131" s="263"/>
      <c r="GB131" s="263"/>
      <c r="GC131" s="263"/>
      <c r="GD131" s="263"/>
      <c r="GE131" s="263"/>
      <c r="GF131" s="263"/>
      <c r="GG131" s="263"/>
      <c r="GH131" s="263"/>
      <c r="GI131" s="263"/>
      <c r="GJ131" s="263"/>
      <c r="GK131" s="263"/>
      <c r="GL131" s="263"/>
      <c r="GM131" s="263"/>
      <c r="GN131" s="263"/>
      <c r="GO131" s="263"/>
      <c r="GP131" s="263"/>
      <c r="GQ131" s="263"/>
      <c r="GR131" s="263"/>
      <c r="GS131" s="263"/>
      <c r="GT131" s="263"/>
      <c r="GU131" s="263"/>
      <c r="GV131" s="263"/>
      <c r="GW131" s="263"/>
      <c r="GX131" s="263"/>
      <c r="GY131" s="263"/>
      <c r="GZ131" s="263"/>
      <c r="HA131" s="263"/>
      <c r="HB131" s="263"/>
      <c r="HC131" s="263"/>
      <c r="HD131" s="263"/>
      <c r="HE131" s="263"/>
      <c r="HF131" s="263"/>
      <c r="HG131" s="263"/>
      <c r="HH131" s="263"/>
      <c r="HI131" s="263"/>
      <c r="HJ131" s="263"/>
      <c r="HK131" s="263"/>
      <c r="HL131" s="263"/>
      <c r="HM131" s="263"/>
      <c r="HN131" s="263"/>
      <c r="HO131" s="263"/>
      <c r="HP131" s="263"/>
      <c r="HQ131" s="263"/>
      <c r="HR131" s="263"/>
      <c r="HS131" s="263"/>
      <c r="HT131" s="263"/>
      <c r="HU131" s="263"/>
      <c r="HV131" s="263"/>
      <c r="HW131" s="263"/>
      <c r="HX131" s="263"/>
      <c r="HY131" s="263"/>
      <c r="HZ131" s="263"/>
      <c r="IA131" s="263"/>
      <c r="IB131" s="263"/>
      <c r="IC131" s="263"/>
      <c r="ID131" s="263"/>
      <c r="IE131" s="263"/>
      <c r="IF131" s="263"/>
      <c r="IG131" s="263"/>
      <c r="IH131" s="263"/>
      <c r="II131" s="263"/>
      <c r="IJ131" s="263"/>
      <c r="IK131" s="263"/>
      <c r="IL131" s="263"/>
      <c r="IM131" s="263"/>
      <c r="IN131" s="263"/>
      <c r="IO131" s="263"/>
      <c r="IP131" s="263"/>
      <c r="IQ131" s="263"/>
    </row>
    <row r="132" spans="1:251" ht="17.100000000000001" customHeight="1" x14ac:dyDescent="0.3">
      <c r="A132" s="262">
        <v>124</v>
      </c>
      <c r="B132" s="266"/>
      <c r="C132" s="267"/>
      <c r="D132" s="459" t="s">
        <v>268</v>
      </c>
      <c r="E132" s="268"/>
      <c r="F132" s="269"/>
      <c r="G132" s="1392"/>
      <c r="H132" s="354"/>
      <c r="I132" s="343"/>
      <c r="J132" s="1064">
        <v>3449</v>
      </c>
      <c r="K132" s="1064"/>
      <c r="L132" s="1065">
        <f t="shared" si="0"/>
        <v>3449</v>
      </c>
      <c r="M132" s="270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3"/>
      <c r="AD132" s="263"/>
      <c r="AE132" s="263"/>
      <c r="AF132" s="263"/>
      <c r="AG132" s="263"/>
      <c r="AH132" s="263"/>
      <c r="AI132" s="263"/>
      <c r="AJ132" s="263"/>
      <c r="AK132" s="263"/>
      <c r="AL132" s="263"/>
      <c r="AM132" s="263"/>
      <c r="AN132" s="263"/>
      <c r="AO132" s="263"/>
      <c r="AP132" s="263"/>
      <c r="AQ132" s="263"/>
      <c r="AR132" s="263"/>
      <c r="AS132" s="263"/>
      <c r="AT132" s="263"/>
      <c r="AU132" s="263"/>
      <c r="AV132" s="263"/>
      <c r="AW132" s="263"/>
      <c r="AX132" s="263"/>
      <c r="AY132" s="263"/>
      <c r="AZ132" s="263"/>
      <c r="BA132" s="263"/>
      <c r="BB132" s="263"/>
      <c r="BC132" s="263"/>
      <c r="BD132" s="263"/>
      <c r="BE132" s="263"/>
      <c r="BF132" s="263"/>
      <c r="BG132" s="263"/>
      <c r="BH132" s="263"/>
      <c r="BI132" s="263"/>
      <c r="BJ132" s="263"/>
      <c r="BK132" s="263"/>
      <c r="BL132" s="263"/>
      <c r="BM132" s="263"/>
      <c r="BN132" s="263"/>
      <c r="BO132" s="263"/>
      <c r="BP132" s="263"/>
      <c r="BQ132" s="263"/>
      <c r="BR132" s="263"/>
      <c r="BS132" s="263"/>
      <c r="BT132" s="263"/>
      <c r="BU132" s="263"/>
      <c r="BV132" s="263"/>
      <c r="BW132" s="263"/>
      <c r="BX132" s="263"/>
      <c r="BY132" s="263"/>
      <c r="BZ132" s="263"/>
      <c r="CA132" s="263"/>
      <c r="CB132" s="263"/>
      <c r="CC132" s="263"/>
      <c r="CD132" s="263"/>
      <c r="CE132" s="263"/>
      <c r="CF132" s="263"/>
      <c r="CG132" s="263"/>
      <c r="CH132" s="263"/>
      <c r="CI132" s="263"/>
      <c r="CJ132" s="263"/>
      <c r="CK132" s="263"/>
      <c r="CL132" s="263"/>
      <c r="CM132" s="263"/>
      <c r="CN132" s="263"/>
      <c r="CO132" s="263"/>
      <c r="CP132" s="263"/>
      <c r="CQ132" s="263"/>
      <c r="CR132" s="263"/>
      <c r="CS132" s="263"/>
      <c r="CT132" s="263"/>
      <c r="CU132" s="263"/>
      <c r="CV132" s="263"/>
      <c r="CW132" s="263"/>
      <c r="CX132" s="263"/>
      <c r="CY132" s="263"/>
      <c r="CZ132" s="263"/>
      <c r="DA132" s="263"/>
      <c r="DB132" s="263"/>
      <c r="DC132" s="263"/>
      <c r="DD132" s="263"/>
      <c r="DE132" s="263"/>
      <c r="DF132" s="263"/>
      <c r="DG132" s="263"/>
      <c r="DH132" s="263"/>
      <c r="DI132" s="263"/>
      <c r="DJ132" s="263"/>
      <c r="DK132" s="263"/>
      <c r="DL132" s="263"/>
      <c r="DM132" s="263"/>
      <c r="DN132" s="263"/>
      <c r="DO132" s="263"/>
      <c r="DP132" s="263"/>
      <c r="DQ132" s="263"/>
      <c r="DR132" s="263"/>
      <c r="DS132" s="263"/>
      <c r="DT132" s="263"/>
      <c r="DU132" s="263"/>
      <c r="DV132" s="263"/>
      <c r="DW132" s="263"/>
      <c r="DX132" s="263"/>
      <c r="DY132" s="263"/>
      <c r="DZ132" s="263"/>
      <c r="EA132" s="263"/>
      <c r="EB132" s="263"/>
      <c r="EC132" s="263"/>
      <c r="ED132" s="263"/>
      <c r="EE132" s="263"/>
      <c r="EF132" s="263"/>
      <c r="EG132" s="263"/>
      <c r="EH132" s="263"/>
      <c r="EI132" s="263"/>
      <c r="EJ132" s="263"/>
      <c r="EK132" s="263"/>
      <c r="EL132" s="263"/>
      <c r="EM132" s="263"/>
      <c r="EN132" s="263"/>
      <c r="EO132" s="263"/>
      <c r="EP132" s="263"/>
      <c r="EQ132" s="263"/>
      <c r="ER132" s="263"/>
      <c r="ES132" s="263"/>
      <c r="ET132" s="263"/>
      <c r="EU132" s="263"/>
      <c r="EV132" s="263"/>
      <c r="EW132" s="263"/>
      <c r="EX132" s="263"/>
      <c r="EY132" s="263"/>
      <c r="EZ132" s="263"/>
      <c r="FA132" s="263"/>
      <c r="FB132" s="263"/>
      <c r="FC132" s="263"/>
      <c r="FD132" s="263"/>
      <c r="FE132" s="263"/>
      <c r="FF132" s="263"/>
      <c r="FG132" s="263"/>
      <c r="FH132" s="263"/>
      <c r="FI132" s="263"/>
      <c r="FJ132" s="263"/>
      <c r="FK132" s="263"/>
      <c r="FL132" s="263"/>
      <c r="FM132" s="263"/>
      <c r="FN132" s="263"/>
      <c r="FO132" s="263"/>
      <c r="FP132" s="263"/>
      <c r="FQ132" s="263"/>
      <c r="FR132" s="263"/>
      <c r="FS132" s="263"/>
      <c r="FT132" s="263"/>
      <c r="FU132" s="263"/>
      <c r="FV132" s="263"/>
      <c r="FW132" s="263"/>
      <c r="FX132" s="263"/>
      <c r="FY132" s="263"/>
      <c r="FZ132" s="263"/>
      <c r="GA132" s="263"/>
      <c r="GB132" s="263"/>
      <c r="GC132" s="263"/>
      <c r="GD132" s="263"/>
      <c r="GE132" s="263"/>
      <c r="GF132" s="263"/>
      <c r="GG132" s="263"/>
      <c r="GH132" s="263"/>
      <c r="GI132" s="263"/>
      <c r="GJ132" s="263"/>
      <c r="GK132" s="263"/>
      <c r="GL132" s="263"/>
      <c r="GM132" s="263"/>
      <c r="GN132" s="263"/>
      <c r="GO132" s="263"/>
      <c r="GP132" s="263"/>
      <c r="GQ132" s="263"/>
      <c r="GR132" s="263"/>
      <c r="GS132" s="263"/>
      <c r="GT132" s="263"/>
      <c r="GU132" s="263"/>
      <c r="GV132" s="263"/>
      <c r="GW132" s="263"/>
      <c r="GX132" s="263"/>
      <c r="GY132" s="263"/>
      <c r="GZ132" s="263"/>
      <c r="HA132" s="263"/>
      <c r="HB132" s="263"/>
      <c r="HC132" s="263"/>
      <c r="HD132" s="263"/>
      <c r="HE132" s="263"/>
      <c r="HF132" s="263"/>
      <c r="HG132" s="263"/>
      <c r="HH132" s="263"/>
      <c r="HI132" s="263"/>
      <c r="HJ132" s="263"/>
      <c r="HK132" s="263"/>
      <c r="HL132" s="263"/>
      <c r="HM132" s="263"/>
      <c r="HN132" s="263"/>
      <c r="HO132" s="263"/>
      <c r="HP132" s="263"/>
      <c r="HQ132" s="263"/>
      <c r="HR132" s="263"/>
      <c r="HS132" s="263"/>
      <c r="HT132" s="263"/>
      <c r="HU132" s="263"/>
      <c r="HV132" s="263"/>
      <c r="HW132" s="263"/>
      <c r="HX132" s="263"/>
      <c r="HY132" s="263"/>
      <c r="HZ132" s="263"/>
      <c r="IA132" s="263"/>
      <c r="IB132" s="263"/>
      <c r="IC132" s="263"/>
      <c r="ID132" s="263"/>
      <c r="IE132" s="263"/>
      <c r="IF132" s="263"/>
      <c r="IG132" s="263"/>
      <c r="IH132" s="263"/>
      <c r="II132" s="263"/>
      <c r="IJ132" s="263"/>
      <c r="IK132" s="263"/>
      <c r="IL132" s="263"/>
      <c r="IM132" s="263"/>
      <c r="IN132" s="263"/>
      <c r="IO132" s="263"/>
      <c r="IP132" s="263"/>
      <c r="IQ132" s="263"/>
    </row>
    <row r="133" spans="1:251" ht="17.100000000000001" customHeight="1" x14ac:dyDescent="0.3">
      <c r="A133" s="262">
        <v>125</v>
      </c>
      <c r="B133" s="266"/>
      <c r="C133" s="267"/>
      <c r="D133" s="224" t="s">
        <v>796</v>
      </c>
      <c r="E133" s="268"/>
      <c r="F133" s="269"/>
      <c r="G133" s="1392"/>
      <c r="H133" s="354"/>
      <c r="I133" s="343"/>
      <c r="J133" s="268">
        <v>6668</v>
      </c>
      <c r="K133" s="268"/>
      <c r="L133" s="279">
        <f t="shared" si="0"/>
        <v>6668</v>
      </c>
      <c r="M133" s="270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  <c r="AC133" s="263"/>
      <c r="AD133" s="263"/>
      <c r="AE133" s="263"/>
      <c r="AF133" s="263"/>
      <c r="AG133" s="263"/>
      <c r="AH133" s="263"/>
      <c r="AI133" s="263"/>
      <c r="AJ133" s="263"/>
      <c r="AK133" s="263"/>
      <c r="AL133" s="263"/>
      <c r="AM133" s="263"/>
      <c r="AN133" s="263"/>
      <c r="AO133" s="263"/>
      <c r="AP133" s="263"/>
      <c r="AQ133" s="263"/>
      <c r="AR133" s="263"/>
      <c r="AS133" s="263"/>
      <c r="AT133" s="263"/>
      <c r="AU133" s="263"/>
      <c r="AV133" s="263"/>
      <c r="AW133" s="263"/>
      <c r="AX133" s="263"/>
      <c r="AY133" s="263"/>
      <c r="AZ133" s="263"/>
      <c r="BA133" s="263"/>
      <c r="BB133" s="263"/>
      <c r="BC133" s="263"/>
      <c r="BD133" s="263"/>
      <c r="BE133" s="263"/>
      <c r="BF133" s="263"/>
      <c r="BG133" s="263"/>
      <c r="BH133" s="263"/>
      <c r="BI133" s="263"/>
      <c r="BJ133" s="263"/>
      <c r="BK133" s="263"/>
      <c r="BL133" s="263"/>
      <c r="BM133" s="263"/>
      <c r="BN133" s="263"/>
      <c r="BO133" s="263"/>
      <c r="BP133" s="263"/>
      <c r="BQ133" s="263"/>
      <c r="BR133" s="263"/>
      <c r="BS133" s="263"/>
      <c r="BT133" s="263"/>
      <c r="BU133" s="263"/>
      <c r="BV133" s="263"/>
      <c r="BW133" s="263"/>
      <c r="BX133" s="263"/>
      <c r="BY133" s="263"/>
      <c r="BZ133" s="263"/>
      <c r="CA133" s="263"/>
      <c r="CB133" s="263"/>
      <c r="CC133" s="263"/>
      <c r="CD133" s="263"/>
      <c r="CE133" s="263"/>
      <c r="CF133" s="263"/>
      <c r="CG133" s="263"/>
      <c r="CH133" s="263"/>
      <c r="CI133" s="263"/>
      <c r="CJ133" s="263"/>
      <c r="CK133" s="263"/>
      <c r="CL133" s="263"/>
      <c r="CM133" s="263"/>
      <c r="CN133" s="263"/>
      <c r="CO133" s="263"/>
      <c r="CP133" s="263"/>
      <c r="CQ133" s="263"/>
      <c r="CR133" s="263"/>
      <c r="CS133" s="263"/>
      <c r="CT133" s="263"/>
      <c r="CU133" s="263"/>
      <c r="CV133" s="263"/>
      <c r="CW133" s="263"/>
      <c r="CX133" s="263"/>
      <c r="CY133" s="263"/>
      <c r="CZ133" s="263"/>
      <c r="DA133" s="263"/>
      <c r="DB133" s="263"/>
      <c r="DC133" s="263"/>
      <c r="DD133" s="263"/>
      <c r="DE133" s="263"/>
      <c r="DF133" s="263"/>
      <c r="DG133" s="263"/>
      <c r="DH133" s="263"/>
      <c r="DI133" s="263"/>
      <c r="DJ133" s="263"/>
      <c r="DK133" s="263"/>
      <c r="DL133" s="263"/>
      <c r="DM133" s="263"/>
      <c r="DN133" s="263"/>
      <c r="DO133" s="263"/>
      <c r="DP133" s="263"/>
      <c r="DQ133" s="263"/>
      <c r="DR133" s="263"/>
      <c r="DS133" s="263"/>
      <c r="DT133" s="263"/>
      <c r="DU133" s="263"/>
      <c r="DV133" s="263"/>
      <c r="DW133" s="263"/>
      <c r="DX133" s="263"/>
      <c r="DY133" s="263"/>
      <c r="DZ133" s="263"/>
      <c r="EA133" s="263"/>
      <c r="EB133" s="263"/>
      <c r="EC133" s="263"/>
      <c r="ED133" s="263"/>
      <c r="EE133" s="263"/>
      <c r="EF133" s="263"/>
      <c r="EG133" s="263"/>
      <c r="EH133" s="263"/>
      <c r="EI133" s="263"/>
      <c r="EJ133" s="263"/>
      <c r="EK133" s="263"/>
      <c r="EL133" s="263"/>
      <c r="EM133" s="263"/>
      <c r="EN133" s="263"/>
      <c r="EO133" s="263"/>
      <c r="EP133" s="263"/>
      <c r="EQ133" s="263"/>
      <c r="ER133" s="263"/>
      <c r="ES133" s="263"/>
      <c r="ET133" s="263"/>
      <c r="EU133" s="263"/>
      <c r="EV133" s="263"/>
      <c r="EW133" s="263"/>
      <c r="EX133" s="263"/>
      <c r="EY133" s="263"/>
      <c r="EZ133" s="263"/>
      <c r="FA133" s="263"/>
      <c r="FB133" s="263"/>
      <c r="FC133" s="263"/>
      <c r="FD133" s="263"/>
      <c r="FE133" s="263"/>
      <c r="FF133" s="263"/>
      <c r="FG133" s="263"/>
      <c r="FH133" s="263"/>
      <c r="FI133" s="263"/>
      <c r="FJ133" s="263"/>
      <c r="FK133" s="263"/>
      <c r="FL133" s="263"/>
      <c r="FM133" s="263"/>
      <c r="FN133" s="263"/>
      <c r="FO133" s="263"/>
      <c r="FP133" s="263"/>
      <c r="FQ133" s="263"/>
      <c r="FR133" s="263"/>
      <c r="FS133" s="263"/>
      <c r="FT133" s="263"/>
      <c r="FU133" s="263"/>
      <c r="FV133" s="263"/>
      <c r="FW133" s="263"/>
      <c r="FX133" s="263"/>
      <c r="FY133" s="263"/>
      <c r="FZ133" s="263"/>
      <c r="GA133" s="263"/>
      <c r="GB133" s="263"/>
      <c r="GC133" s="263"/>
      <c r="GD133" s="263"/>
      <c r="GE133" s="263"/>
      <c r="GF133" s="263"/>
      <c r="GG133" s="263"/>
      <c r="GH133" s="263"/>
      <c r="GI133" s="263"/>
      <c r="GJ133" s="263"/>
      <c r="GK133" s="263"/>
      <c r="GL133" s="263"/>
      <c r="GM133" s="263"/>
      <c r="GN133" s="263"/>
      <c r="GO133" s="263"/>
      <c r="GP133" s="263"/>
      <c r="GQ133" s="263"/>
      <c r="GR133" s="263"/>
      <c r="GS133" s="263"/>
      <c r="GT133" s="263"/>
      <c r="GU133" s="263"/>
      <c r="GV133" s="263"/>
      <c r="GW133" s="263"/>
      <c r="GX133" s="263"/>
      <c r="GY133" s="263"/>
      <c r="GZ133" s="263"/>
      <c r="HA133" s="263"/>
      <c r="HB133" s="263"/>
      <c r="HC133" s="263"/>
      <c r="HD133" s="263"/>
      <c r="HE133" s="263"/>
      <c r="HF133" s="263"/>
      <c r="HG133" s="263"/>
      <c r="HH133" s="263"/>
      <c r="HI133" s="263"/>
      <c r="HJ133" s="263"/>
      <c r="HK133" s="263"/>
      <c r="HL133" s="263"/>
      <c r="HM133" s="263"/>
      <c r="HN133" s="263"/>
      <c r="HO133" s="263"/>
      <c r="HP133" s="263"/>
      <c r="HQ133" s="263"/>
      <c r="HR133" s="263"/>
      <c r="HS133" s="263"/>
      <c r="HT133" s="263"/>
      <c r="HU133" s="263"/>
      <c r="HV133" s="263"/>
      <c r="HW133" s="263"/>
      <c r="HX133" s="263"/>
      <c r="HY133" s="263"/>
      <c r="HZ133" s="263"/>
      <c r="IA133" s="263"/>
      <c r="IB133" s="263"/>
      <c r="IC133" s="263"/>
      <c r="ID133" s="263"/>
      <c r="IE133" s="263"/>
      <c r="IF133" s="263"/>
      <c r="IG133" s="263"/>
      <c r="IH133" s="263"/>
      <c r="II133" s="263"/>
      <c r="IJ133" s="263"/>
      <c r="IK133" s="263"/>
      <c r="IL133" s="263"/>
      <c r="IM133" s="263"/>
      <c r="IN133" s="263"/>
      <c r="IO133" s="263"/>
      <c r="IP133" s="263"/>
      <c r="IQ133" s="263"/>
    </row>
    <row r="134" spans="1:251" ht="17.100000000000001" customHeight="1" x14ac:dyDescent="0.3">
      <c r="A134" s="262">
        <v>126</v>
      </c>
      <c r="B134" s="266"/>
      <c r="C134" s="267"/>
      <c r="D134" s="976" t="s">
        <v>861</v>
      </c>
      <c r="E134" s="268"/>
      <c r="F134" s="269"/>
      <c r="G134" s="1392"/>
      <c r="H134" s="354"/>
      <c r="I134" s="343"/>
      <c r="J134" s="1322">
        <v>6668</v>
      </c>
      <c r="K134" s="1322"/>
      <c r="L134" s="1080">
        <f t="shared" si="0"/>
        <v>6668</v>
      </c>
      <c r="M134" s="270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3"/>
      <c r="AD134" s="263"/>
      <c r="AE134" s="263"/>
      <c r="AF134" s="263"/>
      <c r="AG134" s="263"/>
      <c r="AH134" s="263"/>
      <c r="AI134" s="263"/>
      <c r="AJ134" s="263"/>
      <c r="AK134" s="263"/>
      <c r="AL134" s="263"/>
      <c r="AM134" s="263"/>
      <c r="AN134" s="263"/>
      <c r="AO134" s="263"/>
      <c r="AP134" s="263"/>
      <c r="AQ134" s="263"/>
      <c r="AR134" s="263"/>
      <c r="AS134" s="263"/>
      <c r="AT134" s="263"/>
      <c r="AU134" s="263"/>
      <c r="AV134" s="263"/>
      <c r="AW134" s="263"/>
      <c r="AX134" s="263"/>
      <c r="AY134" s="263"/>
      <c r="AZ134" s="263"/>
      <c r="BA134" s="263"/>
      <c r="BB134" s="263"/>
      <c r="BC134" s="263"/>
      <c r="BD134" s="263"/>
      <c r="BE134" s="263"/>
      <c r="BF134" s="263"/>
      <c r="BG134" s="263"/>
      <c r="BH134" s="263"/>
      <c r="BI134" s="263"/>
      <c r="BJ134" s="263"/>
      <c r="BK134" s="263"/>
      <c r="BL134" s="263"/>
      <c r="BM134" s="263"/>
      <c r="BN134" s="263"/>
      <c r="BO134" s="263"/>
      <c r="BP134" s="263"/>
      <c r="BQ134" s="263"/>
      <c r="BR134" s="263"/>
      <c r="BS134" s="263"/>
      <c r="BT134" s="263"/>
      <c r="BU134" s="263"/>
      <c r="BV134" s="263"/>
      <c r="BW134" s="263"/>
      <c r="BX134" s="263"/>
      <c r="BY134" s="263"/>
      <c r="BZ134" s="263"/>
      <c r="CA134" s="263"/>
      <c r="CB134" s="263"/>
      <c r="CC134" s="263"/>
      <c r="CD134" s="263"/>
      <c r="CE134" s="263"/>
      <c r="CF134" s="263"/>
      <c r="CG134" s="263"/>
      <c r="CH134" s="263"/>
      <c r="CI134" s="263"/>
      <c r="CJ134" s="263"/>
      <c r="CK134" s="263"/>
      <c r="CL134" s="263"/>
      <c r="CM134" s="263"/>
      <c r="CN134" s="263"/>
      <c r="CO134" s="263"/>
      <c r="CP134" s="263"/>
      <c r="CQ134" s="263"/>
      <c r="CR134" s="263"/>
      <c r="CS134" s="263"/>
      <c r="CT134" s="263"/>
      <c r="CU134" s="263"/>
      <c r="CV134" s="263"/>
      <c r="CW134" s="263"/>
      <c r="CX134" s="263"/>
      <c r="CY134" s="263"/>
      <c r="CZ134" s="263"/>
      <c r="DA134" s="263"/>
      <c r="DB134" s="263"/>
      <c r="DC134" s="263"/>
      <c r="DD134" s="263"/>
      <c r="DE134" s="263"/>
      <c r="DF134" s="263"/>
      <c r="DG134" s="263"/>
      <c r="DH134" s="263"/>
      <c r="DI134" s="263"/>
      <c r="DJ134" s="263"/>
      <c r="DK134" s="263"/>
      <c r="DL134" s="263"/>
      <c r="DM134" s="263"/>
      <c r="DN134" s="263"/>
      <c r="DO134" s="263"/>
      <c r="DP134" s="263"/>
      <c r="DQ134" s="263"/>
      <c r="DR134" s="263"/>
      <c r="DS134" s="263"/>
      <c r="DT134" s="263"/>
      <c r="DU134" s="263"/>
      <c r="DV134" s="263"/>
      <c r="DW134" s="263"/>
      <c r="DX134" s="263"/>
      <c r="DY134" s="263"/>
      <c r="DZ134" s="263"/>
      <c r="EA134" s="263"/>
      <c r="EB134" s="263"/>
      <c r="EC134" s="263"/>
      <c r="ED134" s="263"/>
      <c r="EE134" s="263"/>
      <c r="EF134" s="263"/>
      <c r="EG134" s="263"/>
      <c r="EH134" s="263"/>
      <c r="EI134" s="263"/>
      <c r="EJ134" s="263"/>
      <c r="EK134" s="263"/>
      <c r="EL134" s="263"/>
      <c r="EM134" s="263"/>
      <c r="EN134" s="263"/>
      <c r="EO134" s="263"/>
      <c r="EP134" s="263"/>
      <c r="EQ134" s="263"/>
      <c r="ER134" s="263"/>
      <c r="ES134" s="263"/>
      <c r="ET134" s="263"/>
      <c r="EU134" s="263"/>
      <c r="EV134" s="263"/>
      <c r="EW134" s="263"/>
      <c r="EX134" s="263"/>
      <c r="EY134" s="263"/>
      <c r="EZ134" s="263"/>
      <c r="FA134" s="263"/>
      <c r="FB134" s="263"/>
      <c r="FC134" s="263"/>
      <c r="FD134" s="263"/>
      <c r="FE134" s="263"/>
      <c r="FF134" s="263"/>
      <c r="FG134" s="263"/>
      <c r="FH134" s="263"/>
      <c r="FI134" s="263"/>
      <c r="FJ134" s="263"/>
      <c r="FK134" s="263"/>
      <c r="FL134" s="263"/>
      <c r="FM134" s="263"/>
      <c r="FN134" s="263"/>
      <c r="FO134" s="263"/>
      <c r="FP134" s="263"/>
      <c r="FQ134" s="263"/>
      <c r="FR134" s="263"/>
      <c r="FS134" s="263"/>
      <c r="FT134" s="263"/>
      <c r="FU134" s="263"/>
      <c r="FV134" s="263"/>
      <c r="FW134" s="263"/>
      <c r="FX134" s="263"/>
      <c r="FY134" s="263"/>
      <c r="FZ134" s="263"/>
      <c r="GA134" s="263"/>
      <c r="GB134" s="263"/>
      <c r="GC134" s="263"/>
      <c r="GD134" s="263"/>
      <c r="GE134" s="263"/>
      <c r="GF134" s="263"/>
      <c r="GG134" s="263"/>
      <c r="GH134" s="263"/>
      <c r="GI134" s="263"/>
      <c r="GJ134" s="263"/>
      <c r="GK134" s="263"/>
      <c r="GL134" s="263"/>
      <c r="GM134" s="263"/>
      <c r="GN134" s="263"/>
      <c r="GO134" s="263"/>
      <c r="GP134" s="263"/>
      <c r="GQ134" s="263"/>
      <c r="GR134" s="263"/>
      <c r="GS134" s="263"/>
      <c r="GT134" s="263"/>
      <c r="GU134" s="263"/>
      <c r="GV134" s="263"/>
      <c r="GW134" s="263"/>
      <c r="GX134" s="263"/>
      <c r="GY134" s="263"/>
      <c r="GZ134" s="263"/>
      <c r="HA134" s="263"/>
      <c r="HB134" s="263"/>
      <c r="HC134" s="263"/>
      <c r="HD134" s="263"/>
      <c r="HE134" s="263"/>
      <c r="HF134" s="263"/>
      <c r="HG134" s="263"/>
      <c r="HH134" s="263"/>
      <c r="HI134" s="263"/>
      <c r="HJ134" s="263"/>
      <c r="HK134" s="263"/>
      <c r="HL134" s="263"/>
      <c r="HM134" s="263"/>
      <c r="HN134" s="263"/>
      <c r="HO134" s="263"/>
      <c r="HP134" s="263"/>
      <c r="HQ134" s="263"/>
      <c r="HR134" s="263"/>
      <c r="HS134" s="263"/>
      <c r="HT134" s="263"/>
      <c r="HU134" s="263"/>
      <c r="HV134" s="263"/>
      <c r="HW134" s="263"/>
      <c r="HX134" s="263"/>
      <c r="HY134" s="263"/>
      <c r="HZ134" s="263"/>
      <c r="IA134" s="263"/>
      <c r="IB134" s="263"/>
      <c r="IC134" s="263"/>
      <c r="ID134" s="263"/>
      <c r="IE134" s="263"/>
      <c r="IF134" s="263"/>
      <c r="IG134" s="263"/>
      <c r="IH134" s="263"/>
      <c r="II134" s="263"/>
      <c r="IJ134" s="263"/>
      <c r="IK134" s="263"/>
      <c r="IL134" s="263"/>
      <c r="IM134" s="263"/>
      <c r="IN134" s="263"/>
      <c r="IO134" s="263"/>
      <c r="IP134" s="263"/>
      <c r="IQ134" s="263"/>
    </row>
    <row r="135" spans="1:251" ht="33" x14ac:dyDescent="0.3">
      <c r="A135" s="262">
        <v>127</v>
      </c>
      <c r="B135" s="266"/>
      <c r="C135" s="271">
        <v>32</v>
      </c>
      <c r="D135" s="176" t="s">
        <v>692</v>
      </c>
      <c r="E135" s="268">
        <f>F135+G135+L137+M135</f>
        <v>1500</v>
      </c>
      <c r="F135" s="269"/>
      <c r="G135" s="1392"/>
      <c r="H135" s="354" t="s">
        <v>24</v>
      </c>
      <c r="I135" s="343"/>
      <c r="J135" s="268"/>
      <c r="K135" s="268"/>
      <c r="L135" s="279"/>
      <c r="M135" s="270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  <c r="AC135" s="263"/>
      <c r="AD135" s="263"/>
      <c r="AE135" s="263"/>
      <c r="AF135" s="263"/>
      <c r="AG135" s="263"/>
      <c r="AH135" s="263"/>
      <c r="AI135" s="263"/>
      <c r="AJ135" s="263"/>
      <c r="AK135" s="263"/>
      <c r="AL135" s="263"/>
      <c r="AM135" s="263"/>
      <c r="AN135" s="263"/>
      <c r="AO135" s="263"/>
      <c r="AP135" s="263"/>
      <c r="AQ135" s="263"/>
      <c r="AR135" s="263"/>
      <c r="AS135" s="263"/>
      <c r="AT135" s="263"/>
      <c r="AU135" s="263"/>
      <c r="AV135" s="263"/>
      <c r="AW135" s="263"/>
      <c r="AX135" s="263"/>
      <c r="AY135" s="263"/>
      <c r="AZ135" s="263"/>
      <c r="BA135" s="263"/>
      <c r="BB135" s="263"/>
      <c r="BC135" s="263"/>
      <c r="BD135" s="263"/>
      <c r="BE135" s="263"/>
      <c r="BF135" s="263"/>
      <c r="BG135" s="263"/>
      <c r="BH135" s="263"/>
      <c r="BI135" s="263"/>
      <c r="BJ135" s="263"/>
      <c r="BK135" s="263"/>
      <c r="BL135" s="263"/>
      <c r="BM135" s="263"/>
      <c r="BN135" s="263"/>
      <c r="BO135" s="263"/>
      <c r="BP135" s="263"/>
      <c r="BQ135" s="263"/>
      <c r="BR135" s="263"/>
      <c r="BS135" s="263"/>
      <c r="BT135" s="263"/>
      <c r="BU135" s="263"/>
      <c r="BV135" s="263"/>
      <c r="BW135" s="263"/>
      <c r="BX135" s="263"/>
      <c r="BY135" s="263"/>
      <c r="BZ135" s="263"/>
      <c r="CA135" s="263"/>
      <c r="CB135" s="263"/>
      <c r="CC135" s="263"/>
      <c r="CD135" s="263"/>
      <c r="CE135" s="263"/>
      <c r="CF135" s="263"/>
      <c r="CG135" s="263"/>
      <c r="CH135" s="263"/>
      <c r="CI135" s="263"/>
      <c r="CJ135" s="263"/>
      <c r="CK135" s="263"/>
      <c r="CL135" s="263"/>
      <c r="CM135" s="263"/>
      <c r="CN135" s="263"/>
      <c r="CO135" s="263"/>
      <c r="CP135" s="263"/>
      <c r="CQ135" s="263"/>
      <c r="CR135" s="263"/>
      <c r="CS135" s="263"/>
      <c r="CT135" s="263"/>
      <c r="CU135" s="263"/>
      <c r="CV135" s="263"/>
      <c r="CW135" s="263"/>
      <c r="CX135" s="263"/>
      <c r="CY135" s="263"/>
      <c r="CZ135" s="263"/>
      <c r="DA135" s="263"/>
      <c r="DB135" s="263"/>
      <c r="DC135" s="263"/>
      <c r="DD135" s="263"/>
      <c r="DE135" s="263"/>
      <c r="DF135" s="263"/>
      <c r="DG135" s="263"/>
      <c r="DH135" s="263"/>
      <c r="DI135" s="263"/>
      <c r="DJ135" s="263"/>
      <c r="DK135" s="263"/>
      <c r="DL135" s="263"/>
      <c r="DM135" s="263"/>
      <c r="DN135" s="263"/>
      <c r="DO135" s="263"/>
      <c r="DP135" s="263"/>
      <c r="DQ135" s="263"/>
      <c r="DR135" s="263"/>
      <c r="DS135" s="263"/>
      <c r="DT135" s="263"/>
      <c r="DU135" s="263"/>
      <c r="DV135" s="263"/>
      <c r="DW135" s="263"/>
      <c r="DX135" s="263"/>
      <c r="DY135" s="263"/>
      <c r="DZ135" s="263"/>
      <c r="EA135" s="263"/>
      <c r="EB135" s="263"/>
      <c r="EC135" s="263"/>
      <c r="ED135" s="263"/>
      <c r="EE135" s="263"/>
      <c r="EF135" s="263"/>
      <c r="EG135" s="263"/>
      <c r="EH135" s="263"/>
      <c r="EI135" s="263"/>
      <c r="EJ135" s="263"/>
      <c r="EK135" s="263"/>
      <c r="EL135" s="263"/>
      <c r="EM135" s="263"/>
      <c r="EN135" s="263"/>
      <c r="EO135" s="263"/>
      <c r="EP135" s="263"/>
      <c r="EQ135" s="263"/>
      <c r="ER135" s="263"/>
      <c r="ES135" s="263"/>
      <c r="ET135" s="263"/>
      <c r="EU135" s="263"/>
      <c r="EV135" s="263"/>
      <c r="EW135" s="263"/>
      <c r="EX135" s="263"/>
      <c r="EY135" s="263"/>
      <c r="EZ135" s="263"/>
      <c r="FA135" s="263"/>
      <c r="FB135" s="263"/>
      <c r="FC135" s="263"/>
      <c r="FD135" s="263"/>
      <c r="FE135" s="263"/>
      <c r="FF135" s="263"/>
      <c r="FG135" s="263"/>
      <c r="FH135" s="263"/>
      <c r="FI135" s="263"/>
      <c r="FJ135" s="263"/>
      <c r="FK135" s="263"/>
      <c r="FL135" s="263"/>
      <c r="FM135" s="263"/>
      <c r="FN135" s="263"/>
      <c r="FO135" s="263"/>
      <c r="FP135" s="263"/>
      <c r="FQ135" s="263"/>
      <c r="FR135" s="263"/>
      <c r="FS135" s="263"/>
      <c r="FT135" s="263"/>
      <c r="FU135" s="263"/>
      <c r="FV135" s="263"/>
      <c r="FW135" s="263"/>
      <c r="FX135" s="263"/>
      <c r="FY135" s="263"/>
      <c r="FZ135" s="263"/>
      <c r="GA135" s="263"/>
      <c r="GB135" s="263"/>
      <c r="GC135" s="263"/>
      <c r="GD135" s="263"/>
      <c r="GE135" s="263"/>
      <c r="GF135" s="263"/>
      <c r="GG135" s="263"/>
      <c r="GH135" s="263"/>
      <c r="GI135" s="263"/>
      <c r="GJ135" s="263"/>
      <c r="GK135" s="263"/>
      <c r="GL135" s="263"/>
      <c r="GM135" s="263"/>
      <c r="GN135" s="263"/>
      <c r="GO135" s="263"/>
      <c r="GP135" s="263"/>
      <c r="GQ135" s="263"/>
      <c r="GR135" s="263"/>
      <c r="GS135" s="263"/>
      <c r="GT135" s="263"/>
      <c r="GU135" s="263"/>
      <c r="GV135" s="263"/>
      <c r="GW135" s="263"/>
      <c r="GX135" s="263"/>
      <c r="GY135" s="263"/>
      <c r="GZ135" s="263"/>
      <c r="HA135" s="263"/>
      <c r="HB135" s="263"/>
      <c r="HC135" s="263"/>
      <c r="HD135" s="263"/>
      <c r="HE135" s="263"/>
      <c r="HF135" s="263"/>
      <c r="HG135" s="263"/>
      <c r="HH135" s="263"/>
      <c r="HI135" s="263"/>
      <c r="HJ135" s="263"/>
      <c r="HK135" s="263"/>
      <c r="HL135" s="263"/>
      <c r="HM135" s="263"/>
      <c r="HN135" s="263"/>
      <c r="HO135" s="263"/>
      <c r="HP135" s="263"/>
      <c r="HQ135" s="263"/>
      <c r="HR135" s="263"/>
      <c r="HS135" s="263"/>
      <c r="HT135" s="263"/>
      <c r="HU135" s="263"/>
      <c r="HV135" s="263"/>
      <c r="HW135" s="263"/>
      <c r="HX135" s="263"/>
      <c r="HY135" s="263"/>
      <c r="HZ135" s="263"/>
      <c r="IA135" s="263"/>
      <c r="IB135" s="263"/>
      <c r="IC135" s="263"/>
      <c r="ID135" s="263"/>
      <c r="IE135" s="263"/>
      <c r="IF135" s="263"/>
      <c r="IG135" s="263"/>
      <c r="IH135" s="263"/>
      <c r="II135" s="263"/>
      <c r="IJ135" s="263"/>
      <c r="IK135" s="263"/>
      <c r="IL135" s="263"/>
      <c r="IM135" s="263"/>
      <c r="IN135" s="263"/>
      <c r="IO135" s="263"/>
      <c r="IP135" s="263"/>
      <c r="IQ135" s="263"/>
    </row>
    <row r="136" spans="1:251" ht="17.100000000000001" customHeight="1" x14ac:dyDescent="0.3">
      <c r="A136" s="262">
        <v>128</v>
      </c>
      <c r="B136" s="266"/>
      <c r="C136" s="271"/>
      <c r="D136" s="459" t="s">
        <v>268</v>
      </c>
      <c r="E136" s="268"/>
      <c r="F136" s="269"/>
      <c r="G136" s="1392"/>
      <c r="H136" s="354"/>
      <c r="I136" s="343"/>
      <c r="J136" s="1064">
        <v>1500</v>
      </c>
      <c r="K136" s="1064"/>
      <c r="L136" s="1065">
        <f t="shared" si="0"/>
        <v>1500</v>
      </c>
      <c r="M136" s="270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263"/>
      <c r="AG136" s="263"/>
      <c r="AH136" s="263"/>
      <c r="AI136" s="263"/>
      <c r="AJ136" s="263"/>
      <c r="AK136" s="263"/>
      <c r="AL136" s="263"/>
      <c r="AM136" s="263"/>
      <c r="AN136" s="263"/>
      <c r="AO136" s="263"/>
      <c r="AP136" s="263"/>
      <c r="AQ136" s="263"/>
      <c r="AR136" s="263"/>
      <c r="AS136" s="263"/>
      <c r="AT136" s="263"/>
      <c r="AU136" s="263"/>
      <c r="AV136" s="263"/>
      <c r="AW136" s="263"/>
      <c r="AX136" s="263"/>
      <c r="AY136" s="263"/>
      <c r="AZ136" s="263"/>
      <c r="BA136" s="263"/>
      <c r="BB136" s="263"/>
      <c r="BC136" s="263"/>
      <c r="BD136" s="263"/>
      <c r="BE136" s="263"/>
      <c r="BF136" s="263"/>
      <c r="BG136" s="263"/>
      <c r="BH136" s="263"/>
      <c r="BI136" s="263"/>
      <c r="BJ136" s="263"/>
      <c r="BK136" s="263"/>
      <c r="BL136" s="263"/>
      <c r="BM136" s="263"/>
      <c r="BN136" s="263"/>
      <c r="BO136" s="263"/>
      <c r="BP136" s="263"/>
      <c r="BQ136" s="263"/>
      <c r="BR136" s="263"/>
      <c r="BS136" s="263"/>
      <c r="BT136" s="263"/>
      <c r="BU136" s="263"/>
      <c r="BV136" s="263"/>
      <c r="BW136" s="263"/>
      <c r="BX136" s="263"/>
      <c r="BY136" s="263"/>
      <c r="BZ136" s="263"/>
      <c r="CA136" s="263"/>
      <c r="CB136" s="263"/>
      <c r="CC136" s="263"/>
      <c r="CD136" s="263"/>
      <c r="CE136" s="263"/>
      <c r="CF136" s="263"/>
      <c r="CG136" s="263"/>
      <c r="CH136" s="263"/>
      <c r="CI136" s="263"/>
      <c r="CJ136" s="263"/>
      <c r="CK136" s="263"/>
      <c r="CL136" s="263"/>
      <c r="CM136" s="263"/>
      <c r="CN136" s="263"/>
      <c r="CO136" s="263"/>
      <c r="CP136" s="263"/>
      <c r="CQ136" s="263"/>
      <c r="CR136" s="263"/>
      <c r="CS136" s="263"/>
      <c r="CT136" s="263"/>
      <c r="CU136" s="263"/>
      <c r="CV136" s="263"/>
      <c r="CW136" s="263"/>
      <c r="CX136" s="263"/>
      <c r="CY136" s="263"/>
      <c r="CZ136" s="263"/>
      <c r="DA136" s="263"/>
      <c r="DB136" s="263"/>
      <c r="DC136" s="263"/>
      <c r="DD136" s="263"/>
      <c r="DE136" s="263"/>
      <c r="DF136" s="263"/>
      <c r="DG136" s="263"/>
      <c r="DH136" s="263"/>
      <c r="DI136" s="263"/>
      <c r="DJ136" s="263"/>
      <c r="DK136" s="263"/>
      <c r="DL136" s="263"/>
      <c r="DM136" s="263"/>
      <c r="DN136" s="263"/>
      <c r="DO136" s="263"/>
      <c r="DP136" s="263"/>
      <c r="DQ136" s="263"/>
      <c r="DR136" s="263"/>
      <c r="DS136" s="263"/>
      <c r="DT136" s="263"/>
      <c r="DU136" s="263"/>
      <c r="DV136" s="263"/>
      <c r="DW136" s="263"/>
      <c r="DX136" s="263"/>
      <c r="DY136" s="263"/>
      <c r="DZ136" s="263"/>
      <c r="EA136" s="263"/>
      <c r="EB136" s="263"/>
      <c r="EC136" s="263"/>
      <c r="ED136" s="263"/>
      <c r="EE136" s="263"/>
      <c r="EF136" s="263"/>
      <c r="EG136" s="263"/>
      <c r="EH136" s="263"/>
      <c r="EI136" s="263"/>
      <c r="EJ136" s="263"/>
      <c r="EK136" s="263"/>
      <c r="EL136" s="263"/>
      <c r="EM136" s="263"/>
      <c r="EN136" s="263"/>
      <c r="EO136" s="263"/>
      <c r="EP136" s="263"/>
      <c r="EQ136" s="263"/>
      <c r="ER136" s="263"/>
      <c r="ES136" s="263"/>
      <c r="ET136" s="263"/>
      <c r="EU136" s="263"/>
      <c r="EV136" s="263"/>
      <c r="EW136" s="263"/>
      <c r="EX136" s="263"/>
      <c r="EY136" s="263"/>
      <c r="EZ136" s="263"/>
      <c r="FA136" s="263"/>
      <c r="FB136" s="263"/>
      <c r="FC136" s="263"/>
      <c r="FD136" s="263"/>
      <c r="FE136" s="263"/>
      <c r="FF136" s="263"/>
      <c r="FG136" s="263"/>
      <c r="FH136" s="263"/>
      <c r="FI136" s="263"/>
      <c r="FJ136" s="263"/>
      <c r="FK136" s="263"/>
      <c r="FL136" s="263"/>
      <c r="FM136" s="263"/>
      <c r="FN136" s="263"/>
      <c r="FO136" s="263"/>
      <c r="FP136" s="263"/>
      <c r="FQ136" s="263"/>
      <c r="FR136" s="263"/>
      <c r="FS136" s="263"/>
      <c r="FT136" s="263"/>
      <c r="FU136" s="263"/>
      <c r="FV136" s="263"/>
      <c r="FW136" s="263"/>
      <c r="FX136" s="263"/>
      <c r="FY136" s="263"/>
      <c r="FZ136" s="263"/>
      <c r="GA136" s="263"/>
      <c r="GB136" s="263"/>
      <c r="GC136" s="263"/>
      <c r="GD136" s="263"/>
      <c r="GE136" s="263"/>
      <c r="GF136" s="263"/>
      <c r="GG136" s="263"/>
      <c r="GH136" s="263"/>
      <c r="GI136" s="263"/>
      <c r="GJ136" s="263"/>
      <c r="GK136" s="263"/>
      <c r="GL136" s="263"/>
      <c r="GM136" s="263"/>
      <c r="GN136" s="263"/>
      <c r="GO136" s="263"/>
      <c r="GP136" s="263"/>
      <c r="GQ136" s="263"/>
      <c r="GR136" s="263"/>
      <c r="GS136" s="263"/>
      <c r="GT136" s="263"/>
      <c r="GU136" s="263"/>
      <c r="GV136" s="263"/>
      <c r="GW136" s="263"/>
      <c r="GX136" s="263"/>
      <c r="GY136" s="263"/>
      <c r="GZ136" s="263"/>
      <c r="HA136" s="263"/>
      <c r="HB136" s="263"/>
      <c r="HC136" s="263"/>
      <c r="HD136" s="263"/>
      <c r="HE136" s="263"/>
      <c r="HF136" s="263"/>
      <c r="HG136" s="263"/>
      <c r="HH136" s="263"/>
      <c r="HI136" s="263"/>
      <c r="HJ136" s="263"/>
      <c r="HK136" s="263"/>
      <c r="HL136" s="263"/>
      <c r="HM136" s="263"/>
      <c r="HN136" s="263"/>
      <c r="HO136" s="263"/>
      <c r="HP136" s="263"/>
      <c r="HQ136" s="263"/>
      <c r="HR136" s="263"/>
      <c r="HS136" s="263"/>
      <c r="HT136" s="263"/>
      <c r="HU136" s="263"/>
      <c r="HV136" s="263"/>
      <c r="HW136" s="263"/>
      <c r="HX136" s="263"/>
      <c r="HY136" s="263"/>
      <c r="HZ136" s="263"/>
      <c r="IA136" s="263"/>
      <c r="IB136" s="263"/>
      <c r="IC136" s="263"/>
      <c r="ID136" s="263"/>
      <c r="IE136" s="263"/>
      <c r="IF136" s="263"/>
      <c r="IG136" s="263"/>
      <c r="IH136" s="263"/>
      <c r="II136" s="263"/>
      <c r="IJ136" s="263"/>
      <c r="IK136" s="263"/>
      <c r="IL136" s="263"/>
      <c r="IM136" s="263"/>
      <c r="IN136" s="263"/>
      <c r="IO136" s="263"/>
      <c r="IP136" s="263"/>
      <c r="IQ136" s="263"/>
    </row>
    <row r="137" spans="1:251" ht="17.100000000000001" customHeight="1" x14ac:dyDescent="0.3">
      <c r="A137" s="262">
        <v>129</v>
      </c>
      <c r="B137" s="266"/>
      <c r="C137" s="271"/>
      <c r="D137" s="224" t="s">
        <v>796</v>
      </c>
      <c r="E137" s="268"/>
      <c r="F137" s="269"/>
      <c r="G137" s="1392"/>
      <c r="H137" s="354"/>
      <c r="I137" s="343"/>
      <c r="J137" s="268">
        <v>1500</v>
      </c>
      <c r="K137" s="268"/>
      <c r="L137" s="279">
        <f t="shared" ref="L137:L138" si="1">SUM(I137:K137)</f>
        <v>1500</v>
      </c>
      <c r="M137" s="270"/>
      <c r="N137" s="263"/>
      <c r="O137" s="263"/>
      <c r="P137" s="263"/>
      <c r="Q137" s="263"/>
      <c r="R137" s="263"/>
      <c r="S137" s="263"/>
      <c r="T137" s="263"/>
      <c r="U137" s="263"/>
      <c r="V137" s="263"/>
      <c r="W137" s="263"/>
      <c r="X137" s="263"/>
      <c r="Y137" s="263"/>
      <c r="Z137" s="263"/>
      <c r="AA137" s="263"/>
      <c r="AB137" s="263"/>
      <c r="AC137" s="263"/>
      <c r="AD137" s="263"/>
      <c r="AE137" s="263"/>
      <c r="AF137" s="263"/>
      <c r="AG137" s="263"/>
      <c r="AH137" s="263"/>
      <c r="AI137" s="263"/>
      <c r="AJ137" s="263"/>
      <c r="AK137" s="263"/>
      <c r="AL137" s="263"/>
      <c r="AM137" s="263"/>
      <c r="AN137" s="263"/>
      <c r="AO137" s="263"/>
      <c r="AP137" s="263"/>
      <c r="AQ137" s="263"/>
      <c r="AR137" s="263"/>
      <c r="AS137" s="263"/>
      <c r="AT137" s="263"/>
      <c r="AU137" s="263"/>
      <c r="AV137" s="263"/>
      <c r="AW137" s="263"/>
      <c r="AX137" s="263"/>
      <c r="AY137" s="263"/>
      <c r="AZ137" s="263"/>
      <c r="BA137" s="263"/>
      <c r="BB137" s="263"/>
      <c r="BC137" s="263"/>
      <c r="BD137" s="263"/>
      <c r="BE137" s="263"/>
      <c r="BF137" s="263"/>
      <c r="BG137" s="263"/>
      <c r="BH137" s="263"/>
      <c r="BI137" s="263"/>
      <c r="BJ137" s="263"/>
      <c r="BK137" s="263"/>
      <c r="BL137" s="263"/>
      <c r="BM137" s="263"/>
      <c r="BN137" s="263"/>
      <c r="BO137" s="263"/>
      <c r="BP137" s="263"/>
      <c r="BQ137" s="263"/>
      <c r="BR137" s="263"/>
      <c r="BS137" s="263"/>
      <c r="BT137" s="263"/>
      <c r="BU137" s="263"/>
      <c r="BV137" s="263"/>
      <c r="BW137" s="263"/>
      <c r="BX137" s="263"/>
      <c r="BY137" s="263"/>
      <c r="BZ137" s="263"/>
      <c r="CA137" s="263"/>
      <c r="CB137" s="263"/>
      <c r="CC137" s="263"/>
      <c r="CD137" s="263"/>
      <c r="CE137" s="263"/>
      <c r="CF137" s="263"/>
      <c r="CG137" s="263"/>
      <c r="CH137" s="263"/>
      <c r="CI137" s="263"/>
      <c r="CJ137" s="263"/>
      <c r="CK137" s="263"/>
      <c r="CL137" s="263"/>
      <c r="CM137" s="263"/>
      <c r="CN137" s="263"/>
      <c r="CO137" s="263"/>
      <c r="CP137" s="263"/>
      <c r="CQ137" s="263"/>
      <c r="CR137" s="263"/>
      <c r="CS137" s="263"/>
      <c r="CT137" s="263"/>
      <c r="CU137" s="263"/>
      <c r="CV137" s="263"/>
      <c r="CW137" s="263"/>
      <c r="CX137" s="263"/>
      <c r="CY137" s="263"/>
      <c r="CZ137" s="263"/>
      <c r="DA137" s="263"/>
      <c r="DB137" s="263"/>
      <c r="DC137" s="263"/>
      <c r="DD137" s="263"/>
      <c r="DE137" s="263"/>
      <c r="DF137" s="263"/>
      <c r="DG137" s="263"/>
      <c r="DH137" s="263"/>
      <c r="DI137" s="263"/>
      <c r="DJ137" s="263"/>
      <c r="DK137" s="263"/>
      <c r="DL137" s="263"/>
      <c r="DM137" s="263"/>
      <c r="DN137" s="263"/>
      <c r="DO137" s="263"/>
      <c r="DP137" s="263"/>
      <c r="DQ137" s="263"/>
      <c r="DR137" s="263"/>
      <c r="DS137" s="263"/>
      <c r="DT137" s="263"/>
      <c r="DU137" s="263"/>
      <c r="DV137" s="263"/>
      <c r="DW137" s="263"/>
      <c r="DX137" s="263"/>
      <c r="DY137" s="263"/>
      <c r="DZ137" s="263"/>
      <c r="EA137" s="263"/>
      <c r="EB137" s="263"/>
      <c r="EC137" s="263"/>
      <c r="ED137" s="263"/>
      <c r="EE137" s="263"/>
      <c r="EF137" s="263"/>
      <c r="EG137" s="263"/>
      <c r="EH137" s="263"/>
      <c r="EI137" s="263"/>
      <c r="EJ137" s="263"/>
      <c r="EK137" s="263"/>
      <c r="EL137" s="263"/>
      <c r="EM137" s="263"/>
      <c r="EN137" s="263"/>
      <c r="EO137" s="263"/>
      <c r="EP137" s="263"/>
      <c r="EQ137" s="263"/>
      <c r="ER137" s="263"/>
      <c r="ES137" s="263"/>
      <c r="ET137" s="263"/>
      <c r="EU137" s="263"/>
      <c r="EV137" s="263"/>
      <c r="EW137" s="263"/>
      <c r="EX137" s="263"/>
      <c r="EY137" s="263"/>
      <c r="EZ137" s="263"/>
      <c r="FA137" s="263"/>
      <c r="FB137" s="263"/>
      <c r="FC137" s="263"/>
      <c r="FD137" s="263"/>
      <c r="FE137" s="263"/>
      <c r="FF137" s="263"/>
      <c r="FG137" s="263"/>
      <c r="FH137" s="263"/>
      <c r="FI137" s="263"/>
      <c r="FJ137" s="263"/>
      <c r="FK137" s="263"/>
      <c r="FL137" s="263"/>
      <c r="FM137" s="263"/>
      <c r="FN137" s="263"/>
      <c r="FO137" s="263"/>
      <c r="FP137" s="263"/>
      <c r="FQ137" s="263"/>
      <c r="FR137" s="263"/>
      <c r="FS137" s="263"/>
      <c r="FT137" s="263"/>
      <c r="FU137" s="263"/>
      <c r="FV137" s="263"/>
      <c r="FW137" s="263"/>
      <c r="FX137" s="263"/>
      <c r="FY137" s="263"/>
      <c r="FZ137" s="263"/>
      <c r="GA137" s="263"/>
      <c r="GB137" s="263"/>
      <c r="GC137" s="263"/>
      <c r="GD137" s="263"/>
      <c r="GE137" s="263"/>
      <c r="GF137" s="263"/>
      <c r="GG137" s="263"/>
      <c r="GH137" s="263"/>
      <c r="GI137" s="263"/>
      <c r="GJ137" s="263"/>
      <c r="GK137" s="263"/>
      <c r="GL137" s="263"/>
      <c r="GM137" s="263"/>
      <c r="GN137" s="263"/>
      <c r="GO137" s="263"/>
      <c r="GP137" s="263"/>
      <c r="GQ137" s="263"/>
      <c r="GR137" s="263"/>
      <c r="GS137" s="263"/>
      <c r="GT137" s="263"/>
      <c r="GU137" s="263"/>
      <c r="GV137" s="263"/>
      <c r="GW137" s="263"/>
      <c r="GX137" s="263"/>
      <c r="GY137" s="263"/>
      <c r="GZ137" s="263"/>
      <c r="HA137" s="263"/>
      <c r="HB137" s="263"/>
      <c r="HC137" s="263"/>
      <c r="HD137" s="263"/>
      <c r="HE137" s="263"/>
      <c r="HF137" s="263"/>
      <c r="HG137" s="263"/>
      <c r="HH137" s="263"/>
      <c r="HI137" s="263"/>
      <c r="HJ137" s="263"/>
      <c r="HK137" s="263"/>
      <c r="HL137" s="263"/>
      <c r="HM137" s="263"/>
      <c r="HN137" s="263"/>
      <c r="HO137" s="263"/>
      <c r="HP137" s="263"/>
      <c r="HQ137" s="263"/>
      <c r="HR137" s="263"/>
      <c r="HS137" s="263"/>
      <c r="HT137" s="263"/>
      <c r="HU137" s="263"/>
      <c r="HV137" s="263"/>
      <c r="HW137" s="263"/>
      <c r="HX137" s="263"/>
      <c r="HY137" s="263"/>
      <c r="HZ137" s="263"/>
      <c r="IA137" s="263"/>
      <c r="IB137" s="263"/>
      <c r="IC137" s="263"/>
      <c r="ID137" s="263"/>
      <c r="IE137" s="263"/>
      <c r="IF137" s="263"/>
      <c r="IG137" s="263"/>
      <c r="IH137" s="263"/>
      <c r="II137" s="263"/>
      <c r="IJ137" s="263"/>
      <c r="IK137" s="263"/>
      <c r="IL137" s="263"/>
      <c r="IM137" s="263"/>
      <c r="IN137" s="263"/>
      <c r="IO137" s="263"/>
      <c r="IP137" s="263"/>
      <c r="IQ137" s="263"/>
    </row>
    <row r="138" spans="1:251" ht="17.100000000000001" customHeight="1" x14ac:dyDescent="0.3">
      <c r="A138" s="262">
        <v>130</v>
      </c>
      <c r="B138" s="266"/>
      <c r="C138" s="271"/>
      <c r="D138" s="976" t="s">
        <v>860</v>
      </c>
      <c r="E138" s="268"/>
      <c r="F138" s="269"/>
      <c r="G138" s="1392"/>
      <c r="H138" s="354"/>
      <c r="I138" s="343"/>
      <c r="J138" s="268"/>
      <c r="K138" s="268"/>
      <c r="L138" s="279">
        <f t="shared" si="1"/>
        <v>0</v>
      </c>
      <c r="M138" s="270"/>
      <c r="N138" s="263"/>
      <c r="O138" s="263"/>
      <c r="P138" s="263"/>
      <c r="Q138" s="263"/>
      <c r="R138" s="263"/>
      <c r="S138" s="263"/>
      <c r="T138" s="263"/>
      <c r="U138" s="263"/>
      <c r="V138" s="263"/>
      <c r="W138" s="263"/>
      <c r="X138" s="263"/>
      <c r="Y138" s="263"/>
      <c r="Z138" s="263"/>
      <c r="AA138" s="263"/>
      <c r="AB138" s="263"/>
      <c r="AC138" s="263"/>
      <c r="AD138" s="263"/>
      <c r="AE138" s="263"/>
      <c r="AF138" s="263"/>
      <c r="AG138" s="263"/>
      <c r="AH138" s="263"/>
      <c r="AI138" s="263"/>
      <c r="AJ138" s="263"/>
      <c r="AK138" s="263"/>
      <c r="AL138" s="263"/>
      <c r="AM138" s="263"/>
      <c r="AN138" s="263"/>
      <c r="AO138" s="263"/>
      <c r="AP138" s="263"/>
      <c r="AQ138" s="263"/>
      <c r="AR138" s="263"/>
      <c r="AS138" s="263"/>
      <c r="AT138" s="263"/>
      <c r="AU138" s="263"/>
      <c r="AV138" s="263"/>
      <c r="AW138" s="263"/>
      <c r="AX138" s="263"/>
      <c r="AY138" s="263"/>
      <c r="AZ138" s="263"/>
      <c r="BA138" s="263"/>
      <c r="BB138" s="263"/>
      <c r="BC138" s="263"/>
      <c r="BD138" s="263"/>
      <c r="BE138" s="263"/>
      <c r="BF138" s="263"/>
      <c r="BG138" s="263"/>
      <c r="BH138" s="263"/>
      <c r="BI138" s="263"/>
      <c r="BJ138" s="263"/>
      <c r="BK138" s="263"/>
      <c r="BL138" s="263"/>
      <c r="BM138" s="263"/>
      <c r="BN138" s="263"/>
      <c r="BO138" s="263"/>
      <c r="BP138" s="263"/>
      <c r="BQ138" s="263"/>
      <c r="BR138" s="263"/>
      <c r="BS138" s="263"/>
      <c r="BT138" s="263"/>
      <c r="BU138" s="263"/>
      <c r="BV138" s="263"/>
      <c r="BW138" s="263"/>
      <c r="BX138" s="263"/>
      <c r="BY138" s="263"/>
      <c r="BZ138" s="263"/>
      <c r="CA138" s="263"/>
      <c r="CB138" s="263"/>
      <c r="CC138" s="263"/>
      <c r="CD138" s="263"/>
      <c r="CE138" s="263"/>
      <c r="CF138" s="263"/>
      <c r="CG138" s="263"/>
      <c r="CH138" s="263"/>
      <c r="CI138" s="263"/>
      <c r="CJ138" s="263"/>
      <c r="CK138" s="263"/>
      <c r="CL138" s="263"/>
      <c r="CM138" s="263"/>
      <c r="CN138" s="263"/>
      <c r="CO138" s="263"/>
      <c r="CP138" s="263"/>
      <c r="CQ138" s="263"/>
      <c r="CR138" s="263"/>
      <c r="CS138" s="263"/>
      <c r="CT138" s="263"/>
      <c r="CU138" s="263"/>
      <c r="CV138" s="263"/>
      <c r="CW138" s="263"/>
      <c r="CX138" s="263"/>
      <c r="CY138" s="263"/>
      <c r="CZ138" s="263"/>
      <c r="DA138" s="263"/>
      <c r="DB138" s="263"/>
      <c r="DC138" s="263"/>
      <c r="DD138" s="263"/>
      <c r="DE138" s="263"/>
      <c r="DF138" s="263"/>
      <c r="DG138" s="263"/>
      <c r="DH138" s="263"/>
      <c r="DI138" s="263"/>
      <c r="DJ138" s="263"/>
      <c r="DK138" s="263"/>
      <c r="DL138" s="263"/>
      <c r="DM138" s="263"/>
      <c r="DN138" s="263"/>
      <c r="DO138" s="263"/>
      <c r="DP138" s="263"/>
      <c r="DQ138" s="263"/>
      <c r="DR138" s="263"/>
      <c r="DS138" s="263"/>
      <c r="DT138" s="263"/>
      <c r="DU138" s="263"/>
      <c r="DV138" s="263"/>
      <c r="DW138" s="263"/>
      <c r="DX138" s="263"/>
      <c r="DY138" s="263"/>
      <c r="DZ138" s="263"/>
      <c r="EA138" s="263"/>
      <c r="EB138" s="263"/>
      <c r="EC138" s="263"/>
      <c r="ED138" s="263"/>
      <c r="EE138" s="263"/>
      <c r="EF138" s="263"/>
      <c r="EG138" s="263"/>
      <c r="EH138" s="263"/>
      <c r="EI138" s="263"/>
      <c r="EJ138" s="263"/>
      <c r="EK138" s="263"/>
      <c r="EL138" s="263"/>
      <c r="EM138" s="263"/>
      <c r="EN138" s="263"/>
      <c r="EO138" s="263"/>
      <c r="EP138" s="263"/>
      <c r="EQ138" s="263"/>
      <c r="ER138" s="263"/>
      <c r="ES138" s="263"/>
      <c r="ET138" s="263"/>
      <c r="EU138" s="263"/>
      <c r="EV138" s="263"/>
      <c r="EW138" s="263"/>
      <c r="EX138" s="263"/>
      <c r="EY138" s="263"/>
      <c r="EZ138" s="263"/>
      <c r="FA138" s="263"/>
      <c r="FB138" s="263"/>
      <c r="FC138" s="263"/>
      <c r="FD138" s="263"/>
      <c r="FE138" s="263"/>
      <c r="FF138" s="263"/>
      <c r="FG138" s="263"/>
      <c r="FH138" s="263"/>
      <c r="FI138" s="263"/>
      <c r="FJ138" s="263"/>
      <c r="FK138" s="263"/>
      <c r="FL138" s="263"/>
      <c r="FM138" s="263"/>
      <c r="FN138" s="263"/>
      <c r="FO138" s="263"/>
      <c r="FP138" s="263"/>
      <c r="FQ138" s="263"/>
      <c r="FR138" s="263"/>
      <c r="FS138" s="263"/>
      <c r="FT138" s="263"/>
      <c r="FU138" s="263"/>
      <c r="FV138" s="263"/>
      <c r="FW138" s="263"/>
      <c r="FX138" s="263"/>
      <c r="FY138" s="263"/>
      <c r="FZ138" s="263"/>
      <c r="GA138" s="263"/>
      <c r="GB138" s="263"/>
      <c r="GC138" s="263"/>
      <c r="GD138" s="263"/>
      <c r="GE138" s="263"/>
      <c r="GF138" s="263"/>
      <c r="GG138" s="263"/>
      <c r="GH138" s="263"/>
      <c r="GI138" s="263"/>
      <c r="GJ138" s="263"/>
      <c r="GK138" s="263"/>
      <c r="GL138" s="263"/>
      <c r="GM138" s="263"/>
      <c r="GN138" s="263"/>
      <c r="GO138" s="263"/>
      <c r="GP138" s="263"/>
      <c r="GQ138" s="263"/>
      <c r="GR138" s="263"/>
      <c r="GS138" s="263"/>
      <c r="GT138" s="263"/>
      <c r="GU138" s="263"/>
      <c r="GV138" s="263"/>
      <c r="GW138" s="263"/>
      <c r="GX138" s="263"/>
      <c r="GY138" s="263"/>
      <c r="GZ138" s="263"/>
      <c r="HA138" s="263"/>
      <c r="HB138" s="263"/>
      <c r="HC138" s="263"/>
      <c r="HD138" s="263"/>
      <c r="HE138" s="263"/>
      <c r="HF138" s="263"/>
      <c r="HG138" s="263"/>
      <c r="HH138" s="263"/>
      <c r="HI138" s="263"/>
      <c r="HJ138" s="263"/>
      <c r="HK138" s="263"/>
      <c r="HL138" s="263"/>
      <c r="HM138" s="263"/>
      <c r="HN138" s="263"/>
      <c r="HO138" s="263"/>
      <c r="HP138" s="263"/>
      <c r="HQ138" s="263"/>
      <c r="HR138" s="263"/>
      <c r="HS138" s="263"/>
      <c r="HT138" s="263"/>
      <c r="HU138" s="263"/>
      <c r="HV138" s="263"/>
      <c r="HW138" s="263"/>
      <c r="HX138" s="263"/>
      <c r="HY138" s="263"/>
      <c r="HZ138" s="263"/>
      <c r="IA138" s="263"/>
      <c r="IB138" s="263"/>
      <c r="IC138" s="263"/>
      <c r="ID138" s="263"/>
      <c r="IE138" s="263"/>
      <c r="IF138" s="263"/>
      <c r="IG138" s="263"/>
      <c r="IH138" s="263"/>
      <c r="II138" s="263"/>
      <c r="IJ138" s="263"/>
      <c r="IK138" s="263"/>
      <c r="IL138" s="263"/>
      <c r="IM138" s="263"/>
      <c r="IN138" s="263"/>
      <c r="IO138" s="263"/>
      <c r="IP138" s="263"/>
      <c r="IQ138" s="263"/>
    </row>
    <row r="139" spans="1:251" ht="35.25" customHeight="1" x14ac:dyDescent="0.3">
      <c r="A139" s="262">
        <v>131</v>
      </c>
      <c r="B139" s="266"/>
      <c r="C139" s="271">
        <v>33</v>
      </c>
      <c r="D139" s="176" t="s">
        <v>705</v>
      </c>
      <c r="E139" s="268">
        <f>F139+G139+L141+M139</f>
        <v>242000</v>
      </c>
      <c r="F139" s="269"/>
      <c r="G139" s="1392"/>
      <c r="H139" s="354" t="s">
        <v>23</v>
      </c>
      <c r="I139" s="343"/>
      <c r="J139" s="268"/>
      <c r="K139" s="268"/>
      <c r="L139" s="279"/>
      <c r="M139" s="270"/>
    </row>
    <row r="140" spans="1:251" ht="17.100000000000001" customHeight="1" x14ac:dyDescent="0.3">
      <c r="A140" s="262">
        <v>132</v>
      </c>
      <c r="B140" s="266"/>
      <c r="C140" s="271"/>
      <c r="D140" s="459" t="s">
        <v>268</v>
      </c>
      <c r="E140" s="268"/>
      <c r="F140" s="269"/>
      <c r="G140" s="1392"/>
      <c r="H140" s="354"/>
      <c r="I140" s="343"/>
      <c r="J140" s="268"/>
      <c r="K140" s="1064">
        <v>242000</v>
      </c>
      <c r="L140" s="1065">
        <f t="shared" ref="L140:L142" si="2">SUM(I140:K140)</f>
        <v>242000</v>
      </c>
      <c r="M140" s="569"/>
    </row>
    <row r="141" spans="1:251" ht="17.100000000000001" customHeight="1" x14ac:dyDescent="0.3">
      <c r="A141" s="262">
        <v>133</v>
      </c>
      <c r="B141" s="266"/>
      <c r="C141" s="271"/>
      <c r="D141" s="224" t="s">
        <v>796</v>
      </c>
      <c r="E141" s="268"/>
      <c r="F141" s="269"/>
      <c r="G141" s="1392"/>
      <c r="H141" s="354"/>
      <c r="I141" s="343"/>
      <c r="J141" s="268"/>
      <c r="K141" s="268">
        <v>242000</v>
      </c>
      <c r="L141" s="279">
        <f t="shared" si="2"/>
        <v>242000</v>
      </c>
      <c r="M141" s="569"/>
    </row>
    <row r="142" spans="1:251" ht="17.100000000000001" customHeight="1" x14ac:dyDescent="0.3">
      <c r="A142" s="262">
        <v>134</v>
      </c>
      <c r="B142" s="266"/>
      <c r="C142" s="271"/>
      <c r="D142" s="976" t="s">
        <v>860</v>
      </c>
      <c r="E142" s="268"/>
      <c r="F142" s="269"/>
      <c r="G142" s="1392"/>
      <c r="H142" s="354"/>
      <c r="I142" s="343"/>
      <c r="J142" s="268"/>
      <c r="K142" s="1322">
        <v>242000</v>
      </c>
      <c r="L142" s="1080">
        <f t="shared" si="2"/>
        <v>242000</v>
      </c>
      <c r="M142" s="569"/>
    </row>
    <row r="143" spans="1:251" ht="32.25" customHeight="1" x14ac:dyDescent="0.3">
      <c r="A143" s="262">
        <v>135</v>
      </c>
      <c r="B143" s="266"/>
      <c r="C143" s="271">
        <v>34</v>
      </c>
      <c r="D143" s="550" t="s">
        <v>533</v>
      </c>
      <c r="E143" s="268">
        <f>F143+G143+L145+M143</f>
        <v>100000</v>
      </c>
      <c r="F143" s="269"/>
      <c r="G143" s="1392">
        <v>50000</v>
      </c>
      <c r="H143" s="354" t="s">
        <v>24</v>
      </c>
      <c r="I143" s="343"/>
      <c r="J143" s="268"/>
      <c r="K143" s="268"/>
      <c r="L143" s="279"/>
      <c r="M143" s="569"/>
    </row>
    <row r="144" spans="1:251" ht="17.100000000000001" customHeight="1" x14ac:dyDescent="0.3">
      <c r="A144" s="262">
        <v>136</v>
      </c>
      <c r="B144" s="266"/>
      <c r="C144" s="271"/>
      <c r="D144" s="459" t="s">
        <v>268</v>
      </c>
      <c r="E144" s="268"/>
      <c r="F144" s="269"/>
      <c r="G144" s="1392"/>
      <c r="H144" s="354"/>
      <c r="I144" s="343"/>
      <c r="J144" s="268"/>
      <c r="K144" s="1064">
        <v>50000</v>
      </c>
      <c r="L144" s="1065">
        <f t="shared" ref="L144:L146" si="3">SUM(I144:K144)</f>
        <v>50000</v>
      </c>
      <c r="M144" s="569"/>
    </row>
    <row r="145" spans="1:13" ht="17.100000000000001" customHeight="1" x14ac:dyDescent="0.3">
      <c r="A145" s="262">
        <v>137</v>
      </c>
      <c r="B145" s="266"/>
      <c r="C145" s="271"/>
      <c r="D145" s="224" t="s">
        <v>796</v>
      </c>
      <c r="E145" s="268"/>
      <c r="F145" s="269"/>
      <c r="G145" s="1392"/>
      <c r="H145" s="354"/>
      <c r="I145" s="343"/>
      <c r="J145" s="268"/>
      <c r="K145" s="268">
        <v>50000</v>
      </c>
      <c r="L145" s="279">
        <f t="shared" si="3"/>
        <v>50000</v>
      </c>
      <c r="M145" s="569"/>
    </row>
    <row r="146" spans="1:13" ht="17.100000000000001" customHeight="1" x14ac:dyDescent="0.3">
      <c r="A146" s="262">
        <v>138</v>
      </c>
      <c r="B146" s="266"/>
      <c r="C146" s="271"/>
      <c r="D146" s="976" t="s">
        <v>860</v>
      </c>
      <c r="E146" s="268"/>
      <c r="F146" s="269"/>
      <c r="G146" s="1392"/>
      <c r="H146" s="354"/>
      <c r="I146" s="343"/>
      <c r="J146" s="268"/>
      <c r="K146" s="1322">
        <v>50000</v>
      </c>
      <c r="L146" s="1080">
        <f t="shared" si="3"/>
        <v>50000</v>
      </c>
      <c r="M146" s="569"/>
    </row>
    <row r="147" spans="1:13" ht="22.5" customHeight="1" x14ac:dyDescent="0.3">
      <c r="A147" s="262">
        <v>139</v>
      </c>
      <c r="B147" s="266"/>
      <c r="C147" s="267">
        <v>35</v>
      </c>
      <c r="D147" s="176" t="s">
        <v>687</v>
      </c>
      <c r="E147" s="268">
        <f>F147+G147+L149+M147</f>
        <v>5000</v>
      </c>
      <c r="F147" s="269"/>
      <c r="G147" s="1392"/>
      <c r="H147" s="354" t="s">
        <v>24</v>
      </c>
      <c r="I147" s="343"/>
      <c r="J147" s="268"/>
      <c r="K147" s="268"/>
      <c r="L147" s="279"/>
      <c r="M147" s="569"/>
    </row>
    <row r="148" spans="1:13" ht="17.100000000000001" customHeight="1" x14ac:dyDescent="0.3">
      <c r="A148" s="262">
        <v>140</v>
      </c>
      <c r="B148" s="266"/>
      <c r="C148" s="271"/>
      <c r="D148" s="459" t="s">
        <v>268</v>
      </c>
      <c r="E148" s="268"/>
      <c r="F148" s="269"/>
      <c r="G148" s="1392"/>
      <c r="H148" s="354"/>
      <c r="I148" s="343"/>
      <c r="J148" s="268"/>
      <c r="K148" s="1064">
        <v>5000</v>
      </c>
      <c r="L148" s="1065">
        <f t="shared" ref="L148:L150" si="4">SUM(I148:K148)</f>
        <v>5000</v>
      </c>
      <c r="M148" s="569"/>
    </row>
    <row r="149" spans="1:13" ht="17.100000000000001" customHeight="1" x14ac:dyDescent="0.3">
      <c r="A149" s="262">
        <v>141</v>
      </c>
      <c r="B149" s="266"/>
      <c r="C149" s="271"/>
      <c r="D149" s="224" t="s">
        <v>796</v>
      </c>
      <c r="E149" s="268"/>
      <c r="F149" s="269"/>
      <c r="G149" s="1392"/>
      <c r="H149" s="354"/>
      <c r="I149" s="343"/>
      <c r="J149" s="268"/>
      <c r="K149" s="268">
        <v>5000</v>
      </c>
      <c r="L149" s="279">
        <f t="shared" si="4"/>
        <v>5000</v>
      </c>
      <c r="M149" s="569"/>
    </row>
    <row r="150" spans="1:13" ht="17.100000000000001" customHeight="1" x14ac:dyDescent="0.3">
      <c r="A150" s="262">
        <v>142</v>
      </c>
      <c r="B150" s="266"/>
      <c r="C150" s="271"/>
      <c r="D150" s="976" t="s">
        <v>860</v>
      </c>
      <c r="E150" s="268"/>
      <c r="F150" s="269"/>
      <c r="G150" s="1392"/>
      <c r="H150" s="354"/>
      <c r="I150" s="343"/>
      <c r="J150" s="268"/>
      <c r="K150" s="268"/>
      <c r="L150" s="279">
        <f t="shared" si="4"/>
        <v>0</v>
      </c>
      <c r="M150" s="569"/>
    </row>
    <row r="151" spans="1:13" ht="22.5" customHeight="1" x14ac:dyDescent="0.3">
      <c r="A151" s="262">
        <v>143</v>
      </c>
      <c r="B151" s="266"/>
      <c r="C151" s="271"/>
      <c r="D151" s="568" t="s">
        <v>236</v>
      </c>
      <c r="E151" s="268"/>
      <c r="F151" s="269"/>
      <c r="G151" s="1392"/>
      <c r="H151" s="354" t="s">
        <v>23</v>
      </c>
      <c r="I151" s="343"/>
      <c r="J151" s="268"/>
      <c r="K151" s="268"/>
      <c r="L151" s="279"/>
      <c r="M151" s="569"/>
    </row>
    <row r="152" spans="1:13" ht="22.5" customHeight="1" x14ac:dyDescent="0.3">
      <c r="A152" s="262">
        <v>144</v>
      </c>
      <c r="B152" s="266"/>
      <c r="C152" s="267">
        <v>36</v>
      </c>
      <c r="D152" s="176" t="s">
        <v>532</v>
      </c>
      <c r="E152" s="268">
        <f>F152+G152+L154+M152</f>
        <v>5000</v>
      </c>
      <c r="F152" s="269"/>
      <c r="G152" s="1392"/>
      <c r="H152" s="354"/>
      <c r="I152" s="343"/>
      <c r="J152" s="268"/>
      <c r="K152" s="268"/>
      <c r="L152" s="279"/>
      <c r="M152" s="569"/>
    </row>
    <row r="153" spans="1:13" ht="17.100000000000001" customHeight="1" x14ac:dyDescent="0.3">
      <c r="A153" s="262">
        <v>145</v>
      </c>
      <c r="B153" s="266"/>
      <c r="C153" s="267"/>
      <c r="D153" s="459" t="s">
        <v>268</v>
      </c>
      <c r="E153" s="268"/>
      <c r="F153" s="269"/>
      <c r="G153" s="1392"/>
      <c r="H153" s="354"/>
      <c r="I153" s="343"/>
      <c r="J153" s="1064">
        <v>5000</v>
      </c>
      <c r="K153" s="1064"/>
      <c r="L153" s="1065">
        <f t="shared" ref="L153:L155" si="5">SUM(I153:K153)</f>
        <v>5000</v>
      </c>
      <c r="M153" s="569"/>
    </row>
    <row r="154" spans="1:13" ht="17.100000000000001" customHeight="1" x14ac:dyDescent="0.3">
      <c r="A154" s="262">
        <v>146</v>
      </c>
      <c r="B154" s="266"/>
      <c r="C154" s="267"/>
      <c r="D154" s="224" t="s">
        <v>796</v>
      </c>
      <c r="E154" s="268"/>
      <c r="F154" s="269"/>
      <c r="G154" s="1392"/>
      <c r="H154" s="354"/>
      <c r="I154" s="343"/>
      <c r="J154" s="268">
        <v>5000</v>
      </c>
      <c r="K154" s="268"/>
      <c r="L154" s="279">
        <f t="shared" si="5"/>
        <v>5000</v>
      </c>
      <c r="M154" s="569"/>
    </row>
    <row r="155" spans="1:13" ht="17.100000000000001" customHeight="1" x14ac:dyDescent="0.3">
      <c r="A155" s="262">
        <v>147</v>
      </c>
      <c r="B155" s="266"/>
      <c r="C155" s="267"/>
      <c r="D155" s="976" t="s">
        <v>860</v>
      </c>
      <c r="E155" s="268"/>
      <c r="F155" s="269"/>
      <c r="G155" s="1392"/>
      <c r="H155" s="354"/>
      <c r="I155" s="343"/>
      <c r="J155" s="268"/>
      <c r="K155" s="268"/>
      <c r="L155" s="279">
        <f t="shared" si="5"/>
        <v>0</v>
      </c>
      <c r="M155" s="569"/>
    </row>
    <row r="156" spans="1:13" ht="22.5" customHeight="1" x14ac:dyDescent="0.3">
      <c r="A156" s="262">
        <v>148</v>
      </c>
      <c r="B156" s="266"/>
      <c r="C156" s="271"/>
      <c r="D156" s="568" t="s">
        <v>496</v>
      </c>
      <c r="E156" s="268"/>
      <c r="F156" s="269"/>
      <c r="G156" s="1392"/>
      <c r="H156" s="354" t="s">
        <v>23</v>
      </c>
      <c r="I156" s="268"/>
      <c r="J156" s="268"/>
      <c r="K156" s="268"/>
      <c r="L156" s="279"/>
      <c r="M156" s="569"/>
    </row>
    <row r="157" spans="1:13" ht="18" customHeight="1" x14ac:dyDescent="0.3">
      <c r="A157" s="262">
        <v>149</v>
      </c>
      <c r="B157" s="266"/>
      <c r="C157" s="271"/>
      <c r="D157" s="908" t="s">
        <v>656</v>
      </c>
      <c r="E157" s="268"/>
      <c r="F157" s="269"/>
      <c r="G157" s="1392"/>
      <c r="H157" s="354"/>
      <c r="I157" s="268"/>
      <c r="J157" s="268"/>
      <c r="K157" s="268"/>
      <c r="L157" s="279"/>
      <c r="M157" s="569"/>
    </row>
    <row r="158" spans="1:13" ht="52.5" customHeight="1" x14ac:dyDescent="0.3">
      <c r="A158" s="262">
        <v>150</v>
      </c>
      <c r="B158" s="266"/>
      <c r="C158" s="271">
        <v>37</v>
      </c>
      <c r="D158" s="550" t="s">
        <v>690</v>
      </c>
      <c r="E158" s="268">
        <f>F158+G158+L160+M158</f>
        <v>96000</v>
      </c>
      <c r="F158" s="269"/>
      <c r="G158" s="1392">
        <v>57799</v>
      </c>
      <c r="H158" s="354"/>
      <c r="I158" s="268"/>
      <c r="J158" s="268"/>
      <c r="K158" s="268"/>
      <c r="L158" s="279"/>
      <c r="M158" s="569"/>
    </row>
    <row r="159" spans="1:13" ht="17.100000000000001" customHeight="1" x14ac:dyDescent="0.3">
      <c r="A159" s="262">
        <v>151</v>
      </c>
      <c r="B159" s="266"/>
      <c r="C159" s="271"/>
      <c r="D159" s="459" t="s">
        <v>268</v>
      </c>
      <c r="E159" s="268"/>
      <c r="F159" s="269"/>
      <c r="G159" s="1392"/>
      <c r="H159" s="354"/>
      <c r="I159" s="1064">
        <v>197</v>
      </c>
      <c r="J159" s="1064">
        <v>38004</v>
      </c>
      <c r="K159" s="1064"/>
      <c r="L159" s="1065">
        <f t="shared" ref="L159:L165" si="6">SUM(I159:K159)</f>
        <v>38201</v>
      </c>
      <c r="M159" s="569"/>
    </row>
    <row r="160" spans="1:13" ht="17.100000000000001" customHeight="1" x14ac:dyDescent="0.3">
      <c r="A160" s="262">
        <v>152</v>
      </c>
      <c r="B160" s="266"/>
      <c r="C160" s="271"/>
      <c r="D160" s="224" t="s">
        <v>796</v>
      </c>
      <c r="E160" s="268"/>
      <c r="F160" s="269"/>
      <c r="G160" s="1392"/>
      <c r="H160" s="354"/>
      <c r="I160" s="268">
        <v>197</v>
      </c>
      <c r="J160" s="268">
        <v>38004</v>
      </c>
      <c r="K160" s="268"/>
      <c r="L160" s="279">
        <f t="shared" si="6"/>
        <v>38201</v>
      </c>
      <c r="M160" s="569"/>
    </row>
    <row r="161" spans="1:13" ht="17.100000000000001" customHeight="1" x14ac:dyDescent="0.3">
      <c r="A161" s="262">
        <v>153</v>
      </c>
      <c r="B161" s="266"/>
      <c r="C161" s="271"/>
      <c r="D161" s="976" t="s">
        <v>860</v>
      </c>
      <c r="E161" s="268"/>
      <c r="F161" s="269"/>
      <c r="G161" s="1392"/>
      <c r="H161" s="354"/>
      <c r="I161" s="268"/>
      <c r="J161" s="1322">
        <v>37138</v>
      </c>
      <c r="K161" s="1322"/>
      <c r="L161" s="1080">
        <f t="shared" si="6"/>
        <v>37138</v>
      </c>
      <c r="M161" s="569"/>
    </row>
    <row r="162" spans="1:13" ht="22.5" customHeight="1" x14ac:dyDescent="0.3">
      <c r="A162" s="262">
        <v>154</v>
      </c>
      <c r="B162" s="266"/>
      <c r="C162" s="267">
        <v>38</v>
      </c>
      <c r="D162" s="947" t="s">
        <v>691</v>
      </c>
      <c r="E162" s="268">
        <f>F162+G162+L164+M162</f>
        <v>80000</v>
      </c>
      <c r="F162" s="269"/>
      <c r="G162" s="1392"/>
      <c r="H162" s="354"/>
      <c r="I162" s="268"/>
      <c r="J162" s="268"/>
      <c r="K162" s="268"/>
      <c r="L162" s="279"/>
      <c r="M162" s="569"/>
    </row>
    <row r="163" spans="1:13" ht="17.100000000000001" customHeight="1" x14ac:dyDescent="0.3">
      <c r="A163" s="262">
        <v>155</v>
      </c>
      <c r="B163" s="1070"/>
      <c r="C163" s="271"/>
      <c r="D163" s="1071" t="s">
        <v>268</v>
      </c>
      <c r="E163" s="1072"/>
      <c r="F163" s="269"/>
      <c r="G163" s="1072"/>
      <c r="H163" s="354"/>
      <c r="I163" s="268"/>
      <c r="J163" s="1064">
        <v>80000</v>
      </c>
      <c r="K163" s="1064"/>
      <c r="L163" s="1065">
        <f t="shared" si="6"/>
        <v>80000</v>
      </c>
      <c r="M163" s="569"/>
    </row>
    <row r="164" spans="1:13" ht="17.100000000000001" customHeight="1" x14ac:dyDescent="0.3">
      <c r="A164" s="262">
        <v>156</v>
      </c>
      <c r="B164" s="1070"/>
      <c r="C164" s="271"/>
      <c r="D164" s="225" t="s">
        <v>796</v>
      </c>
      <c r="E164" s="1072"/>
      <c r="F164" s="269"/>
      <c r="G164" s="1072"/>
      <c r="H164" s="354"/>
      <c r="I164" s="268"/>
      <c r="J164" s="268">
        <v>80000</v>
      </c>
      <c r="K164" s="268"/>
      <c r="L164" s="279">
        <f t="shared" si="6"/>
        <v>80000</v>
      </c>
      <c r="M164" s="569"/>
    </row>
    <row r="165" spans="1:13" ht="17.100000000000001" customHeight="1" x14ac:dyDescent="0.3">
      <c r="A165" s="262">
        <v>157</v>
      </c>
      <c r="B165" s="1070"/>
      <c r="C165" s="271"/>
      <c r="D165" s="187" t="s">
        <v>860</v>
      </c>
      <c r="E165" s="1072"/>
      <c r="F165" s="269"/>
      <c r="G165" s="1072"/>
      <c r="H165" s="354"/>
      <c r="I165" s="268"/>
      <c r="J165" s="268"/>
      <c r="K165" s="268"/>
      <c r="L165" s="279">
        <f t="shared" si="6"/>
        <v>0</v>
      </c>
      <c r="M165" s="569"/>
    </row>
    <row r="166" spans="1:13" ht="22.5" customHeight="1" x14ac:dyDescent="0.3">
      <c r="A166" s="262">
        <v>158</v>
      </c>
      <c r="B166" s="1332"/>
      <c r="C166" s="1333"/>
      <c r="D166" s="568" t="s">
        <v>25</v>
      </c>
      <c r="E166" s="1334"/>
      <c r="F166" s="1335"/>
      <c r="G166" s="259"/>
      <c r="H166" s="1067" t="s">
        <v>23</v>
      </c>
      <c r="I166" s="1068"/>
      <c r="J166" s="1068"/>
      <c r="K166" s="1068"/>
      <c r="L166" s="279"/>
      <c r="M166" s="1069"/>
    </row>
    <row r="167" spans="1:13" ht="22.5" customHeight="1" x14ac:dyDescent="0.3">
      <c r="A167" s="262">
        <v>159</v>
      </c>
      <c r="B167" s="1332"/>
      <c r="C167" s="1432">
        <v>39</v>
      </c>
      <c r="D167" s="176" t="s">
        <v>788</v>
      </c>
      <c r="E167" s="1334">
        <f>F167+G167+L168+M167</f>
        <v>15000</v>
      </c>
      <c r="F167" s="1335"/>
      <c r="G167" s="1392"/>
      <c r="H167" s="354"/>
      <c r="I167" s="268"/>
      <c r="J167" s="268"/>
      <c r="K167" s="268"/>
      <c r="L167" s="279"/>
      <c r="M167" s="270"/>
    </row>
    <row r="168" spans="1:13" ht="17.100000000000001" customHeight="1" x14ac:dyDescent="0.3">
      <c r="A168" s="262">
        <v>160</v>
      </c>
      <c r="B168" s="1332"/>
      <c r="C168" s="1333"/>
      <c r="D168" s="225" t="s">
        <v>796</v>
      </c>
      <c r="E168" s="1334"/>
      <c r="F168" s="1335"/>
      <c r="G168" s="1392"/>
      <c r="H168" s="354"/>
      <c r="I168" s="268"/>
      <c r="J168" s="268">
        <v>15000</v>
      </c>
      <c r="K168" s="268"/>
      <c r="L168" s="279">
        <f t="shared" ref="L168:L169" si="7">SUM(I168:K168)</f>
        <v>15000</v>
      </c>
      <c r="M168" s="270"/>
    </row>
    <row r="169" spans="1:13" ht="17.100000000000001" customHeight="1" x14ac:dyDescent="0.3">
      <c r="A169" s="262">
        <v>161</v>
      </c>
      <c r="B169" s="1332"/>
      <c r="C169" s="1333"/>
      <c r="D169" s="187" t="s">
        <v>860</v>
      </c>
      <c r="E169" s="1334"/>
      <c r="F169" s="1335"/>
      <c r="G169" s="1392"/>
      <c r="H169" s="354"/>
      <c r="I169" s="268"/>
      <c r="J169" s="1322"/>
      <c r="K169" s="268"/>
      <c r="L169" s="1080">
        <f t="shared" si="7"/>
        <v>0</v>
      </c>
      <c r="M169" s="270"/>
    </row>
    <row r="170" spans="1:13" ht="22.5" customHeight="1" x14ac:dyDescent="0.3">
      <c r="A170" s="262">
        <v>162</v>
      </c>
      <c r="B170" s="1332"/>
      <c r="C170" s="1333"/>
      <c r="D170" s="568" t="s">
        <v>271</v>
      </c>
      <c r="E170" s="1334"/>
      <c r="F170" s="1335"/>
      <c r="G170" s="1392"/>
      <c r="H170" s="354" t="s">
        <v>23</v>
      </c>
      <c r="I170" s="268"/>
      <c r="J170" s="268"/>
      <c r="K170" s="268"/>
      <c r="L170" s="279"/>
      <c r="M170" s="270"/>
    </row>
    <row r="171" spans="1:13" ht="22.5" customHeight="1" x14ac:dyDescent="0.3">
      <c r="A171" s="262">
        <v>163</v>
      </c>
      <c r="B171" s="1332"/>
      <c r="C171" s="1432">
        <v>40</v>
      </c>
      <c r="D171" s="176" t="s">
        <v>553</v>
      </c>
      <c r="E171" s="1334">
        <f>F171+G171+L172+M171</f>
        <v>8000</v>
      </c>
      <c r="F171" s="1335"/>
      <c r="G171" s="1392"/>
      <c r="H171" s="354"/>
      <c r="I171" s="268"/>
      <c r="J171" s="268"/>
      <c r="K171" s="268"/>
      <c r="L171" s="279"/>
      <c r="M171" s="270"/>
    </row>
    <row r="172" spans="1:13" ht="17.100000000000001" customHeight="1" x14ac:dyDescent="0.3">
      <c r="A172" s="262">
        <v>164</v>
      </c>
      <c r="B172" s="1332"/>
      <c r="C172" s="1333"/>
      <c r="D172" s="225" t="s">
        <v>796</v>
      </c>
      <c r="E172" s="1334"/>
      <c r="F172" s="1335"/>
      <c r="G172" s="1392"/>
      <c r="H172" s="354"/>
      <c r="I172" s="268"/>
      <c r="J172" s="268">
        <v>8000</v>
      </c>
      <c r="K172" s="268"/>
      <c r="L172" s="279">
        <f t="shared" ref="L172:L218" si="8">SUM(I172:K172)</f>
        <v>8000</v>
      </c>
      <c r="M172" s="270"/>
    </row>
    <row r="173" spans="1:13" ht="17.100000000000001" customHeight="1" x14ac:dyDescent="0.3">
      <c r="A173" s="262">
        <v>165</v>
      </c>
      <c r="B173" s="1332"/>
      <c r="C173" s="1333"/>
      <c r="D173" s="187" t="s">
        <v>860</v>
      </c>
      <c r="E173" s="1334"/>
      <c r="F173" s="1335"/>
      <c r="G173" s="1392"/>
      <c r="H173" s="354"/>
      <c r="I173" s="268"/>
      <c r="J173" s="1322"/>
      <c r="K173" s="268"/>
      <c r="L173" s="1080">
        <f t="shared" si="8"/>
        <v>0</v>
      </c>
      <c r="M173" s="270"/>
    </row>
    <row r="174" spans="1:13" ht="22.5" customHeight="1" x14ac:dyDescent="0.3">
      <c r="A174" s="262">
        <v>166</v>
      </c>
      <c r="B174" s="1332"/>
      <c r="C174" s="1432">
        <v>41</v>
      </c>
      <c r="D174" s="176" t="s">
        <v>785</v>
      </c>
      <c r="E174" s="1334">
        <f>F174+G174+L175+M174</f>
        <v>572</v>
      </c>
      <c r="F174" s="1335"/>
      <c r="G174" s="1392"/>
      <c r="H174" s="354" t="s">
        <v>23</v>
      </c>
      <c r="I174" s="268"/>
      <c r="J174" s="268"/>
      <c r="K174" s="268"/>
      <c r="L174" s="279"/>
      <c r="M174" s="270"/>
    </row>
    <row r="175" spans="1:13" ht="17.100000000000001" customHeight="1" x14ac:dyDescent="0.3">
      <c r="A175" s="262">
        <v>167</v>
      </c>
      <c r="B175" s="1332"/>
      <c r="C175" s="1333"/>
      <c r="D175" s="225" t="s">
        <v>796</v>
      </c>
      <c r="E175" s="1334"/>
      <c r="F175" s="1335"/>
      <c r="G175" s="1392"/>
      <c r="H175" s="354"/>
      <c r="I175" s="268">
        <v>572</v>
      </c>
      <c r="J175" s="268">
        <v>0</v>
      </c>
      <c r="K175" s="268"/>
      <c r="L175" s="279">
        <f>SUM(I175:K175)</f>
        <v>572</v>
      </c>
      <c r="M175" s="270"/>
    </row>
    <row r="176" spans="1:13" ht="17.100000000000001" customHeight="1" x14ac:dyDescent="0.3">
      <c r="A176" s="262">
        <v>168</v>
      </c>
      <c r="B176" s="1332"/>
      <c r="C176" s="1333"/>
      <c r="D176" s="187" t="s">
        <v>861</v>
      </c>
      <c r="E176" s="1334"/>
      <c r="F176" s="1335"/>
      <c r="G176" s="1392"/>
      <c r="H176" s="354"/>
      <c r="I176" s="1322">
        <v>572</v>
      </c>
      <c r="J176" s="1322"/>
      <c r="K176" s="268"/>
      <c r="L176" s="1080">
        <f t="shared" si="8"/>
        <v>572</v>
      </c>
      <c r="M176" s="270"/>
    </row>
    <row r="177" spans="1:13" ht="22.5" customHeight="1" x14ac:dyDescent="0.3">
      <c r="A177" s="262">
        <v>169</v>
      </c>
      <c r="B177" s="1332"/>
      <c r="C177" s="1432">
        <v>42</v>
      </c>
      <c r="D177" s="176" t="s">
        <v>793</v>
      </c>
      <c r="E177" s="1334">
        <f>F177+G177+L178+M177</f>
        <v>6000</v>
      </c>
      <c r="F177" s="1335"/>
      <c r="G177" s="1392"/>
      <c r="H177" s="354" t="s">
        <v>24</v>
      </c>
      <c r="I177" s="268"/>
      <c r="J177" s="268"/>
      <c r="K177" s="268"/>
      <c r="L177" s="279"/>
      <c r="M177" s="270"/>
    </row>
    <row r="178" spans="1:13" ht="17.100000000000001" customHeight="1" x14ac:dyDescent="0.3">
      <c r="A178" s="262">
        <v>170</v>
      </c>
      <c r="B178" s="1332"/>
      <c r="C178" s="1333"/>
      <c r="D178" s="225" t="s">
        <v>796</v>
      </c>
      <c r="E178" s="1334"/>
      <c r="F178" s="1335"/>
      <c r="G178" s="1392"/>
      <c r="H178" s="354"/>
      <c r="I178" s="268"/>
      <c r="J178" s="268">
        <v>6000</v>
      </c>
      <c r="K178" s="268"/>
      <c r="L178" s="279">
        <f>SUM(I178:K178)</f>
        <v>6000</v>
      </c>
      <c r="M178" s="270"/>
    </row>
    <row r="179" spans="1:13" ht="17.100000000000001" customHeight="1" x14ac:dyDescent="0.3">
      <c r="A179" s="262">
        <v>171</v>
      </c>
      <c r="B179" s="1332"/>
      <c r="C179" s="1333"/>
      <c r="D179" s="187" t="s">
        <v>860</v>
      </c>
      <c r="E179" s="1334"/>
      <c r="F179" s="1335"/>
      <c r="G179" s="1392"/>
      <c r="H179" s="354"/>
      <c r="I179" s="268"/>
      <c r="J179" s="1322"/>
      <c r="K179" s="268"/>
      <c r="L179" s="1080">
        <f t="shared" si="8"/>
        <v>0</v>
      </c>
      <c r="M179" s="270"/>
    </row>
    <row r="180" spans="1:13" ht="71.25" customHeight="1" x14ac:dyDescent="0.3">
      <c r="A180" s="262">
        <v>172</v>
      </c>
      <c r="B180" s="1332"/>
      <c r="C180" s="1333">
        <v>43</v>
      </c>
      <c r="D180" s="550" t="s">
        <v>827</v>
      </c>
      <c r="E180" s="1334">
        <f>F180+G180+L181+M180</f>
        <v>1224</v>
      </c>
      <c r="F180" s="1335"/>
      <c r="G180" s="1392"/>
      <c r="H180" s="354" t="s">
        <v>24</v>
      </c>
      <c r="I180" s="268"/>
      <c r="J180" s="268"/>
      <c r="K180" s="268"/>
      <c r="L180" s="279"/>
      <c r="M180" s="270"/>
    </row>
    <row r="181" spans="1:13" ht="17.100000000000001" customHeight="1" x14ac:dyDescent="0.3">
      <c r="A181" s="262">
        <v>173</v>
      </c>
      <c r="B181" s="1332"/>
      <c r="C181" s="1333"/>
      <c r="D181" s="225" t="s">
        <v>796</v>
      </c>
      <c r="E181" s="1334"/>
      <c r="F181" s="1335"/>
      <c r="G181" s="1392"/>
      <c r="H181" s="354"/>
      <c r="I181" s="268"/>
      <c r="J181" s="268"/>
      <c r="K181" s="268">
        <v>1224</v>
      </c>
      <c r="L181" s="279">
        <f t="shared" si="8"/>
        <v>1224</v>
      </c>
      <c r="M181" s="270"/>
    </row>
    <row r="182" spans="1:13" ht="17.100000000000001" customHeight="1" x14ac:dyDescent="0.3">
      <c r="A182" s="262">
        <v>174</v>
      </c>
      <c r="B182" s="1332"/>
      <c r="C182" s="1333"/>
      <c r="D182" s="187" t="s">
        <v>861</v>
      </c>
      <c r="E182" s="1334"/>
      <c r="F182" s="1335"/>
      <c r="G182" s="1392"/>
      <c r="H182" s="354"/>
      <c r="I182" s="268"/>
      <c r="J182" s="268"/>
      <c r="K182" s="1322">
        <v>224</v>
      </c>
      <c r="L182" s="1080">
        <f t="shared" si="8"/>
        <v>224</v>
      </c>
      <c r="M182" s="270"/>
    </row>
    <row r="183" spans="1:13" ht="22.5" customHeight="1" x14ac:dyDescent="0.3">
      <c r="A183" s="262">
        <v>175</v>
      </c>
      <c r="B183" s="1332"/>
      <c r="C183" s="1432">
        <v>44</v>
      </c>
      <c r="D183" s="176" t="s">
        <v>789</v>
      </c>
      <c r="E183" s="1334">
        <f>F183+G183+L184+M183</f>
        <v>1034</v>
      </c>
      <c r="F183" s="1335">
        <v>652</v>
      </c>
      <c r="G183" s="1392">
        <v>247</v>
      </c>
      <c r="H183" s="354" t="s">
        <v>23</v>
      </c>
      <c r="I183" s="268"/>
      <c r="J183" s="268"/>
      <c r="K183" s="268"/>
      <c r="L183" s="279"/>
      <c r="M183" s="270"/>
    </row>
    <row r="184" spans="1:13" ht="17.100000000000001" customHeight="1" x14ac:dyDescent="0.3">
      <c r="A184" s="262">
        <v>176</v>
      </c>
      <c r="B184" s="1332"/>
      <c r="C184" s="1333"/>
      <c r="D184" s="225" t="s">
        <v>796</v>
      </c>
      <c r="E184" s="1334"/>
      <c r="F184" s="1335"/>
      <c r="G184" s="1392"/>
      <c r="H184" s="354"/>
      <c r="I184" s="268"/>
      <c r="J184" s="268">
        <v>135</v>
      </c>
      <c r="K184" s="268"/>
      <c r="L184" s="279">
        <f t="shared" si="8"/>
        <v>135</v>
      </c>
      <c r="M184" s="270"/>
    </row>
    <row r="185" spans="1:13" ht="17.100000000000001" customHeight="1" x14ac:dyDescent="0.3">
      <c r="A185" s="262">
        <v>177</v>
      </c>
      <c r="B185" s="1332"/>
      <c r="C185" s="1333"/>
      <c r="D185" s="187" t="s">
        <v>860</v>
      </c>
      <c r="E185" s="1334"/>
      <c r="F185" s="1335"/>
      <c r="G185" s="1392"/>
      <c r="H185" s="354"/>
      <c r="I185" s="268"/>
      <c r="J185" s="1322">
        <v>135</v>
      </c>
      <c r="K185" s="268"/>
      <c r="L185" s="1080">
        <f t="shared" si="8"/>
        <v>135</v>
      </c>
      <c r="M185" s="270"/>
    </row>
    <row r="186" spans="1:13" ht="22.5" customHeight="1" x14ac:dyDescent="0.3">
      <c r="A186" s="262">
        <v>178</v>
      </c>
      <c r="B186" s="1332"/>
      <c r="C186" s="1432">
        <v>45</v>
      </c>
      <c r="D186" s="176" t="s">
        <v>853</v>
      </c>
      <c r="E186" s="1334">
        <f>F186+G186+L187+M186</f>
        <v>1330</v>
      </c>
      <c r="F186" s="1335"/>
      <c r="G186" s="1392"/>
      <c r="H186" s="354" t="s">
        <v>24</v>
      </c>
      <c r="I186" s="268"/>
      <c r="J186" s="268"/>
      <c r="K186" s="268"/>
      <c r="L186" s="279"/>
      <c r="M186" s="270"/>
    </row>
    <row r="187" spans="1:13" ht="17.100000000000001" customHeight="1" x14ac:dyDescent="0.3">
      <c r="A187" s="262">
        <v>179</v>
      </c>
      <c r="B187" s="1332"/>
      <c r="C187" s="1432"/>
      <c r="D187" s="225" t="s">
        <v>796</v>
      </c>
      <c r="E187" s="1334"/>
      <c r="F187" s="1335"/>
      <c r="G187" s="1392"/>
      <c r="H187" s="354"/>
      <c r="I187" s="1322">
        <f t="shared" ref="I187:K188" si="9">I196+I199+I202+I208+I190+I193+I205</f>
        <v>0</v>
      </c>
      <c r="J187" s="1322">
        <f t="shared" si="9"/>
        <v>1030</v>
      </c>
      <c r="K187" s="1322">
        <f t="shared" si="9"/>
        <v>300</v>
      </c>
      <c r="L187" s="1077">
        <f t="shared" si="8"/>
        <v>1330</v>
      </c>
      <c r="M187" s="270"/>
    </row>
    <row r="188" spans="1:13" ht="17.100000000000001" customHeight="1" x14ac:dyDescent="0.3">
      <c r="A188" s="262">
        <v>180</v>
      </c>
      <c r="B188" s="1332"/>
      <c r="C188" s="1333"/>
      <c r="D188" s="187" t="s">
        <v>860</v>
      </c>
      <c r="E188" s="1334"/>
      <c r="F188" s="1335"/>
      <c r="G188" s="1392"/>
      <c r="H188" s="354"/>
      <c r="I188" s="1322">
        <f t="shared" si="9"/>
        <v>0</v>
      </c>
      <c r="J188" s="1322">
        <f t="shared" si="9"/>
        <v>0</v>
      </c>
      <c r="K188" s="1322">
        <f t="shared" si="9"/>
        <v>0</v>
      </c>
      <c r="L188" s="1080">
        <f t="shared" si="8"/>
        <v>0</v>
      </c>
      <c r="M188" s="270"/>
    </row>
    <row r="189" spans="1:13" ht="17.100000000000001" customHeight="1" x14ac:dyDescent="0.3">
      <c r="A189" s="262">
        <v>181</v>
      </c>
      <c r="B189" s="1332"/>
      <c r="C189" s="1333"/>
      <c r="D189" s="187" t="s">
        <v>833</v>
      </c>
      <c r="E189" s="1334"/>
      <c r="F189" s="1335"/>
      <c r="G189" s="1392"/>
      <c r="H189" s="354"/>
      <c r="I189" s="268"/>
      <c r="J189" s="268"/>
      <c r="K189" s="268"/>
      <c r="L189" s="279"/>
      <c r="M189" s="270"/>
    </row>
    <row r="190" spans="1:13" ht="17.100000000000001" customHeight="1" x14ac:dyDescent="0.3">
      <c r="A190" s="262">
        <v>182</v>
      </c>
      <c r="B190" s="1332"/>
      <c r="C190" s="1333"/>
      <c r="D190" s="981" t="s">
        <v>796</v>
      </c>
      <c r="E190" s="1334"/>
      <c r="F190" s="1335"/>
      <c r="G190" s="1392"/>
      <c r="H190" s="354"/>
      <c r="I190" s="268"/>
      <c r="J190" s="1322">
        <v>480</v>
      </c>
      <c r="K190" s="268"/>
      <c r="L190" s="1080">
        <f t="shared" si="8"/>
        <v>480</v>
      </c>
      <c r="M190" s="270"/>
    </row>
    <row r="191" spans="1:13" ht="17.100000000000001" customHeight="1" x14ac:dyDescent="0.3">
      <c r="A191" s="262">
        <v>183</v>
      </c>
      <c r="B191" s="1332"/>
      <c r="C191" s="1333"/>
      <c r="D191" s="981" t="s">
        <v>861</v>
      </c>
      <c r="E191" s="1334"/>
      <c r="F191" s="1335"/>
      <c r="G191" s="1392"/>
      <c r="H191" s="354"/>
      <c r="I191" s="268"/>
      <c r="J191" s="1322"/>
      <c r="K191" s="1322"/>
      <c r="L191" s="1080">
        <f t="shared" si="8"/>
        <v>0</v>
      </c>
      <c r="M191" s="270"/>
    </row>
    <row r="192" spans="1:13" ht="34.5" customHeight="1" x14ac:dyDescent="0.3">
      <c r="A192" s="262">
        <v>184</v>
      </c>
      <c r="B192" s="1332"/>
      <c r="C192" s="1333"/>
      <c r="D192" s="189" t="s">
        <v>836</v>
      </c>
      <c r="E192" s="1334"/>
      <c r="F192" s="1335"/>
      <c r="G192" s="1392"/>
      <c r="H192" s="354"/>
      <c r="I192" s="268"/>
      <c r="J192" s="268"/>
      <c r="K192" s="268"/>
      <c r="L192" s="279"/>
      <c r="M192" s="270"/>
    </row>
    <row r="193" spans="1:13" ht="17.100000000000001" customHeight="1" x14ac:dyDescent="0.3">
      <c r="A193" s="262">
        <v>185</v>
      </c>
      <c r="B193" s="1332"/>
      <c r="C193" s="1333"/>
      <c r="D193" s="981" t="s">
        <v>796</v>
      </c>
      <c r="E193" s="1334"/>
      <c r="F193" s="1335"/>
      <c r="G193" s="1392"/>
      <c r="H193" s="354"/>
      <c r="I193" s="268"/>
      <c r="J193" s="268"/>
      <c r="K193" s="1322">
        <v>100</v>
      </c>
      <c r="L193" s="1080">
        <f t="shared" si="8"/>
        <v>100</v>
      </c>
      <c r="M193" s="270"/>
    </row>
    <row r="194" spans="1:13" ht="17.100000000000001" customHeight="1" x14ac:dyDescent="0.3">
      <c r="A194" s="262">
        <v>186</v>
      </c>
      <c r="B194" s="1332"/>
      <c r="C194" s="1333"/>
      <c r="D194" s="981" t="s">
        <v>861</v>
      </c>
      <c r="E194" s="1334"/>
      <c r="F194" s="1335"/>
      <c r="G194" s="1392"/>
      <c r="H194" s="354"/>
      <c r="I194" s="268"/>
      <c r="J194" s="1322"/>
      <c r="K194" s="1322"/>
      <c r="L194" s="1080">
        <f t="shared" si="8"/>
        <v>0</v>
      </c>
      <c r="M194" s="270"/>
    </row>
    <row r="195" spans="1:13" ht="17.100000000000001" customHeight="1" x14ac:dyDescent="0.3">
      <c r="A195" s="262">
        <v>187</v>
      </c>
      <c r="B195" s="1332"/>
      <c r="C195" s="1333"/>
      <c r="D195" s="189" t="s">
        <v>832</v>
      </c>
      <c r="E195" s="1334"/>
      <c r="F195" s="1335"/>
      <c r="G195" s="1392"/>
      <c r="H195" s="354"/>
      <c r="I195" s="268"/>
      <c r="J195" s="1322"/>
      <c r="K195" s="1322"/>
      <c r="L195" s="1080"/>
      <c r="M195" s="270"/>
    </row>
    <row r="196" spans="1:13" ht="17.100000000000001" customHeight="1" x14ac:dyDescent="0.3">
      <c r="A196" s="262">
        <v>188</v>
      </c>
      <c r="B196" s="1332"/>
      <c r="C196" s="1333"/>
      <c r="D196" s="981" t="s">
        <v>796</v>
      </c>
      <c r="E196" s="1334"/>
      <c r="F196" s="1335"/>
      <c r="G196" s="1392"/>
      <c r="H196" s="354"/>
      <c r="I196" s="268"/>
      <c r="J196" s="1322">
        <v>180</v>
      </c>
      <c r="K196" s="1322"/>
      <c r="L196" s="1080">
        <f t="shared" si="8"/>
        <v>180</v>
      </c>
      <c r="M196" s="270"/>
    </row>
    <row r="197" spans="1:13" ht="17.100000000000001" customHeight="1" x14ac:dyDescent="0.3">
      <c r="A197" s="262">
        <v>189</v>
      </c>
      <c r="B197" s="1332"/>
      <c r="C197" s="1333"/>
      <c r="D197" s="981" t="s">
        <v>861</v>
      </c>
      <c r="E197" s="1334"/>
      <c r="F197" s="1335"/>
      <c r="G197" s="1392"/>
      <c r="H197" s="354"/>
      <c r="I197" s="268"/>
      <c r="J197" s="1322"/>
      <c r="K197" s="1322"/>
      <c r="L197" s="1080">
        <f t="shared" si="8"/>
        <v>0</v>
      </c>
      <c r="M197" s="270"/>
    </row>
    <row r="198" spans="1:13" ht="30.75" customHeight="1" x14ac:dyDescent="0.3">
      <c r="A198" s="262">
        <v>190</v>
      </c>
      <c r="B198" s="1332"/>
      <c r="C198" s="1333"/>
      <c r="D198" s="189" t="s">
        <v>830</v>
      </c>
      <c r="E198" s="1334"/>
      <c r="F198" s="1335"/>
      <c r="G198" s="1392"/>
      <c r="H198" s="354"/>
      <c r="I198" s="268"/>
      <c r="J198" s="1322"/>
      <c r="K198" s="1322"/>
      <c r="L198" s="1080"/>
      <c r="M198" s="270"/>
    </row>
    <row r="199" spans="1:13" ht="17.100000000000001" customHeight="1" x14ac:dyDescent="0.3">
      <c r="A199" s="262">
        <v>191</v>
      </c>
      <c r="B199" s="1332"/>
      <c r="C199" s="1333"/>
      <c r="D199" s="981" t="s">
        <v>796</v>
      </c>
      <c r="E199" s="1334"/>
      <c r="F199" s="1335"/>
      <c r="G199" s="1392"/>
      <c r="H199" s="354"/>
      <c r="I199" s="268"/>
      <c r="J199" s="1322">
        <v>240</v>
      </c>
      <c r="K199" s="1322"/>
      <c r="L199" s="1080">
        <f t="shared" si="8"/>
        <v>240</v>
      </c>
      <c r="M199" s="270"/>
    </row>
    <row r="200" spans="1:13" ht="17.100000000000001" customHeight="1" x14ac:dyDescent="0.3">
      <c r="A200" s="262">
        <v>192</v>
      </c>
      <c r="B200" s="1332"/>
      <c r="C200" s="1333"/>
      <c r="D200" s="981" t="s">
        <v>860</v>
      </c>
      <c r="E200" s="1334"/>
      <c r="F200" s="1335"/>
      <c r="G200" s="1392"/>
      <c r="H200" s="354"/>
      <c r="I200" s="268"/>
      <c r="J200" s="1322"/>
      <c r="K200" s="1322"/>
      <c r="L200" s="1080">
        <f t="shared" si="8"/>
        <v>0</v>
      </c>
      <c r="M200" s="270"/>
    </row>
    <row r="201" spans="1:13" ht="30" customHeight="1" x14ac:dyDescent="0.3">
      <c r="A201" s="262">
        <v>193</v>
      </c>
      <c r="B201" s="1332"/>
      <c r="C201" s="1333"/>
      <c r="D201" s="189" t="s">
        <v>831</v>
      </c>
      <c r="E201" s="1334"/>
      <c r="F201" s="1335"/>
      <c r="G201" s="1392"/>
      <c r="H201" s="354"/>
      <c r="I201" s="268"/>
      <c r="J201" s="1322"/>
      <c r="K201" s="1322"/>
      <c r="L201" s="1080"/>
      <c r="M201" s="270"/>
    </row>
    <row r="202" spans="1:13" ht="17.100000000000001" customHeight="1" x14ac:dyDescent="0.3">
      <c r="A202" s="262">
        <v>194</v>
      </c>
      <c r="B202" s="1332"/>
      <c r="C202" s="1333"/>
      <c r="D202" s="981" t="s">
        <v>796</v>
      </c>
      <c r="E202" s="1334"/>
      <c r="F202" s="1335"/>
      <c r="G202" s="1392"/>
      <c r="H202" s="354"/>
      <c r="I202" s="268"/>
      <c r="J202" s="1322">
        <v>80</v>
      </c>
      <c r="K202" s="1322"/>
      <c r="L202" s="1080">
        <f t="shared" si="8"/>
        <v>80</v>
      </c>
      <c r="M202" s="270"/>
    </row>
    <row r="203" spans="1:13" ht="17.100000000000001" customHeight="1" x14ac:dyDescent="0.3">
      <c r="A203" s="262">
        <v>195</v>
      </c>
      <c r="B203" s="1332"/>
      <c r="C203" s="1333"/>
      <c r="D203" s="981" t="s">
        <v>860</v>
      </c>
      <c r="E203" s="1334"/>
      <c r="F203" s="1335"/>
      <c r="G203" s="1392"/>
      <c r="H203" s="354"/>
      <c r="I203" s="268"/>
      <c r="J203" s="1322"/>
      <c r="K203" s="1322"/>
      <c r="L203" s="1080">
        <f t="shared" si="8"/>
        <v>0</v>
      </c>
      <c r="M203" s="270"/>
    </row>
    <row r="204" spans="1:13" ht="17.100000000000001" customHeight="1" x14ac:dyDescent="0.3">
      <c r="A204" s="262">
        <v>196</v>
      </c>
      <c r="B204" s="1332"/>
      <c r="C204" s="1333"/>
      <c r="D204" s="189" t="s">
        <v>837</v>
      </c>
      <c r="E204" s="1334"/>
      <c r="F204" s="1335"/>
      <c r="G204" s="1392"/>
      <c r="H204" s="354"/>
      <c r="I204" s="268"/>
      <c r="J204" s="1322"/>
      <c r="K204" s="1322"/>
      <c r="L204" s="1080"/>
      <c r="M204" s="270"/>
    </row>
    <row r="205" spans="1:13" ht="17.100000000000001" customHeight="1" x14ac:dyDescent="0.3">
      <c r="A205" s="262">
        <v>197</v>
      </c>
      <c r="B205" s="1332"/>
      <c r="C205" s="1333"/>
      <c r="D205" s="981" t="s">
        <v>796</v>
      </c>
      <c r="E205" s="1334"/>
      <c r="F205" s="1335"/>
      <c r="G205" s="1392"/>
      <c r="H205" s="354"/>
      <c r="I205" s="268"/>
      <c r="J205" s="1322">
        <v>50</v>
      </c>
      <c r="K205" s="1322"/>
      <c r="L205" s="1080">
        <f t="shared" si="8"/>
        <v>50</v>
      </c>
      <c r="M205" s="270"/>
    </row>
    <row r="206" spans="1:13" ht="17.100000000000001" customHeight="1" x14ac:dyDescent="0.3">
      <c r="A206" s="262">
        <v>198</v>
      </c>
      <c r="B206" s="1332"/>
      <c r="C206" s="1333"/>
      <c r="D206" s="981" t="s">
        <v>860</v>
      </c>
      <c r="E206" s="1334"/>
      <c r="F206" s="1335"/>
      <c r="G206" s="1392"/>
      <c r="H206" s="354"/>
      <c r="I206" s="268"/>
      <c r="J206" s="1322"/>
      <c r="K206" s="1322"/>
      <c r="L206" s="1080">
        <f t="shared" si="8"/>
        <v>0</v>
      </c>
      <c r="M206" s="270"/>
    </row>
    <row r="207" spans="1:13" ht="30.75" customHeight="1" x14ac:dyDescent="0.3">
      <c r="A207" s="262">
        <v>199</v>
      </c>
      <c r="B207" s="1332"/>
      <c r="C207" s="1333"/>
      <c r="D207" s="189" t="s">
        <v>838</v>
      </c>
      <c r="E207" s="1334"/>
      <c r="F207" s="1335"/>
      <c r="G207" s="1392"/>
      <c r="H207" s="354"/>
      <c r="I207" s="268"/>
      <c r="J207" s="1322"/>
      <c r="K207" s="1322"/>
      <c r="L207" s="1080"/>
      <c r="M207" s="270"/>
    </row>
    <row r="208" spans="1:13" ht="17.100000000000001" customHeight="1" x14ac:dyDescent="0.3">
      <c r="A208" s="262">
        <v>200</v>
      </c>
      <c r="B208" s="1332"/>
      <c r="C208" s="1333"/>
      <c r="D208" s="981" t="s">
        <v>796</v>
      </c>
      <c r="E208" s="1334"/>
      <c r="F208" s="1335"/>
      <c r="G208" s="1392"/>
      <c r="H208" s="354"/>
      <c r="I208" s="268"/>
      <c r="J208" s="1322"/>
      <c r="K208" s="1322">
        <v>200</v>
      </c>
      <c r="L208" s="1080">
        <f t="shared" si="8"/>
        <v>200</v>
      </c>
      <c r="M208" s="270"/>
    </row>
    <row r="209" spans="1:13" ht="17.100000000000001" customHeight="1" x14ac:dyDescent="0.3">
      <c r="A209" s="262">
        <v>201</v>
      </c>
      <c r="B209" s="1332"/>
      <c r="C209" s="1333"/>
      <c r="D209" s="981" t="s">
        <v>860</v>
      </c>
      <c r="E209" s="1334"/>
      <c r="F209" s="1335"/>
      <c r="G209" s="1392"/>
      <c r="H209" s="354"/>
      <c r="I209" s="268"/>
      <c r="J209" s="1322"/>
      <c r="K209" s="1322"/>
      <c r="L209" s="1080">
        <f t="shared" si="8"/>
        <v>0</v>
      </c>
      <c r="M209" s="270"/>
    </row>
    <row r="210" spans="1:13" ht="22.5" customHeight="1" x14ac:dyDescent="0.3">
      <c r="A210" s="262">
        <v>202</v>
      </c>
      <c r="B210" s="1332"/>
      <c r="C210" s="1432">
        <v>46</v>
      </c>
      <c r="D210" s="176" t="s">
        <v>845</v>
      </c>
      <c r="E210" s="1334">
        <f>F210+G210+L211+M210</f>
        <v>25000</v>
      </c>
      <c r="F210" s="1335"/>
      <c r="G210" s="1392"/>
      <c r="H210" s="354" t="s">
        <v>24</v>
      </c>
      <c r="I210" s="268"/>
      <c r="J210" s="268"/>
      <c r="K210" s="268"/>
      <c r="L210" s="279"/>
      <c r="M210" s="270"/>
    </row>
    <row r="211" spans="1:13" ht="17.100000000000001" customHeight="1" x14ac:dyDescent="0.3">
      <c r="A211" s="262">
        <v>203</v>
      </c>
      <c r="B211" s="1332"/>
      <c r="C211" s="1432"/>
      <c r="D211" s="225" t="s">
        <v>796</v>
      </c>
      <c r="E211" s="1334"/>
      <c r="F211" s="1335"/>
      <c r="G211" s="1392"/>
      <c r="H211" s="354"/>
      <c r="I211" s="268"/>
      <c r="J211" s="268">
        <v>25000</v>
      </c>
      <c r="K211" s="268"/>
      <c r="L211" s="1077">
        <f t="shared" si="8"/>
        <v>25000</v>
      </c>
      <c r="M211" s="270"/>
    </row>
    <row r="212" spans="1:13" ht="17.100000000000001" customHeight="1" x14ac:dyDescent="0.3">
      <c r="A212" s="262">
        <v>204</v>
      </c>
      <c r="B212" s="1332"/>
      <c r="C212" s="1333"/>
      <c r="D212" s="187" t="s">
        <v>861</v>
      </c>
      <c r="E212" s="1334"/>
      <c r="F212" s="1335"/>
      <c r="G212" s="1392"/>
      <c r="H212" s="354"/>
      <c r="I212" s="268"/>
      <c r="J212" s="1322"/>
      <c r="K212" s="268"/>
      <c r="L212" s="1080">
        <f t="shared" si="8"/>
        <v>0</v>
      </c>
      <c r="M212" s="270"/>
    </row>
    <row r="213" spans="1:13" ht="33" x14ac:dyDescent="0.3">
      <c r="A213" s="262">
        <v>205</v>
      </c>
      <c r="B213" s="1332"/>
      <c r="C213" s="1333">
        <v>47</v>
      </c>
      <c r="D213" s="550" t="s">
        <v>829</v>
      </c>
      <c r="E213" s="1334">
        <f>F213+G213+L214+M213</f>
        <v>1270</v>
      </c>
      <c r="F213" s="1335"/>
      <c r="G213" s="1392"/>
      <c r="H213" s="354" t="s">
        <v>23</v>
      </c>
      <c r="I213" s="268"/>
      <c r="J213" s="268"/>
      <c r="K213" s="268"/>
      <c r="L213" s="279"/>
      <c r="M213" s="270"/>
    </row>
    <row r="214" spans="1:13" x14ac:dyDescent="0.3">
      <c r="A214" s="262">
        <v>206</v>
      </c>
      <c r="B214" s="1332"/>
      <c r="C214" s="1333"/>
      <c r="D214" s="225" t="s">
        <v>796</v>
      </c>
      <c r="E214" s="1334"/>
      <c r="F214" s="1335"/>
      <c r="G214" s="1392"/>
      <c r="H214" s="354"/>
      <c r="I214" s="268">
        <v>1270</v>
      </c>
      <c r="J214" s="268"/>
      <c r="K214" s="268"/>
      <c r="L214" s="1077">
        <f t="shared" si="8"/>
        <v>1270</v>
      </c>
      <c r="M214" s="270"/>
    </row>
    <row r="215" spans="1:13" ht="17.100000000000001" customHeight="1" x14ac:dyDescent="0.3">
      <c r="A215" s="262">
        <v>207</v>
      </c>
      <c r="B215" s="1332"/>
      <c r="C215" s="1333"/>
      <c r="D215" s="187" t="s">
        <v>861</v>
      </c>
      <c r="E215" s="1334"/>
      <c r="F215" s="1335"/>
      <c r="G215" s="1392"/>
      <c r="H215" s="354"/>
      <c r="I215" s="1322"/>
      <c r="J215" s="1322"/>
      <c r="K215" s="268"/>
      <c r="L215" s="1080">
        <f t="shared" si="8"/>
        <v>0</v>
      </c>
      <c r="M215" s="270"/>
    </row>
    <row r="216" spans="1:13" ht="33.75" customHeight="1" x14ac:dyDescent="0.3">
      <c r="A216" s="262">
        <v>208</v>
      </c>
      <c r="B216" s="1332"/>
      <c r="C216" s="271">
        <v>48</v>
      </c>
      <c r="D216" s="550" t="s">
        <v>800</v>
      </c>
      <c r="E216" s="1334">
        <f>F216+G216+L217+M216</f>
        <v>80</v>
      </c>
      <c r="F216" s="1335"/>
      <c r="G216" s="1392"/>
      <c r="H216" s="354" t="s">
        <v>23</v>
      </c>
      <c r="I216" s="268"/>
      <c r="J216" s="268"/>
      <c r="K216" s="268"/>
      <c r="L216" s="1077"/>
      <c r="M216" s="270"/>
    </row>
    <row r="217" spans="1:13" ht="17.100000000000001" customHeight="1" x14ac:dyDescent="0.3">
      <c r="A217" s="262">
        <v>209</v>
      </c>
      <c r="B217" s="1332"/>
      <c r="C217" s="1333"/>
      <c r="D217" s="225" t="s">
        <v>796</v>
      </c>
      <c r="E217" s="1334"/>
      <c r="F217" s="1335"/>
      <c r="G217" s="1392"/>
      <c r="H217" s="354"/>
      <c r="I217" s="268"/>
      <c r="J217" s="268">
        <v>80</v>
      </c>
      <c r="K217" s="268"/>
      <c r="L217" s="1077">
        <f t="shared" si="8"/>
        <v>80</v>
      </c>
      <c r="M217" s="270"/>
    </row>
    <row r="218" spans="1:13" ht="17.100000000000001" customHeight="1" thickBot="1" x14ac:dyDescent="0.35">
      <c r="A218" s="262">
        <v>210</v>
      </c>
      <c r="B218" s="1332"/>
      <c r="C218" s="1333"/>
      <c r="D218" s="187" t="s">
        <v>861</v>
      </c>
      <c r="E218" s="1334"/>
      <c r="F218" s="1335"/>
      <c r="G218" s="1392"/>
      <c r="H218" s="354"/>
      <c r="I218" s="268"/>
      <c r="J218" s="1322">
        <v>81</v>
      </c>
      <c r="K218" s="268"/>
      <c r="L218" s="1080">
        <f t="shared" si="8"/>
        <v>81</v>
      </c>
      <c r="M218" s="270"/>
    </row>
    <row r="219" spans="1:13" ht="21.95" customHeight="1" thickBot="1" x14ac:dyDescent="0.35">
      <c r="A219" s="262">
        <v>211</v>
      </c>
      <c r="B219" s="1734" t="s">
        <v>13</v>
      </c>
      <c r="C219" s="1735"/>
      <c r="D219" s="1735"/>
      <c r="E219" s="1735"/>
      <c r="F219" s="1735"/>
      <c r="G219" s="1736"/>
      <c r="H219" s="347"/>
      <c r="I219" s="344"/>
      <c r="J219" s="344"/>
      <c r="K219" s="344"/>
      <c r="L219" s="344"/>
      <c r="M219" s="346"/>
    </row>
    <row r="220" spans="1:13" ht="17.100000000000001" customHeight="1" x14ac:dyDescent="0.3">
      <c r="A220" s="262">
        <v>212</v>
      </c>
      <c r="B220" s="1082"/>
      <c r="C220" s="1073"/>
      <c r="D220" s="1737" t="s">
        <v>268</v>
      </c>
      <c r="E220" s="1738"/>
      <c r="F220" s="1738"/>
      <c r="G220" s="1739"/>
      <c r="H220" s="1075"/>
      <c r="I220" s="1081">
        <f>I163+I159+I153+I148+I144+I140+I136+I132+I128+I124+I120+I116+I112+I108+I104+I100+I96+I92+I88+I84+I80+I76+I72+I68+I64+I60+I55+I51+I47+I43+I39+I35+I31+I27+I23+I19+I15+I11</f>
        <v>1519</v>
      </c>
      <c r="J220" s="1081">
        <f>J163+J159+J153+J148+J144+J140+J136+J132+J128+J124+J120+J116+J112+J108+J104+J100+J96+J92+J88+J84+J80+J76+J72+J68+J64+J60+J55+J51+J47+J43+J39+J35+J31+J27+J23+J19+J15+J11</f>
        <v>830380</v>
      </c>
      <c r="K220" s="1081">
        <f>K163+K159+K153+K148+K144+K140+K136+K132+K128+K124+K120+K116+K112+K108+K104+K100+K96+K92+K88+K84+K80+K76+K72+K68+K64+K60+K55+K51+K47+K43+K39+K35+K31+K27+K23+K19+K15+K11</f>
        <v>297000</v>
      </c>
      <c r="L220" s="1065">
        <f t="shared" ref="L220:L222" si="10">SUM(I220:K220)</f>
        <v>1128899</v>
      </c>
      <c r="M220" s="1083"/>
    </row>
    <row r="221" spans="1:13" ht="17.100000000000001" customHeight="1" x14ac:dyDescent="0.3">
      <c r="A221" s="262">
        <v>213</v>
      </c>
      <c r="B221" s="1084"/>
      <c r="C221" s="1074"/>
      <c r="D221" s="1725" t="s">
        <v>796</v>
      </c>
      <c r="E221" s="1726"/>
      <c r="F221" s="1726"/>
      <c r="G221" s="1727"/>
      <c r="H221" s="1076"/>
      <c r="I221" s="1078">
        <f>I164+I160+I154+I149+I145+I141+I137+I133+I129+I125+I121+I117+I113+I109+I105+I101+I97+I93+I89+I85+I81+I77+I73+I69+I65+I61+I56+I52+I48+I44+I40+I36+I32+I28+I24+I20+I16+I12+I181+I178+I175+I172+I168+I184+I217+I214+I211+I187</f>
        <v>3361</v>
      </c>
      <c r="J221" s="1078">
        <f>J164+J160+J154+J149+J145+J141+J137+J133+J129+J125+J121+J117+J113+J109+J105+J101+J97+J93+J89+J85+J81+J77+J73+J69+J65+J61+J56+J52+J48+J44+J40+J36+J32+J28+J24+J20+J16+J12+J181+J178+J175+J172+J168+J184+J217+J214+J211+J187</f>
        <v>898877</v>
      </c>
      <c r="K221" s="1078">
        <f>K164+K160+K154+K149+K145+K141+K137+K133+K129+K125+K121+K117+K113+K109+K105+K101+K97+K93+K89+K85+K81+K77+K73+K69+K65+K61+K56+K52+K48+K44+K40+K36+K32+K28+K24+K20+K16+K12+K181+K178+K175+K172+K168+K184+K217+K214+K211+K187</f>
        <v>298524</v>
      </c>
      <c r="L221" s="1077">
        <f>SUM(I221:K221)</f>
        <v>1200762</v>
      </c>
      <c r="M221" s="1085"/>
    </row>
    <row r="222" spans="1:13" ht="17.100000000000001" customHeight="1" thickBot="1" x14ac:dyDescent="0.35">
      <c r="A222" s="262">
        <v>214</v>
      </c>
      <c r="B222" s="1086"/>
      <c r="C222" s="1087"/>
      <c r="D222" s="1731" t="s">
        <v>860</v>
      </c>
      <c r="E222" s="1732"/>
      <c r="F222" s="1732"/>
      <c r="G222" s="1733"/>
      <c r="H222" s="1088"/>
      <c r="I222" s="1439">
        <f>I218+I182+I179+I176+I173+I169+I165+I161+I155+I150+I146+I142+I138+I134+I130+I126+I122+I118+I114+I110+I106+I102+I98+I94+I90+I86+I82+I78+I74+I70+I66+I62+I57+I53+I49+I45+I41+I37+I33+I29+I25+I21+I17+I13+I185+I212+I215+I188</f>
        <v>2115</v>
      </c>
      <c r="J222" s="1439">
        <f>J218+J182+J179+J176+J173+J169+J165+J161+J155+J150+J146+J142+J138+J134+J130+J126+J122+J118+J114+J110+J106+J102+J98+J94+J90+J86+J82+J78+J74+J70+J66+J62+J57+J53+J49+J45+J41+J37+J33+J29+J25+J21+J17+J13+J185+J212+J215+J188</f>
        <v>240271</v>
      </c>
      <c r="K222" s="1439">
        <f>K218+K182+K179+K176+K173+K169+K165+K161+K155+K150+K146+K142+K138+K134+K130+K126+K122+K118+K114+K110+K106+K102+K98+K94+K90+K86+K82+K78+K74+K70+K66+K62+K57+K53+K49+K45+K41+K37+K33+K29+K25+K21+K17+K13+K185+K212+K215+K188</f>
        <v>292224</v>
      </c>
      <c r="L222" s="1440">
        <f t="shared" si="10"/>
        <v>534610</v>
      </c>
      <c r="M222" s="1089"/>
    </row>
    <row r="223" spans="1:13" ht="18" customHeight="1" x14ac:dyDescent="0.3">
      <c r="B223" s="256" t="s">
        <v>27</v>
      </c>
      <c r="C223" s="256"/>
      <c r="D223" s="256"/>
      <c r="E223" s="257"/>
      <c r="F223" s="258"/>
      <c r="G223" s="257"/>
      <c r="H223" s="246"/>
      <c r="I223" s="257"/>
      <c r="J223" s="257"/>
      <c r="K223" s="257"/>
      <c r="L223" s="257"/>
    </row>
    <row r="224" spans="1:13" ht="18" customHeight="1" x14ac:dyDescent="0.3">
      <c r="B224" s="256" t="s">
        <v>28</v>
      </c>
      <c r="C224" s="256"/>
      <c r="D224" s="256"/>
      <c r="E224" s="247"/>
      <c r="F224" s="258"/>
      <c r="G224" s="257"/>
      <c r="H224" s="246"/>
      <c r="I224" s="257"/>
      <c r="J224" s="257"/>
      <c r="K224" s="257"/>
      <c r="L224" s="257"/>
    </row>
    <row r="225" spans="2:12" ht="18" customHeight="1" x14ac:dyDescent="0.3">
      <c r="B225" s="256" t="s">
        <v>29</v>
      </c>
      <c r="C225" s="256"/>
      <c r="D225" s="256"/>
      <c r="E225" s="247"/>
      <c r="F225" s="258"/>
      <c r="G225" s="257"/>
      <c r="H225" s="246"/>
      <c r="I225" s="257"/>
      <c r="J225" s="257"/>
      <c r="K225" s="257"/>
      <c r="L225" s="257"/>
    </row>
  </sheetData>
  <mergeCells count="19">
    <mergeCell ref="I1:M1"/>
    <mergeCell ref="B2:M2"/>
    <mergeCell ref="B3:M3"/>
    <mergeCell ref="I6:L6"/>
    <mergeCell ref="M6:M8"/>
    <mergeCell ref="E6:E8"/>
    <mergeCell ref="B6:B8"/>
    <mergeCell ref="C6:C8"/>
    <mergeCell ref="D6:D8"/>
    <mergeCell ref="J7:K7"/>
    <mergeCell ref="L7:L8"/>
    <mergeCell ref="H6:H8"/>
    <mergeCell ref="G6:G8"/>
    <mergeCell ref="F6:F8"/>
    <mergeCell ref="B1:F1"/>
    <mergeCell ref="B219:G219"/>
    <mergeCell ref="D220:G220"/>
    <mergeCell ref="D221:G221"/>
    <mergeCell ref="D222:G222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53" fitToHeight="0" orientation="portrait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R123"/>
  <sheetViews>
    <sheetView view="pageBreakPreview" topLeftCell="A103" zoomScaleNormal="100" zoomScaleSheetLayoutView="100" workbookViewId="0">
      <selection activeCell="D4" sqref="D4"/>
    </sheetView>
  </sheetViews>
  <sheetFormatPr defaultRowHeight="15" x14ac:dyDescent="0.3"/>
  <cols>
    <col min="1" max="1" width="3.5703125" style="261" customWidth="1"/>
    <col min="2" max="2" width="5.7109375" style="250" customWidth="1"/>
    <col min="3" max="3" width="5.7109375" style="251" customWidth="1"/>
    <col min="4" max="4" width="59.7109375" style="252" customWidth="1"/>
    <col min="5" max="6" width="10.7109375" style="248" customWidth="1"/>
    <col min="7" max="7" width="10.7109375" style="1167" customWidth="1"/>
    <col min="8" max="8" width="6.7109375" style="253" customWidth="1"/>
    <col min="9" max="10" width="14.85546875" style="248" customWidth="1"/>
    <col min="11" max="11" width="15.7109375" style="248" customWidth="1"/>
    <col min="12" max="12" width="13.7109375" style="259" customWidth="1"/>
    <col min="13" max="16384" width="9.140625" style="249"/>
  </cols>
  <sheetData>
    <row r="1" spans="1:250" s="174" customFormat="1" ht="18" customHeight="1" x14ac:dyDescent="0.3">
      <c r="A1" s="260"/>
      <c r="B1" s="1585" t="s">
        <v>884</v>
      </c>
      <c r="C1" s="1585"/>
      <c r="D1" s="1585"/>
      <c r="E1" s="1585"/>
      <c r="F1" s="1585"/>
      <c r="G1" s="62"/>
      <c r="H1" s="62"/>
      <c r="I1" s="1740"/>
      <c r="J1" s="1740"/>
      <c r="K1" s="1740"/>
      <c r="L1" s="1740"/>
      <c r="M1" s="17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  <c r="ED1" s="240"/>
      <c r="EE1" s="240"/>
      <c r="EF1" s="240"/>
      <c r="EG1" s="240"/>
      <c r="EH1" s="240"/>
      <c r="EI1" s="240"/>
      <c r="EJ1" s="240"/>
      <c r="EK1" s="240"/>
      <c r="EL1" s="240"/>
      <c r="EM1" s="240"/>
      <c r="EN1" s="240"/>
      <c r="EO1" s="240"/>
      <c r="EP1" s="240"/>
      <c r="EQ1" s="240"/>
      <c r="ER1" s="240"/>
      <c r="ES1" s="240"/>
      <c r="ET1" s="240"/>
      <c r="EU1" s="240"/>
      <c r="EV1" s="240"/>
      <c r="EW1" s="240"/>
      <c r="EX1" s="240"/>
      <c r="EY1" s="240"/>
      <c r="EZ1" s="240"/>
      <c r="FA1" s="240"/>
      <c r="FB1" s="240"/>
      <c r="FC1" s="240"/>
      <c r="FD1" s="240"/>
      <c r="FE1" s="240"/>
      <c r="FF1" s="240"/>
      <c r="FG1" s="240"/>
      <c r="FH1" s="240"/>
      <c r="FI1" s="240"/>
      <c r="FJ1" s="240"/>
      <c r="FK1" s="240"/>
      <c r="FL1" s="240"/>
      <c r="FM1" s="240"/>
      <c r="FN1" s="240"/>
      <c r="FO1" s="240"/>
      <c r="FP1" s="240"/>
      <c r="FQ1" s="240"/>
      <c r="FR1" s="240"/>
      <c r="FS1" s="240"/>
      <c r="FT1" s="240"/>
      <c r="FU1" s="240"/>
      <c r="FV1" s="240"/>
      <c r="FW1" s="240"/>
      <c r="FX1" s="240"/>
      <c r="FY1" s="240"/>
      <c r="FZ1" s="240"/>
      <c r="GA1" s="240"/>
      <c r="GB1" s="240"/>
      <c r="GC1" s="240"/>
      <c r="GD1" s="240"/>
      <c r="GE1" s="240"/>
      <c r="GF1" s="240"/>
      <c r="GG1" s="240"/>
      <c r="GH1" s="240"/>
      <c r="GI1" s="240"/>
      <c r="GJ1" s="240"/>
      <c r="GK1" s="240"/>
      <c r="GL1" s="240"/>
      <c r="GM1" s="240"/>
      <c r="GN1" s="240"/>
      <c r="GO1" s="240"/>
      <c r="GP1" s="240"/>
      <c r="GQ1" s="240"/>
      <c r="GR1" s="240"/>
      <c r="GS1" s="240"/>
      <c r="GT1" s="240"/>
      <c r="GU1" s="240"/>
      <c r="GV1" s="240"/>
      <c r="GW1" s="240"/>
      <c r="GX1" s="240"/>
      <c r="GY1" s="240"/>
      <c r="GZ1" s="240"/>
      <c r="HA1" s="240"/>
      <c r="HB1" s="240"/>
      <c r="HC1" s="240"/>
      <c r="HD1" s="240"/>
      <c r="HE1" s="240"/>
      <c r="HF1" s="240"/>
      <c r="HG1" s="240"/>
      <c r="HH1" s="240"/>
      <c r="HI1" s="240"/>
      <c r="HJ1" s="240"/>
      <c r="HK1" s="240"/>
      <c r="HL1" s="240"/>
      <c r="HM1" s="240"/>
      <c r="HN1" s="240"/>
      <c r="HO1" s="240"/>
      <c r="HP1" s="240"/>
      <c r="HQ1" s="240"/>
      <c r="HR1" s="240"/>
      <c r="HS1" s="240"/>
      <c r="HT1" s="240"/>
      <c r="HU1" s="240"/>
      <c r="HV1" s="240"/>
      <c r="HW1" s="240"/>
      <c r="HX1" s="240"/>
      <c r="HY1" s="240"/>
      <c r="HZ1" s="240"/>
      <c r="IA1" s="240"/>
      <c r="IB1" s="240"/>
      <c r="IC1" s="240"/>
      <c r="ID1" s="240"/>
      <c r="IE1" s="240"/>
      <c r="IF1" s="240"/>
      <c r="IG1" s="240"/>
      <c r="IH1" s="240"/>
      <c r="II1" s="240"/>
      <c r="IJ1" s="240"/>
      <c r="IK1" s="240"/>
      <c r="IL1" s="240"/>
      <c r="IM1" s="240"/>
      <c r="IN1" s="240"/>
      <c r="IO1" s="240"/>
      <c r="IP1" s="240"/>
    </row>
    <row r="2" spans="1:250" s="174" customFormat="1" ht="18" customHeight="1" x14ac:dyDescent="0.35">
      <c r="A2" s="261"/>
      <c r="B2" s="1741" t="s">
        <v>14</v>
      </c>
      <c r="C2" s="1741"/>
      <c r="D2" s="1741"/>
      <c r="E2" s="1741"/>
      <c r="F2" s="1741"/>
      <c r="G2" s="1741"/>
      <c r="H2" s="1741"/>
      <c r="I2" s="1741"/>
      <c r="J2" s="1741"/>
      <c r="K2" s="1741"/>
      <c r="L2" s="1741"/>
    </row>
    <row r="3" spans="1:250" s="174" customFormat="1" ht="18" customHeight="1" x14ac:dyDescent="0.3">
      <c r="A3" s="261"/>
      <c r="B3" s="1742" t="s">
        <v>863</v>
      </c>
      <c r="C3" s="1742"/>
      <c r="D3" s="1742"/>
      <c r="E3" s="1742"/>
      <c r="F3" s="1742"/>
      <c r="G3" s="1742"/>
      <c r="H3" s="1742"/>
      <c r="I3" s="1742"/>
      <c r="J3" s="1742"/>
      <c r="K3" s="1742"/>
      <c r="L3" s="1742"/>
    </row>
    <row r="4" spans="1:250" ht="18" customHeight="1" x14ac:dyDescent="0.3">
      <c r="G4" s="248"/>
      <c r="L4" s="254" t="s">
        <v>0</v>
      </c>
    </row>
    <row r="5" spans="1:250" s="65" customFormat="1" ht="18" customHeight="1" thickBot="1" x14ac:dyDescent="0.25">
      <c r="A5" s="261"/>
      <c r="B5" s="272" t="s">
        <v>1</v>
      </c>
      <c r="C5" s="273" t="s">
        <v>3</v>
      </c>
      <c r="D5" s="273" t="s">
        <v>2</v>
      </c>
      <c r="E5" s="273" t="s">
        <v>4</v>
      </c>
      <c r="F5" s="273" t="s">
        <v>5</v>
      </c>
      <c r="G5" s="273" t="s">
        <v>15</v>
      </c>
      <c r="H5" s="273" t="s">
        <v>16</v>
      </c>
      <c r="I5" s="273" t="s">
        <v>30</v>
      </c>
      <c r="J5" s="273" t="s">
        <v>23</v>
      </c>
      <c r="K5" s="273" t="s">
        <v>35</v>
      </c>
      <c r="L5" s="273" t="s">
        <v>36</v>
      </c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261"/>
      <c r="EU5" s="261"/>
      <c r="EV5" s="261"/>
      <c r="EW5" s="261"/>
      <c r="EX5" s="261"/>
      <c r="EY5" s="261"/>
      <c r="EZ5" s="261"/>
      <c r="FA5" s="261"/>
      <c r="FB5" s="261"/>
      <c r="FC5" s="261"/>
      <c r="FD5" s="261"/>
      <c r="FE5" s="261"/>
      <c r="FF5" s="261"/>
      <c r="FG5" s="261"/>
      <c r="FH5" s="261"/>
      <c r="FI5" s="261"/>
      <c r="FJ5" s="261"/>
      <c r="FK5" s="261"/>
      <c r="FL5" s="261"/>
      <c r="FM5" s="261"/>
      <c r="FN5" s="261"/>
      <c r="FO5" s="261"/>
      <c r="FP5" s="261"/>
      <c r="FQ5" s="261"/>
      <c r="FR5" s="261"/>
      <c r="FS5" s="261"/>
      <c r="FT5" s="261"/>
      <c r="FU5" s="261"/>
      <c r="FV5" s="261"/>
      <c r="FW5" s="261"/>
      <c r="FX5" s="261"/>
      <c r="FY5" s="261"/>
      <c r="FZ5" s="261"/>
      <c r="GA5" s="261"/>
      <c r="GB5" s="261"/>
      <c r="GC5" s="261"/>
      <c r="GD5" s="261"/>
      <c r="GE5" s="261"/>
      <c r="GF5" s="261"/>
      <c r="GG5" s="261"/>
      <c r="GH5" s="261"/>
      <c r="GI5" s="261"/>
      <c r="GJ5" s="261"/>
      <c r="GK5" s="261"/>
      <c r="GL5" s="261"/>
      <c r="GM5" s="261"/>
      <c r="GN5" s="261"/>
      <c r="GO5" s="261"/>
      <c r="GP5" s="261"/>
      <c r="GQ5" s="261"/>
      <c r="GR5" s="261"/>
      <c r="GS5" s="261"/>
      <c r="GT5" s="261"/>
      <c r="GU5" s="261"/>
      <c r="GV5" s="261"/>
      <c r="GW5" s="261"/>
      <c r="GX5" s="261"/>
      <c r="GY5" s="261"/>
      <c r="GZ5" s="261"/>
      <c r="HA5" s="261"/>
      <c r="HB5" s="261"/>
      <c r="HC5" s="261"/>
      <c r="HD5" s="261"/>
      <c r="HE5" s="261"/>
      <c r="HF5" s="261"/>
      <c r="HG5" s="261"/>
      <c r="HH5" s="261"/>
      <c r="HI5" s="261"/>
      <c r="HJ5" s="261"/>
      <c r="HK5" s="261"/>
      <c r="HL5" s="261"/>
      <c r="HM5" s="261"/>
      <c r="HN5" s="261"/>
      <c r="HO5" s="261"/>
      <c r="HP5" s="261"/>
      <c r="HQ5" s="261"/>
      <c r="HR5" s="261"/>
      <c r="HS5" s="261"/>
      <c r="HT5" s="261"/>
      <c r="HU5" s="261"/>
      <c r="HV5" s="261"/>
      <c r="HW5" s="261"/>
      <c r="HX5" s="261"/>
      <c r="HY5" s="261"/>
      <c r="HZ5" s="261"/>
      <c r="IA5" s="261"/>
      <c r="IB5" s="261"/>
      <c r="IC5" s="261"/>
      <c r="ID5" s="261"/>
      <c r="IE5" s="261"/>
      <c r="IF5" s="261"/>
      <c r="IG5" s="261"/>
      <c r="IH5" s="261"/>
      <c r="II5" s="261"/>
      <c r="IJ5" s="261"/>
      <c r="IK5" s="261"/>
      <c r="IL5" s="261"/>
      <c r="IM5" s="261"/>
      <c r="IN5" s="261"/>
      <c r="IO5" s="261"/>
      <c r="IP5" s="261"/>
    </row>
    <row r="6" spans="1:250" ht="30" customHeight="1" x14ac:dyDescent="0.3">
      <c r="B6" s="1752" t="s">
        <v>18</v>
      </c>
      <c r="C6" s="1755" t="s">
        <v>19</v>
      </c>
      <c r="D6" s="1758" t="s">
        <v>6</v>
      </c>
      <c r="E6" s="1749" t="s">
        <v>21</v>
      </c>
      <c r="F6" s="1749" t="s">
        <v>471</v>
      </c>
      <c r="G6" s="1767" t="s">
        <v>707</v>
      </c>
      <c r="H6" s="1764" t="s">
        <v>261</v>
      </c>
      <c r="I6" s="1770" t="s">
        <v>518</v>
      </c>
      <c r="J6" s="1770"/>
      <c r="K6" s="1771"/>
      <c r="L6" s="1746" t="s">
        <v>522</v>
      </c>
    </row>
    <row r="7" spans="1:250" ht="45" customHeight="1" x14ac:dyDescent="0.3">
      <c r="B7" s="1753"/>
      <c r="C7" s="1756"/>
      <c r="D7" s="1759"/>
      <c r="E7" s="1750"/>
      <c r="F7" s="1750"/>
      <c r="G7" s="1768"/>
      <c r="H7" s="1765"/>
      <c r="I7" s="253" t="s">
        <v>37</v>
      </c>
      <c r="J7" s="1517" t="s">
        <v>138</v>
      </c>
      <c r="K7" s="1762" t="s">
        <v>110</v>
      </c>
      <c r="L7" s="1747"/>
    </row>
    <row r="8" spans="1:250" ht="53.25" customHeight="1" thickBot="1" x14ac:dyDescent="0.35">
      <c r="B8" s="1754"/>
      <c r="C8" s="1757"/>
      <c r="D8" s="1760"/>
      <c r="E8" s="1751"/>
      <c r="F8" s="1751"/>
      <c r="G8" s="1769"/>
      <c r="H8" s="1766"/>
      <c r="I8" s="340" t="s">
        <v>40</v>
      </c>
      <c r="J8" s="274" t="s">
        <v>203</v>
      </c>
      <c r="K8" s="1763"/>
      <c r="L8" s="1748"/>
    </row>
    <row r="9" spans="1:250" ht="23.25" customHeight="1" x14ac:dyDescent="0.3">
      <c r="A9" s="262">
        <v>1</v>
      </c>
      <c r="B9" s="339">
        <v>18</v>
      </c>
      <c r="C9" s="332" t="s">
        <v>22</v>
      </c>
      <c r="D9" s="967"/>
      <c r="E9" s="255"/>
      <c r="F9" s="264"/>
      <c r="G9" s="1391"/>
      <c r="H9" s="353"/>
      <c r="I9" s="341"/>
      <c r="J9" s="275"/>
      <c r="K9" s="276"/>
      <c r="L9" s="265"/>
    </row>
    <row r="10" spans="1:250" ht="22.5" customHeight="1" x14ac:dyDescent="0.3">
      <c r="A10" s="262">
        <v>2</v>
      </c>
      <c r="B10" s="266"/>
      <c r="C10" s="267">
        <v>1</v>
      </c>
      <c r="D10" s="397" t="s">
        <v>357</v>
      </c>
      <c r="E10" s="268">
        <f>F10+G10+K12</f>
        <v>1253</v>
      </c>
      <c r="F10" s="269"/>
      <c r="G10" s="1392"/>
      <c r="H10" s="354" t="s">
        <v>24</v>
      </c>
      <c r="I10" s="342"/>
      <c r="J10" s="277"/>
      <c r="K10" s="278"/>
      <c r="L10" s="270"/>
    </row>
    <row r="11" spans="1:250" ht="17.100000000000001" customHeight="1" x14ac:dyDescent="0.3">
      <c r="A11" s="262">
        <v>3</v>
      </c>
      <c r="B11" s="266"/>
      <c r="C11" s="267"/>
      <c r="D11" s="459" t="s">
        <v>268</v>
      </c>
      <c r="E11" s="268"/>
      <c r="F11" s="269"/>
      <c r="G11" s="1392"/>
      <c r="H11" s="354"/>
      <c r="I11" s="342"/>
      <c r="J11" s="459">
        <v>1253</v>
      </c>
      <c r="K11" s="459">
        <f t="shared" ref="K11:K113" si="0">SUM(I11:J11)</f>
        <v>1253</v>
      </c>
      <c r="L11" s="270"/>
    </row>
    <row r="12" spans="1:250" ht="17.100000000000001" customHeight="1" x14ac:dyDescent="0.3">
      <c r="A12" s="262">
        <v>4</v>
      </c>
      <c r="B12" s="266"/>
      <c r="C12" s="267"/>
      <c r="D12" s="224" t="s">
        <v>796</v>
      </c>
      <c r="E12" s="268"/>
      <c r="F12" s="269"/>
      <c r="G12" s="1392"/>
      <c r="H12" s="354"/>
      <c r="I12" s="342"/>
      <c r="J12" s="277">
        <v>1253</v>
      </c>
      <c r="K12" s="278">
        <f t="shared" si="0"/>
        <v>1253</v>
      </c>
      <c r="L12" s="270"/>
    </row>
    <row r="13" spans="1:250" ht="17.100000000000001" customHeight="1" x14ac:dyDescent="0.3">
      <c r="A13" s="262">
        <v>5</v>
      </c>
      <c r="B13" s="266"/>
      <c r="C13" s="267"/>
      <c r="D13" s="976" t="s">
        <v>860</v>
      </c>
      <c r="E13" s="268"/>
      <c r="F13" s="269"/>
      <c r="G13" s="1392"/>
      <c r="H13" s="354"/>
      <c r="I13" s="342"/>
      <c r="J13" s="277"/>
      <c r="K13" s="278">
        <f t="shared" si="0"/>
        <v>0</v>
      </c>
      <c r="L13" s="270"/>
    </row>
    <row r="14" spans="1:250" ht="30.75" customHeight="1" x14ac:dyDescent="0.3">
      <c r="A14" s="262">
        <v>6</v>
      </c>
      <c r="B14" s="266"/>
      <c r="C14" s="271">
        <v>2</v>
      </c>
      <c r="D14" s="397" t="s">
        <v>494</v>
      </c>
      <c r="E14" s="268">
        <f>F14+G14+K16</f>
        <v>25000</v>
      </c>
      <c r="F14" s="269"/>
      <c r="G14" s="1392"/>
      <c r="H14" s="354" t="s">
        <v>24</v>
      </c>
      <c r="I14" s="342"/>
      <c r="J14" s="277"/>
      <c r="K14" s="278"/>
      <c r="L14" s="270"/>
    </row>
    <row r="15" spans="1:250" ht="17.100000000000001" customHeight="1" x14ac:dyDescent="0.3">
      <c r="A15" s="262">
        <v>7</v>
      </c>
      <c r="B15" s="266"/>
      <c r="C15" s="267"/>
      <c r="D15" s="459" t="s">
        <v>268</v>
      </c>
      <c r="E15" s="268"/>
      <c r="F15" s="269"/>
      <c r="G15" s="1392"/>
      <c r="H15" s="354"/>
      <c r="I15" s="342"/>
      <c r="J15" s="459">
        <v>25000</v>
      </c>
      <c r="K15" s="459">
        <f t="shared" si="0"/>
        <v>25000</v>
      </c>
      <c r="L15" s="270"/>
    </row>
    <row r="16" spans="1:250" ht="17.100000000000001" customHeight="1" x14ac:dyDescent="0.3">
      <c r="A16" s="262">
        <v>8</v>
      </c>
      <c r="B16" s="266"/>
      <c r="C16" s="267"/>
      <c r="D16" s="224" t="s">
        <v>796</v>
      </c>
      <c r="E16" s="268"/>
      <c r="F16" s="269"/>
      <c r="G16" s="1392"/>
      <c r="H16" s="354"/>
      <c r="I16" s="342"/>
      <c r="J16" s="277">
        <v>25000</v>
      </c>
      <c r="K16" s="278">
        <f t="shared" si="0"/>
        <v>25000</v>
      </c>
      <c r="L16" s="270"/>
    </row>
    <row r="17" spans="1:12" ht="17.100000000000001" customHeight="1" x14ac:dyDescent="0.3">
      <c r="A17" s="262">
        <v>9</v>
      </c>
      <c r="B17" s="266"/>
      <c r="C17" s="267"/>
      <c r="D17" s="976" t="s">
        <v>860</v>
      </c>
      <c r="E17" s="268"/>
      <c r="F17" s="269"/>
      <c r="G17" s="1392"/>
      <c r="H17" s="354"/>
      <c r="I17" s="342"/>
      <c r="J17" s="1079">
        <v>19685</v>
      </c>
      <c r="K17" s="1321">
        <f t="shared" si="0"/>
        <v>19685</v>
      </c>
      <c r="L17" s="270"/>
    </row>
    <row r="18" spans="1:12" ht="20.100000000000001" customHeight="1" x14ac:dyDescent="0.3">
      <c r="A18" s="262">
        <v>10</v>
      </c>
      <c r="B18" s="266"/>
      <c r="C18" s="267">
        <v>3</v>
      </c>
      <c r="D18" s="397" t="s">
        <v>535</v>
      </c>
      <c r="E18" s="268">
        <f>F18+G18+K20</f>
        <v>25000</v>
      </c>
      <c r="F18" s="269"/>
      <c r="G18" s="1392"/>
      <c r="H18" s="354" t="s">
        <v>23</v>
      </c>
      <c r="I18" s="342"/>
      <c r="J18" s="277"/>
      <c r="K18" s="278"/>
      <c r="L18" s="270"/>
    </row>
    <row r="19" spans="1:12" ht="17.100000000000001" customHeight="1" x14ac:dyDescent="0.3">
      <c r="A19" s="262">
        <v>11</v>
      </c>
      <c r="B19" s="266"/>
      <c r="C19" s="267"/>
      <c r="D19" s="459" t="s">
        <v>268</v>
      </c>
      <c r="E19" s="268"/>
      <c r="F19" s="269"/>
      <c r="G19" s="1392"/>
      <c r="H19" s="354"/>
      <c r="I19" s="342"/>
      <c r="J19" s="459">
        <v>25000</v>
      </c>
      <c r="K19" s="459">
        <f t="shared" si="0"/>
        <v>25000</v>
      </c>
      <c r="L19" s="270"/>
    </row>
    <row r="20" spans="1:12" ht="17.100000000000001" customHeight="1" x14ac:dyDescent="0.3">
      <c r="A20" s="262">
        <v>12</v>
      </c>
      <c r="B20" s="266"/>
      <c r="C20" s="267"/>
      <c r="D20" s="224" t="s">
        <v>796</v>
      </c>
      <c r="E20" s="268"/>
      <c r="F20" s="269"/>
      <c r="G20" s="1392"/>
      <c r="H20" s="354"/>
      <c r="I20" s="342"/>
      <c r="J20" s="277">
        <v>25000</v>
      </c>
      <c r="K20" s="278">
        <f t="shared" si="0"/>
        <v>25000</v>
      </c>
      <c r="L20" s="270"/>
    </row>
    <row r="21" spans="1:12" ht="17.100000000000001" customHeight="1" x14ac:dyDescent="0.3">
      <c r="A21" s="262">
        <v>13</v>
      </c>
      <c r="B21" s="266"/>
      <c r="C21" s="267"/>
      <c r="D21" s="976" t="s">
        <v>860</v>
      </c>
      <c r="E21" s="268"/>
      <c r="F21" s="269"/>
      <c r="G21" s="1392"/>
      <c r="H21" s="354"/>
      <c r="I21" s="342"/>
      <c r="J21" s="277"/>
      <c r="K21" s="278">
        <f t="shared" si="0"/>
        <v>0</v>
      </c>
      <c r="L21" s="270"/>
    </row>
    <row r="22" spans="1:12" ht="22.5" customHeight="1" x14ac:dyDescent="0.3">
      <c r="A22" s="262">
        <v>14</v>
      </c>
      <c r="B22" s="266"/>
      <c r="C22" s="267">
        <v>4</v>
      </c>
      <c r="D22" s="397" t="s">
        <v>534</v>
      </c>
      <c r="E22" s="268">
        <f>F22+G22+K24</f>
        <v>5000</v>
      </c>
      <c r="F22" s="269"/>
      <c r="G22" s="1392"/>
      <c r="H22" s="354" t="s">
        <v>23</v>
      </c>
      <c r="I22" s="342"/>
      <c r="J22" s="277"/>
      <c r="K22" s="278"/>
      <c r="L22" s="270"/>
    </row>
    <row r="23" spans="1:12" ht="17.100000000000001" customHeight="1" x14ac:dyDescent="0.3">
      <c r="A23" s="262">
        <v>15</v>
      </c>
      <c r="B23" s="266"/>
      <c r="C23" s="267"/>
      <c r="D23" s="459" t="s">
        <v>268</v>
      </c>
      <c r="E23" s="268"/>
      <c r="F23" s="269"/>
      <c r="G23" s="1392"/>
      <c r="H23" s="354"/>
      <c r="I23" s="342"/>
      <c r="J23" s="459">
        <v>5000</v>
      </c>
      <c r="K23" s="459">
        <f t="shared" si="0"/>
        <v>5000</v>
      </c>
      <c r="L23" s="270"/>
    </row>
    <row r="24" spans="1:12" ht="17.100000000000001" customHeight="1" x14ac:dyDescent="0.3">
      <c r="A24" s="262">
        <v>16</v>
      </c>
      <c r="B24" s="266"/>
      <c r="C24" s="267"/>
      <c r="D24" s="224" t="s">
        <v>796</v>
      </c>
      <c r="E24" s="268"/>
      <c r="F24" s="269"/>
      <c r="G24" s="1392"/>
      <c r="H24" s="354"/>
      <c r="I24" s="342"/>
      <c r="J24" s="277">
        <v>5000</v>
      </c>
      <c r="K24" s="278">
        <f t="shared" si="0"/>
        <v>5000</v>
      </c>
      <c r="L24" s="270"/>
    </row>
    <row r="25" spans="1:12" ht="17.100000000000001" customHeight="1" x14ac:dyDescent="0.3">
      <c r="A25" s="262">
        <v>17</v>
      </c>
      <c r="B25" s="266"/>
      <c r="C25" s="267"/>
      <c r="D25" s="976" t="s">
        <v>860</v>
      </c>
      <c r="E25" s="268"/>
      <c r="F25" s="269"/>
      <c r="G25" s="1392"/>
      <c r="H25" s="354"/>
      <c r="I25" s="342"/>
      <c r="J25" s="277"/>
      <c r="K25" s="278">
        <f t="shared" si="0"/>
        <v>0</v>
      </c>
      <c r="L25" s="270"/>
    </row>
    <row r="26" spans="1:12" ht="22.5" customHeight="1" x14ac:dyDescent="0.3">
      <c r="A26" s="262">
        <v>18</v>
      </c>
      <c r="B26" s="266"/>
      <c r="C26" s="267">
        <v>5</v>
      </c>
      <c r="D26" s="397" t="s">
        <v>412</v>
      </c>
      <c r="E26" s="268">
        <f>F26+G26+K28</f>
        <v>20000</v>
      </c>
      <c r="F26" s="269"/>
      <c r="G26" s="1392"/>
      <c r="H26" s="354" t="s">
        <v>23</v>
      </c>
      <c r="I26" s="342"/>
      <c r="J26" s="277"/>
      <c r="K26" s="278"/>
      <c r="L26" s="270"/>
    </row>
    <row r="27" spans="1:12" ht="17.100000000000001" customHeight="1" x14ac:dyDescent="0.3">
      <c r="A27" s="262">
        <v>19</v>
      </c>
      <c r="B27" s="266"/>
      <c r="C27" s="267"/>
      <c r="D27" s="459" t="s">
        <v>268</v>
      </c>
      <c r="E27" s="268"/>
      <c r="F27" s="269"/>
      <c r="G27" s="1392"/>
      <c r="H27" s="354"/>
      <c r="I27" s="342"/>
      <c r="J27" s="459">
        <v>20000</v>
      </c>
      <c r="K27" s="459">
        <f t="shared" si="0"/>
        <v>20000</v>
      </c>
      <c r="L27" s="270"/>
    </row>
    <row r="28" spans="1:12" ht="17.100000000000001" customHeight="1" x14ac:dyDescent="0.3">
      <c r="A28" s="262">
        <v>20</v>
      </c>
      <c r="B28" s="266"/>
      <c r="C28" s="267"/>
      <c r="D28" s="224" t="s">
        <v>796</v>
      </c>
      <c r="E28" s="268"/>
      <c r="F28" s="269"/>
      <c r="G28" s="1392"/>
      <c r="H28" s="354"/>
      <c r="I28" s="342"/>
      <c r="J28" s="277">
        <v>20000</v>
      </c>
      <c r="K28" s="278">
        <f t="shared" si="0"/>
        <v>20000</v>
      </c>
      <c r="L28" s="270"/>
    </row>
    <row r="29" spans="1:12" ht="17.100000000000001" customHeight="1" x14ac:dyDescent="0.3">
      <c r="A29" s="262">
        <v>21</v>
      </c>
      <c r="B29" s="266"/>
      <c r="C29" s="267"/>
      <c r="D29" s="976" t="s">
        <v>860</v>
      </c>
      <c r="E29" s="268"/>
      <c r="F29" s="269"/>
      <c r="G29" s="1392"/>
      <c r="H29" s="354"/>
      <c r="I29" s="342"/>
      <c r="J29" s="277"/>
      <c r="K29" s="278">
        <f t="shared" si="0"/>
        <v>0</v>
      </c>
      <c r="L29" s="270"/>
    </row>
    <row r="30" spans="1:12" ht="22.5" customHeight="1" x14ac:dyDescent="0.3">
      <c r="A30" s="262">
        <v>22</v>
      </c>
      <c r="B30" s="266"/>
      <c r="C30" s="267">
        <v>6</v>
      </c>
      <c r="D30" s="397" t="s">
        <v>536</v>
      </c>
      <c r="E30" s="268">
        <f>F30+G30+K32</f>
        <v>0</v>
      </c>
      <c r="F30" s="269"/>
      <c r="G30" s="1392"/>
      <c r="H30" s="354" t="s">
        <v>24</v>
      </c>
      <c r="I30" s="342"/>
      <c r="J30" s="277"/>
      <c r="K30" s="278"/>
      <c r="L30" s="270"/>
    </row>
    <row r="31" spans="1:12" ht="17.100000000000001" customHeight="1" x14ac:dyDescent="0.3">
      <c r="A31" s="262">
        <v>23</v>
      </c>
      <c r="B31" s="266"/>
      <c r="C31" s="267"/>
      <c r="D31" s="459" t="s">
        <v>268</v>
      </c>
      <c r="E31" s="268"/>
      <c r="F31" s="269"/>
      <c r="G31" s="1392"/>
      <c r="H31" s="354"/>
      <c r="I31" s="342"/>
      <c r="J31" s="459">
        <v>1500</v>
      </c>
      <c r="K31" s="459">
        <f t="shared" si="0"/>
        <v>1500</v>
      </c>
      <c r="L31" s="270"/>
    </row>
    <row r="32" spans="1:12" ht="17.100000000000001" customHeight="1" x14ac:dyDescent="0.3">
      <c r="A32" s="262">
        <v>24</v>
      </c>
      <c r="B32" s="266"/>
      <c r="C32" s="267"/>
      <c r="D32" s="224" t="s">
        <v>796</v>
      </c>
      <c r="E32" s="268"/>
      <c r="F32" s="269"/>
      <c r="G32" s="1392"/>
      <c r="H32" s="354"/>
      <c r="I32" s="342"/>
      <c r="J32" s="277">
        <v>0</v>
      </c>
      <c r="K32" s="278">
        <f t="shared" si="0"/>
        <v>0</v>
      </c>
      <c r="L32" s="270"/>
    </row>
    <row r="33" spans="1:12" ht="17.100000000000001" customHeight="1" x14ac:dyDescent="0.3">
      <c r="A33" s="262">
        <v>25</v>
      </c>
      <c r="B33" s="266"/>
      <c r="C33" s="267"/>
      <c r="D33" s="976" t="s">
        <v>861</v>
      </c>
      <c r="E33" s="268"/>
      <c r="F33" s="269"/>
      <c r="G33" s="1392"/>
      <c r="H33" s="354"/>
      <c r="I33" s="342"/>
      <c r="J33" s="1079"/>
      <c r="K33" s="278">
        <f t="shared" si="0"/>
        <v>0</v>
      </c>
      <c r="L33" s="270"/>
    </row>
    <row r="34" spans="1:12" ht="22.5" customHeight="1" x14ac:dyDescent="0.3">
      <c r="A34" s="262">
        <v>26</v>
      </c>
      <c r="B34" s="266"/>
      <c r="C34" s="267">
        <v>7</v>
      </c>
      <c r="D34" s="397" t="s">
        <v>537</v>
      </c>
      <c r="E34" s="268">
        <f>F34+G34+K36</f>
        <v>4500</v>
      </c>
      <c r="F34" s="269"/>
      <c r="G34" s="1392">
        <v>2500</v>
      </c>
      <c r="H34" s="354" t="s">
        <v>23</v>
      </c>
      <c r="I34" s="342"/>
      <c r="J34" s="277"/>
      <c r="K34" s="278"/>
      <c r="L34" s="270"/>
    </row>
    <row r="35" spans="1:12" ht="17.100000000000001" customHeight="1" x14ac:dyDescent="0.3">
      <c r="A35" s="262">
        <v>27</v>
      </c>
      <c r="B35" s="266"/>
      <c r="C35" s="267"/>
      <c r="D35" s="459" t="s">
        <v>268</v>
      </c>
      <c r="E35" s="268"/>
      <c r="F35" s="269"/>
      <c r="G35" s="1392"/>
      <c r="H35" s="354"/>
      <c r="I35" s="342"/>
      <c r="J35" s="459">
        <v>2000</v>
      </c>
      <c r="K35" s="459">
        <f t="shared" si="0"/>
        <v>2000</v>
      </c>
      <c r="L35" s="270"/>
    </row>
    <row r="36" spans="1:12" ht="17.100000000000001" customHeight="1" x14ac:dyDescent="0.3">
      <c r="A36" s="262">
        <v>28</v>
      </c>
      <c r="B36" s="266"/>
      <c r="C36" s="267"/>
      <c r="D36" s="224" t="s">
        <v>796</v>
      </c>
      <c r="E36" s="268"/>
      <c r="F36" s="269"/>
      <c r="G36" s="1392"/>
      <c r="H36" s="354"/>
      <c r="I36" s="342"/>
      <c r="J36" s="277">
        <v>2000</v>
      </c>
      <c r="K36" s="278">
        <f t="shared" si="0"/>
        <v>2000</v>
      </c>
      <c r="L36" s="270"/>
    </row>
    <row r="37" spans="1:12" ht="17.100000000000001" customHeight="1" x14ac:dyDescent="0.3">
      <c r="A37" s="262">
        <v>29</v>
      </c>
      <c r="B37" s="266"/>
      <c r="C37" s="267"/>
      <c r="D37" s="976" t="s">
        <v>860</v>
      </c>
      <c r="E37" s="268"/>
      <c r="F37" s="269"/>
      <c r="G37" s="1392"/>
      <c r="H37" s="354"/>
      <c r="I37" s="342"/>
      <c r="J37" s="277"/>
      <c r="K37" s="278">
        <f t="shared" si="0"/>
        <v>0</v>
      </c>
      <c r="L37" s="270"/>
    </row>
    <row r="38" spans="1:12" ht="22.5" customHeight="1" x14ac:dyDescent="0.3">
      <c r="A38" s="262">
        <v>30</v>
      </c>
      <c r="B38" s="266"/>
      <c r="C38" s="267">
        <v>8</v>
      </c>
      <c r="D38" s="968" t="s">
        <v>538</v>
      </c>
      <c r="E38" s="268">
        <f>F38+G38+K40</f>
        <v>1500</v>
      </c>
      <c r="F38" s="269"/>
      <c r="G38" s="1392">
        <v>1050</v>
      </c>
      <c r="H38" s="354" t="s">
        <v>24</v>
      </c>
      <c r="I38" s="342"/>
      <c r="J38" s="277"/>
      <c r="K38" s="278"/>
      <c r="L38" s="270"/>
    </row>
    <row r="39" spans="1:12" ht="17.100000000000001" customHeight="1" x14ac:dyDescent="0.3">
      <c r="A39" s="262">
        <v>31</v>
      </c>
      <c r="B39" s="266"/>
      <c r="C39" s="267"/>
      <c r="D39" s="459" t="s">
        <v>268</v>
      </c>
      <c r="E39" s="268"/>
      <c r="F39" s="269"/>
      <c r="G39" s="1392"/>
      <c r="H39" s="354"/>
      <c r="I39" s="342"/>
      <c r="J39" s="459">
        <v>450</v>
      </c>
      <c r="K39" s="459">
        <f t="shared" si="0"/>
        <v>450</v>
      </c>
      <c r="L39" s="270"/>
    </row>
    <row r="40" spans="1:12" ht="17.100000000000001" customHeight="1" x14ac:dyDescent="0.3">
      <c r="A40" s="262">
        <v>32</v>
      </c>
      <c r="B40" s="266"/>
      <c r="C40" s="267"/>
      <c r="D40" s="224" t="s">
        <v>796</v>
      </c>
      <c r="E40" s="268"/>
      <c r="F40" s="269"/>
      <c r="G40" s="1392"/>
      <c r="H40" s="354"/>
      <c r="I40" s="342"/>
      <c r="J40" s="277">
        <v>450</v>
      </c>
      <c r="K40" s="278">
        <f t="shared" si="0"/>
        <v>450</v>
      </c>
      <c r="L40" s="270"/>
    </row>
    <row r="41" spans="1:12" ht="17.100000000000001" customHeight="1" x14ac:dyDescent="0.3">
      <c r="A41" s="262">
        <v>33</v>
      </c>
      <c r="B41" s="266"/>
      <c r="C41" s="267"/>
      <c r="D41" s="976" t="s">
        <v>860</v>
      </c>
      <c r="E41" s="268"/>
      <c r="F41" s="269"/>
      <c r="G41" s="1392"/>
      <c r="H41" s="354"/>
      <c r="I41" s="342"/>
      <c r="J41" s="1079">
        <v>450</v>
      </c>
      <c r="K41" s="1321">
        <f t="shared" si="0"/>
        <v>450</v>
      </c>
      <c r="L41" s="270"/>
    </row>
    <row r="42" spans="1:12" ht="22.5" customHeight="1" x14ac:dyDescent="0.35">
      <c r="A42" s="262">
        <v>34</v>
      </c>
      <c r="B42" s="266"/>
      <c r="C42" s="267"/>
      <c r="D42" s="969" t="s">
        <v>539</v>
      </c>
      <c r="E42" s="268"/>
      <c r="F42" s="269"/>
      <c r="G42" s="1392"/>
      <c r="H42" s="354" t="s">
        <v>23</v>
      </c>
      <c r="I42" s="342"/>
      <c r="J42" s="277"/>
      <c r="K42" s="278"/>
      <c r="L42" s="270"/>
    </row>
    <row r="43" spans="1:12" ht="22.5" customHeight="1" x14ac:dyDescent="0.3">
      <c r="A43" s="262">
        <v>35</v>
      </c>
      <c r="B43" s="266"/>
      <c r="C43" s="267">
        <v>9</v>
      </c>
      <c r="D43" s="1162" t="s">
        <v>540</v>
      </c>
      <c r="E43" s="268">
        <f>F43+G43+K45</f>
        <v>11420</v>
      </c>
      <c r="F43" s="269"/>
      <c r="G43" s="1392"/>
      <c r="H43" s="354"/>
      <c r="I43" s="342"/>
      <c r="J43" s="277"/>
      <c r="K43" s="278"/>
      <c r="L43" s="270"/>
    </row>
    <row r="44" spans="1:12" ht="17.100000000000001" customHeight="1" x14ac:dyDescent="0.3">
      <c r="A44" s="262">
        <v>36</v>
      </c>
      <c r="B44" s="266"/>
      <c r="C44" s="267"/>
      <c r="D44" s="459" t="s">
        <v>268</v>
      </c>
      <c r="E44" s="268"/>
      <c r="F44" s="269"/>
      <c r="G44" s="1392"/>
      <c r="H44" s="354"/>
      <c r="I44" s="342"/>
      <c r="J44" s="459">
        <v>9000</v>
      </c>
      <c r="K44" s="459">
        <f t="shared" si="0"/>
        <v>9000</v>
      </c>
      <c r="L44" s="270"/>
    </row>
    <row r="45" spans="1:12" ht="17.100000000000001" customHeight="1" x14ac:dyDescent="0.3">
      <c r="A45" s="262">
        <v>37</v>
      </c>
      <c r="B45" s="266"/>
      <c r="C45" s="267"/>
      <c r="D45" s="224" t="s">
        <v>796</v>
      </c>
      <c r="E45" s="268"/>
      <c r="F45" s="269"/>
      <c r="G45" s="1392"/>
      <c r="H45" s="354"/>
      <c r="I45" s="342"/>
      <c r="J45" s="277">
        <v>11420</v>
      </c>
      <c r="K45" s="278">
        <f t="shared" si="0"/>
        <v>11420</v>
      </c>
      <c r="L45" s="270"/>
    </row>
    <row r="46" spans="1:12" ht="17.100000000000001" customHeight="1" x14ac:dyDescent="0.3">
      <c r="A46" s="262">
        <v>38</v>
      </c>
      <c r="B46" s="266"/>
      <c r="C46" s="267"/>
      <c r="D46" s="976" t="s">
        <v>861</v>
      </c>
      <c r="E46" s="268"/>
      <c r="F46" s="269"/>
      <c r="G46" s="1392"/>
      <c r="H46" s="354"/>
      <c r="I46" s="342"/>
      <c r="J46" s="1079"/>
      <c r="K46" s="278">
        <f t="shared" si="0"/>
        <v>0</v>
      </c>
      <c r="L46" s="270"/>
    </row>
    <row r="47" spans="1:12" ht="22.5" customHeight="1" x14ac:dyDescent="0.35">
      <c r="A47" s="262">
        <v>39</v>
      </c>
      <c r="B47" s="266"/>
      <c r="C47" s="267"/>
      <c r="D47" s="969" t="s">
        <v>236</v>
      </c>
      <c r="E47" s="268"/>
      <c r="F47" s="269"/>
      <c r="G47" s="1392"/>
      <c r="H47" s="354" t="s">
        <v>23</v>
      </c>
      <c r="I47" s="342"/>
      <c r="J47" s="277"/>
      <c r="K47" s="278"/>
      <c r="L47" s="270"/>
    </row>
    <row r="48" spans="1:12" ht="22.5" customHeight="1" x14ac:dyDescent="0.3">
      <c r="A48" s="262">
        <v>40</v>
      </c>
      <c r="B48" s="266"/>
      <c r="C48" s="267"/>
      <c r="D48" s="970" t="s">
        <v>323</v>
      </c>
      <c r="E48" s="268"/>
      <c r="F48" s="269"/>
      <c r="G48" s="1392"/>
      <c r="H48" s="354"/>
      <c r="I48" s="342"/>
      <c r="J48" s="277"/>
      <c r="K48" s="278"/>
      <c r="L48" s="270"/>
    </row>
    <row r="49" spans="1:12" ht="33" x14ac:dyDescent="0.3">
      <c r="A49" s="262">
        <v>41</v>
      </c>
      <c r="B49" s="266"/>
      <c r="C49" s="271">
        <v>10</v>
      </c>
      <c r="D49" s="1162" t="s">
        <v>541</v>
      </c>
      <c r="E49" s="268">
        <f>F49+G49+K51</f>
        <v>4500</v>
      </c>
      <c r="F49" s="269"/>
      <c r="G49" s="1392"/>
      <c r="H49" s="354"/>
      <c r="I49" s="342"/>
      <c r="J49" s="277"/>
      <c r="K49" s="278"/>
      <c r="L49" s="270"/>
    </row>
    <row r="50" spans="1:12" ht="17.100000000000001" customHeight="1" x14ac:dyDescent="0.3">
      <c r="A50" s="262">
        <v>42</v>
      </c>
      <c r="B50" s="266"/>
      <c r="C50" s="267"/>
      <c r="D50" s="459" t="s">
        <v>268</v>
      </c>
      <c r="E50" s="268"/>
      <c r="F50" s="269"/>
      <c r="G50" s="1392"/>
      <c r="H50" s="354"/>
      <c r="I50" s="342"/>
      <c r="J50" s="459">
        <v>4500</v>
      </c>
      <c r="K50" s="459">
        <f t="shared" si="0"/>
        <v>4500</v>
      </c>
      <c r="L50" s="270"/>
    </row>
    <row r="51" spans="1:12" ht="17.100000000000001" customHeight="1" x14ac:dyDescent="0.3">
      <c r="A51" s="262">
        <v>43</v>
      </c>
      <c r="B51" s="266"/>
      <c r="C51" s="267"/>
      <c r="D51" s="224" t="s">
        <v>796</v>
      </c>
      <c r="E51" s="268"/>
      <c r="F51" s="269"/>
      <c r="G51" s="1392"/>
      <c r="H51" s="354"/>
      <c r="I51" s="342"/>
      <c r="J51" s="277">
        <v>4500</v>
      </c>
      <c r="K51" s="278">
        <f t="shared" si="0"/>
        <v>4500</v>
      </c>
      <c r="L51" s="270"/>
    </row>
    <row r="52" spans="1:12" ht="17.100000000000001" customHeight="1" x14ac:dyDescent="0.3">
      <c r="A52" s="262">
        <v>44</v>
      </c>
      <c r="B52" s="266"/>
      <c r="C52" s="267"/>
      <c r="D52" s="976" t="s">
        <v>860</v>
      </c>
      <c r="E52" s="268"/>
      <c r="F52" s="269"/>
      <c r="G52" s="1392"/>
      <c r="H52" s="354"/>
      <c r="I52" s="342"/>
      <c r="J52" s="277"/>
      <c r="K52" s="278">
        <f t="shared" si="0"/>
        <v>0</v>
      </c>
      <c r="L52" s="270"/>
    </row>
    <row r="53" spans="1:12" ht="22.5" customHeight="1" x14ac:dyDescent="0.35">
      <c r="A53" s="262">
        <v>45</v>
      </c>
      <c r="B53" s="266"/>
      <c r="C53" s="267"/>
      <c r="D53" s="971" t="s">
        <v>271</v>
      </c>
      <c r="E53" s="268"/>
      <c r="F53" s="269"/>
      <c r="G53" s="1392"/>
      <c r="H53" s="354" t="s">
        <v>23</v>
      </c>
      <c r="I53" s="342"/>
      <c r="J53" s="277"/>
      <c r="K53" s="278"/>
      <c r="L53" s="270"/>
    </row>
    <row r="54" spans="1:12" ht="22.5" customHeight="1" x14ac:dyDescent="0.3">
      <c r="A54" s="262">
        <v>46</v>
      </c>
      <c r="B54" s="266"/>
      <c r="C54" s="267">
        <v>11</v>
      </c>
      <c r="D54" s="1162" t="s">
        <v>542</v>
      </c>
      <c r="E54" s="268">
        <f>F54+G54+K56</f>
        <v>2540</v>
      </c>
      <c r="F54" s="269"/>
      <c r="G54" s="1392"/>
      <c r="H54" s="354"/>
      <c r="I54" s="342"/>
      <c r="J54" s="277"/>
      <c r="K54" s="278"/>
      <c r="L54" s="270"/>
    </row>
    <row r="55" spans="1:12" ht="17.100000000000001" customHeight="1" x14ac:dyDescent="0.3">
      <c r="A55" s="262">
        <v>47</v>
      </c>
      <c r="B55" s="266"/>
      <c r="C55" s="267"/>
      <c r="D55" s="459" t="s">
        <v>268</v>
      </c>
      <c r="E55" s="268"/>
      <c r="F55" s="269"/>
      <c r="G55" s="1392"/>
      <c r="H55" s="354"/>
      <c r="I55" s="342"/>
      <c r="J55" s="459">
        <v>2540</v>
      </c>
      <c r="K55" s="459">
        <f t="shared" si="0"/>
        <v>2540</v>
      </c>
      <c r="L55" s="270"/>
    </row>
    <row r="56" spans="1:12" ht="17.100000000000001" customHeight="1" x14ac:dyDescent="0.3">
      <c r="A56" s="262">
        <v>48</v>
      </c>
      <c r="B56" s="266"/>
      <c r="C56" s="267"/>
      <c r="D56" s="224" t="s">
        <v>796</v>
      </c>
      <c r="E56" s="268"/>
      <c r="F56" s="269"/>
      <c r="G56" s="1392"/>
      <c r="H56" s="354"/>
      <c r="I56" s="342"/>
      <c r="J56" s="277">
        <v>2540</v>
      </c>
      <c r="K56" s="278">
        <f t="shared" si="0"/>
        <v>2540</v>
      </c>
      <c r="L56" s="270"/>
    </row>
    <row r="57" spans="1:12" ht="17.100000000000001" customHeight="1" x14ac:dyDescent="0.3">
      <c r="A57" s="262">
        <v>49</v>
      </c>
      <c r="B57" s="266"/>
      <c r="C57" s="267"/>
      <c r="D57" s="976" t="s">
        <v>860</v>
      </c>
      <c r="E57" s="268"/>
      <c r="F57" s="269"/>
      <c r="G57" s="1392"/>
      <c r="H57" s="354"/>
      <c r="I57" s="342"/>
      <c r="J57" s="1079">
        <v>2445</v>
      </c>
      <c r="K57" s="1321">
        <f t="shared" si="0"/>
        <v>2445</v>
      </c>
      <c r="L57" s="270"/>
    </row>
    <row r="58" spans="1:12" ht="22.5" customHeight="1" x14ac:dyDescent="0.3">
      <c r="A58" s="262">
        <v>50</v>
      </c>
      <c r="B58" s="266"/>
      <c r="C58" s="267"/>
      <c r="D58" s="1164" t="s">
        <v>543</v>
      </c>
      <c r="E58" s="268"/>
      <c r="F58" s="269"/>
      <c r="G58" s="1392"/>
      <c r="H58" s="354"/>
      <c r="I58" s="342"/>
      <c r="J58" s="277"/>
      <c r="K58" s="278"/>
      <c r="L58" s="270"/>
    </row>
    <row r="59" spans="1:12" ht="22.5" customHeight="1" x14ac:dyDescent="0.3">
      <c r="A59" s="262">
        <v>51</v>
      </c>
      <c r="B59" s="266"/>
      <c r="C59" s="267">
        <v>12</v>
      </c>
      <c r="D59" s="1162" t="s">
        <v>544</v>
      </c>
      <c r="E59" s="268">
        <f>F59+G59+K61</f>
        <v>1892</v>
      </c>
      <c r="F59" s="269"/>
      <c r="G59" s="1392">
        <v>1892</v>
      </c>
      <c r="H59" s="354"/>
      <c r="I59" s="342"/>
      <c r="J59" s="277"/>
      <c r="K59" s="278"/>
      <c r="L59" s="270"/>
    </row>
    <row r="60" spans="1:12" ht="17.100000000000001" customHeight="1" x14ac:dyDescent="0.3">
      <c r="A60" s="262">
        <v>52</v>
      </c>
      <c r="B60" s="266"/>
      <c r="C60" s="267"/>
      <c r="D60" s="459" t="s">
        <v>268</v>
      </c>
      <c r="E60" s="268"/>
      <c r="F60" s="269"/>
      <c r="G60" s="1392"/>
      <c r="H60" s="354"/>
      <c r="I60" s="342"/>
      <c r="J60" s="459">
        <v>1108</v>
      </c>
      <c r="K60" s="459">
        <f t="shared" si="0"/>
        <v>1108</v>
      </c>
      <c r="L60" s="270"/>
    </row>
    <row r="61" spans="1:12" ht="17.100000000000001" customHeight="1" x14ac:dyDescent="0.3">
      <c r="A61" s="262">
        <v>53</v>
      </c>
      <c r="B61" s="266"/>
      <c r="C61" s="267"/>
      <c r="D61" s="224" t="s">
        <v>796</v>
      </c>
      <c r="E61" s="268"/>
      <c r="F61" s="269"/>
      <c r="G61" s="1392"/>
      <c r="H61" s="354"/>
      <c r="I61" s="342"/>
      <c r="J61" s="277">
        <v>0</v>
      </c>
      <c r="K61" s="278">
        <f t="shared" si="0"/>
        <v>0</v>
      </c>
      <c r="L61" s="270"/>
    </row>
    <row r="62" spans="1:12" ht="17.100000000000001" customHeight="1" x14ac:dyDescent="0.3">
      <c r="A62" s="262">
        <v>54</v>
      </c>
      <c r="B62" s="266"/>
      <c r="C62" s="267"/>
      <c r="D62" s="976" t="s">
        <v>860</v>
      </c>
      <c r="E62" s="268"/>
      <c r="F62" s="269"/>
      <c r="G62" s="1392"/>
      <c r="H62" s="354"/>
      <c r="I62" s="342"/>
      <c r="J62" s="1079"/>
      <c r="K62" s="1321"/>
      <c r="L62" s="270"/>
    </row>
    <row r="63" spans="1:12" ht="22.5" customHeight="1" x14ac:dyDescent="0.3">
      <c r="A63" s="262">
        <v>55</v>
      </c>
      <c r="B63" s="266"/>
      <c r="C63" s="267">
        <v>13</v>
      </c>
      <c r="D63" s="1162" t="s">
        <v>786</v>
      </c>
      <c r="E63" s="268">
        <f>F63+G63+K64</f>
        <v>1108</v>
      </c>
      <c r="F63" s="269"/>
      <c r="G63" s="1392"/>
      <c r="H63" s="354"/>
      <c r="I63" s="342"/>
      <c r="J63" s="277"/>
      <c r="K63" s="278"/>
      <c r="L63" s="270"/>
    </row>
    <row r="64" spans="1:12" ht="17.100000000000001" customHeight="1" x14ac:dyDescent="0.3">
      <c r="A64" s="262">
        <v>56</v>
      </c>
      <c r="B64" s="266"/>
      <c r="C64" s="267"/>
      <c r="D64" s="224" t="s">
        <v>796</v>
      </c>
      <c r="E64" s="268"/>
      <c r="F64" s="269"/>
      <c r="G64" s="1392"/>
      <c r="H64" s="354"/>
      <c r="I64" s="342"/>
      <c r="J64" s="277">
        <v>1108</v>
      </c>
      <c r="K64" s="278">
        <v>1108</v>
      </c>
      <c r="L64" s="270"/>
    </row>
    <row r="65" spans="1:12" ht="17.100000000000001" customHeight="1" x14ac:dyDescent="0.3">
      <c r="A65" s="262">
        <v>57</v>
      </c>
      <c r="B65" s="266"/>
      <c r="C65" s="267"/>
      <c r="D65" s="976" t="s">
        <v>860</v>
      </c>
      <c r="E65" s="268"/>
      <c r="F65" s="269"/>
      <c r="G65" s="1392"/>
      <c r="H65" s="354"/>
      <c r="I65" s="342"/>
      <c r="J65" s="1079"/>
      <c r="K65" s="1321">
        <f t="shared" si="0"/>
        <v>0</v>
      </c>
      <c r="L65" s="270"/>
    </row>
    <row r="66" spans="1:12" ht="22.5" customHeight="1" x14ac:dyDescent="0.35">
      <c r="A66" s="262">
        <v>58</v>
      </c>
      <c r="B66" s="266"/>
      <c r="C66" s="267"/>
      <c r="D66" s="972" t="s">
        <v>545</v>
      </c>
      <c r="E66" s="268"/>
      <c r="F66" s="269"/>
      <c r="G66" s="1392"/>
      <c r="H66" s="354" t="s">
        <v>23</v>
      </c>
      <c r="I66" s="342"/>
      <c r="J66" s="277"/>
      <c r="K66" s="278"/>
      <c r="L66" s="270"/>
    </row>
    <row r="67" spans="1:12" ht="22.5" customHeight="1" x14ac:dyDescent="0.3">
      <c r="A67" s="262">
        <v>59</v>
      </c>
      <c r="B67" s="266"/>
      <c r="C67" s="267"/>
      <c r="D67" s="1163" t="s">
        <v>546</v>
      </c>
      <c r="E67" s="268"/>
      <c r="F67" s="269"/>
      <c r="G67" s="1392"/>
      <c r="H67" s="354"/>
      <c r="I67" s="342"/>
      <c r="J67" s="277"/>
      <c r="K67" s="278"/>
      <c r="L67" s="270"/>
    </row>
    <row r="68" spans="1:12" ht="22.5" customHeight="1" x14ac:dyDescent="0.3">
      <c r="A68" s="262">
        <v>60</v>
      </c>
      <c r="B68" s="266"/>
      <c r="C68" s="267">
        <v>14</v>
      </c>
      <c r="D68" s="1162" t="s">
        <v>547</v>
      </c>
      <c r="E68" s="268">
        <f>F68+G68+K70</f>
        <v>7800</v>
      </c>
      <c r="F68" s="269"/>
      <c r="G68" s="1392"/>
      <c r="H68" s="354"/>
      <c r="I68" s="342"/>
      <c r="J68" s="277"/>
      <c r="K68" s="278"/>
      <c r="L68" s="270"/>
    </row>
    <row r="69" spans="1:12" ht="17.100000000000001" customHeight="1" x14ac:dyDescent="0.3">
      <c r="A69" s="262">
        <v>61</v>
      </c>
      <c r="B69" s="266"/>
      <c r="C69" s="267"/>
      <c r="D69" s="459" t="s">
        <v>268</v>
      </c>
      <c r="E69" s="268"/>
      <c r="F69" s="269"/>
      <c r="G69" s="1392"/>
      <c r="H69" s="354"/>
      <c r="I69" s="342"/>
      <c r="J69" s="459">
        <v>7800</v>
      </c>
      <c r="K69" s="459">
        <f t="shared" si="0"/>
        <v>7800</v>
      </c>
      <c r="L69" s="270"/>
    </row>
    <row r="70" spans="1:12" ht="17.100000000000001" customHeight="1" x14ac:dyDescent="0.3">
      <c r="A70" s="262">
        <v>62</v>
      </c>
      <c r="B70" s="266"/>
      <c r="C70" s="267"/>
      <c r="D70" s="224" t="s">
        <v>796</v>
      </c>
      <c r="E70" s="268"/>
      <c r="F70" s="269"/>
      <c r="G70" s="1392"/>
      <c r="H70" s="354"/>
      <c r="I70" s="342"/>
      <c r="J70" s="277">
        <v>7800</v>
      </c>
      <c r="K70" s="278">
        <f t="shared" si="0"/>
        <v>7800</v>
      </c>
      <c r="L70" s="270"/>
    </row>
    <row r="71" spans="1:12" ht="17.100000000000001" customHeight="1" x14ac:dyDescent="0.3">
      <c r="A71" s="262">
        <v>63</v>
      </c>
      <c r="B71" s="266"/>
      <c r="C71" s="267"/>
      <c r="D71" s="976" t="s">
        <v>860</v>
      </c>
      <c r="E71" s="268"/>
      <c r="F71" s="269"/>
      <c r="G71" s="1392"/>
      <c r="H71" s="354"/>
      <c r="I71" s="342"/>
      <c r="J71" s="277"/>
      <c r="K71" s="278">
        <f t="shared" si="0"/>
        <v>0</v>
      </c>
      <c r="L71" s="270"/>
    </row>
    <row r="72" spans="1:12" ht="22.5" customHeight="1" x14ac:dyDescent="0.3">
      <c r="A72" s="262">
        <v>64</v>
      </c>
      <c r="B72" s="266"/>
      <c r="C72" s="267"/>
      <c r="D72" s="1163" t="s">
        <v>787</v>
      </c>
      <c r="E72" s="268"/>
      <c r="F72" s="269"/>
      <c r="G72" s="1392"/>
      <c r="H72" s="354"/>
      <c r="I72" s="342"/>
      <c r="J72" s="277"/>
      <c r="K72" s="278"/>
      <c r="L72" s="270"/>
    </row>
    <row r="73" spans="1:12" ht="22.5" customHeight="1" x14ac:dyDescent="0.3">
      <c r="A73" s="262">
        <v>65</v>
      </c>
      <c r="B73" s="266"/>
      <c r="C73" s="267">
        <v>15</v>
      </c>
      <c r="D73" s="1162" t="s">
        <v>786</v>
      </c>
      <c r="E73" s="268">
        <f>F73+G73+K74</f>
        <v>8000</v>
      </c>
      <c r="F73" s="269"/>
      <c r="G73" s="1392"/>
      <c r="H73" s="354"/>
      <c r="I73" s="342"/>
      <c r="J73" s="277"/>
      <c r="K73" s="278"/>
      <c r="L73" s="270"/>
    </row>
    <row r="74" spans="1:12" ht="17.100000000000001" customHeight="1" x14ac:dyDescent="0.3">
      <c r="A74" s="262">
        <v>66</v>
      </c>
      <c r="B74" s="266"/>
      <c r="C74" s="267"/>
      <c r="D74" s="224" t="s">
        <v>796</v>
      </c>
      <c r="E74" s="268"/>
      <c r="F74" s="269"/>
      <c r="G74" s="1392"/>
      <c r="H74" s="354"/>
      <c r="I74" s="342"/>
      <c r="J74" s="277">
        <v>8000</v>
      </c>
      <c r="K74" s="278">
        <f t="shared" si="0"/>
        <v>8000</v>
      </c>
      <c r="L74" s="270"/>
    </row>
    <row r="75" spans="1:12" ht="17.100000000000001" customHeight="1" x14ac:dyDescent="0.3">
      <c r="A75" s="262">
        <v>67</v>
      </c>
      <c r="B75" s="266"/>
      <c r="C75" s="267"/>
      <c r="D75" s="976" t="s">
        <v>860</v>
      </c>
      <c r="E75" s="268"/>
      <c r="F75" s="269"/>
      <c r="G75" s="1392"/>
      <c r="H75" s="354"/>
      <c r="I75" s="342"/>
      <c r="J75" s="1079"/>
      <c r="K75" s="1321">
        <f t="shared" si="0"/>
        <v>0</v>
      </c>
      <c r="L75" s="270"/>
    </row>
    <row r="76" spans="1:12" ht="22.5" customHeight="1" x14ac:dyDescent="0.3">
      <c r="A76" s="262">
        <v>68</v>
      </c>
      <c r="B76" s="266"/>
      <c r="C76" s="267"/>
      <c r="D76" s="1163" t="s">
        <v>548</v>
      </c>
      <c r="E76" s="268"/>
      <c r="F76" s="269"/>
      <c r="G76" s="1392"/>
      <c r="H76" s="354"/>
      <c r="I76" s="342"/>
      <c r="J76" s="277"/>
      <c r="K76" s="278"/>
      <c r="L76" s="270"/>
    </row>
    <row r="77" spans="1:12" ht="22.5" customHeight="1" x14ac:dyDescent="0.3">
      <c r="A77" s="262">
        <v>69</v>
      </c>
      <c r="B77" s="266"/>
      <c r="C77" s="267">
        <v>16</v>
      </c>
      <c r="D77" s="1162" t="s">
        <v>549</v>
      </c>
      <c r="E77" s="268">
        <f>F77+G77+K79</f>
        <v>4400</v>
      </c>
      <c r="F77" s="269"/>
      <c r="G77" s="1392"/>
      <c r="H77" s="354"/>
      <c r="I77" s="342"/>
      <c r="J77" s="277"/>
      <c r="K77" s="278"/>
      <c r="L77" s="270"/>
    </row>
    <row r="78" spans="1:12" ht="17.100000000000001" customHeight="1" x14ac:dyDescent="0.3">
      <c r="A78" s="262">
        <v>70</v>
      </c>
      <c r="B78" s="266"/>
      <c r="C78" s="267"/>
      <c r="D78" s="459" t="s">
        <v>268</v>
      </c>
      <c r="E78" s="268"/>
      <c r="F78" s="269"/>
      <c r="G78" s="1392"/>
      <c r="H78" s="354"/>
      <c r="I78" s="342"/>
      <c r="J78" s="459">
        <v>4400</v>
      </c>
      <c r="K78" s="459">
        <f t="shared" si="0"/>
        <v>4400</v>
      </c>
      <c r="L78" s="270"/>
    </row>
    <row r="79" spans="1:12" ht="17.100000000000001" customHeight="1" x14ac:dyDescent="0.3">
      <c r="A79" s="262">
        <v>71</v>
      </c>
      <c r="B79" s="266"/>
      <c r="C79" s="267"/>
      <c r="D79" s="224" t="s">
        <v>796</v>
      </c>
      <c r="E79" s="268"/>
      <c r="F79" s="269"/>
      <c r="G79" s="1392"/>
      <c r="H79" s="354"/>
      <c r="I79" s="342"/>
      <c r="J79" s="277">
        <v>4400</v>
      </c>
      <c r="K79" s="278">
        <f t="shared" si="0"/>
        <v>4400</v>
      </c>
      <c r="L79" s="270"/>
    </row>
    <row r="80" spans="1:12" ht="17.100000000000001" customHeight="1" x14ac:dyDescent="0.3">
      <c r="A80" s="262">
        <v>72</v>
      </c>
      <c r="B80" s="266"/>
      <c r="C80" s="267"/>
      <c r="D80" s="976" t="s">
        <v>860</v>
      </c>
      <c r="E80" s="268"/>
      <c r="F80" s="269"/>
      <c r="G80" s="1392"/>
      <c r="H80" s="354"/>
      <c r="I80" s="342"/>
      <c r="J80" s="277"/>
      <c r="K80" s="278">
        <f t="shared" si="0"/>
        <v>0</v>
      </c>
      <c r="L80" s="270"/>
    </row>
    <row r="81" spans="1:12" ht="22.5" customHeight="1" x14ac:dyDescent="0.3">
      <c r="A81" s="262">
        <v>73</v>
      </c>
      <c r="B81" s="266"/>
      <c r="C81" s="267"/>
      <c r="D81" s="1163" t="s">
        <v>550</v>
      </c>
      <c r="E81" s="268"/>
      <c r="F81" s="269"/>
      <c r="G81" s="1392"/>
      <c r="H81" s="354"/>
      <c r="I81" s="342"/>
      <c r="J81" s="277"/>
      <c r="K81" s="278"/>
      <c r="L81" s="270"/>
    </row>
    <row r="82" spans="1:12" ht="22.5" customHeight="1" x14ac:dyDescent="0.3">
      <c r="A82" s="262">
        <v>74</v>
      </c>
      <c r="B82" s="266"/>
      <c r="C82" s="267">
        <v>17</v>
      </c>
      <c r="D82" s="1162" t="s">
        <v>551</v>
      </c>
      <c r="E82" s="268">
        <f>F82+G82+K84</f>
        <v>800</v>
      </c>
      <c r="F82" s="269"/>
      <c r="G82" s="1392"/>
      <c r="H82" s="354"/>
      <c r="I82" s="342"/>
      <c r="J82" s="277"/>
      <c r="K82" s="278"/>
      <c r="L82" s="270"/>
    </row>
    <row r="83" spans="1:12" ht="17.100000000000001" customHeight="1" x14ac:dyDescent="0.3">
      <c r="A83" s="262">
        <v>75</v>
      </c>
      <c r="B83" s="266"/>
      <c r="C83" s="267"/>
      <c r="D83" s="459" t="s">
        <v>268</v>
      </c>
      <c r="E83" s="268"/>
      <c r="F83" s="269"/>
      <c r="G83" s="1392"/>
      <c r="H83" s="354"/>
      <c r="I83" s="342"/>
      <c r="J83" s="459">
        <v>800</v>
      </c>
      <c r="K83" s="459">
        <f t="shared" si="0"/>
        <v>800</v>
      </c>
      <c r="L83" s="270"/>
    </row>
    <row r="84" spans="1:12" ht="17.100000000000001" customHeight="1" x14ac:dyDescent="0.3">
      <c r="A84" s="262">
        <v>76</v>
      </c>
      <c r="B84" s="266"/>
      <c r="C84" s="267"/>
      <c r="D84" s="224" t="s">
        <v>796</v>
      </c>
      <c r="E84" s="268"/>
      <c r="F84" s="269"/>
      <c r="G84" s="1392"/>
      <c r="H84" s="354"/>
      <c r="I84" s="342"/>
      <c r="J84" s="277">
        <v>800</v>
      </c>
      <c r="K84" s="278">
        <f t="shared" si="0"/>
        <v>800</v>
      </c>
      <c r="L84" s="270"/>
    </row>
    <row r="85" spans="1:12" ht="17.100000000000001" customHeight="1" x14ac:dyDescent="0.3">
      <c r="A85" s="262">
        <v>77</v>
      </c>
      <c r="B85" s="266"/>
      <c r="C85" s="267"/>
      <c r="D85" s="976" t="s">
        <v>860</v>
      </c>
      <c r="E85" s="268"/>
      <c r="F85" s="269"/>
      <c r="G85" s="1392"/>
      <c r="H85" s="354"/>
      <c r="I85" s="342"/>
      <c r="J85" s="277"/>
      <c r="K85" s="278">
        <f t="shared" si="0"/>
        <v>0</v>
      </c>
      <c r="L85" s="270"/>
    </row>
    <row r="86" spans="1:12" ht="22.5" customHeight="1" x14ac:dyDescent="0.3">
      <c r="A86" s="262">
        <v>78</v>
      </c>
      <c r="B86" s="266"/>
      <c r="C86" s="267"/>
      <c r="D86" s="973" t="s">
        <v>325</v>
      </c>
      <c r="E86" s="268"/>
      <c r="F86" s="269"/>
      <c r="G86" s="1392"/>
      <c r="H86" s="354"/>
      <c r="I86" s="342"/>
      <c r="J86" s="277"/>
      <c r="K86" s="278"/>
      <c r="L86" s="270"/>
    </row>
    <row r="87" spans="1:12" ht="22.5" customHeight="1" x14ac:dyDescent="0.3">
      <c r="A87" s="262">
        <v>79</v>
      </c>
      <c r="B87" s="266"/>
      <c r="C87" s="267">
        <v>18</v>
      </c>
      <c r="D87" s="1162" t="s">
        <v>552</v>
      </c>
      <c r="E87" s="268">
        <f>F87+G87+K89</f>
        <v>5600</v>
      </c>
      <c r="F87" s="269"/>
      <c r="G87" s="1392"/>
      <c r="H87" s="354"/>
      <c r="I87" s="342"/>
      <c r="J87" s="277"/>
      <c r="K87" s="278"/>
      <c r="L87" s="270"/>
    </row>
    <row r="88" spans="1:12" ht="17.100000000000001" customHeight="1" x14ac:dyDescent="0.3">
      <c r="A88" s="262">
        <v>80</v>
      </c>
      <c r="B88" s="266"/>
      <c r="C88" s="267"/>
      <c r="D88" s="459" t="s">
        <v>268</v>
      </c>
      <c r="E88" s="268"/>
      <c r="F88" s="269"/>
      <c r="G88" s="1392"/>
      <c r="H88" s="354"/>
      <c r="I88" s="342"/>
      <c r="J88" s="459">
        <v>5600</v>
      </c>
      <c r="K88" s="459">
        <f t="shared" si="0"/>
        <v>5600</v>
      </c>
      <c r="L88" s="270"/>
    </row>
    <row r="89" spans="1:12" ht="17.100000000000001" customHeight="1" x14ac:dyDescent="0.3">
      <c r="A89" s="262">
        <v>81</v>
      </c>
      <c r="B89" s="266"/>
      <c r="C89" s="267"/>
      <c r="D89" s="224" t="s">
        <v>796</v>
      </c>
      <c r="E89" s="268"/>
      <c r="F89" s="269"/>
      <c r="G89" s="1392"/>
      <c r="H89" s="354"/>
      <c r="I89" s="342"/>
      <c r="J89" s="277">
        <v>5600</v>
      </c>
      <c r="K89" s="278">
        <f t="shared" si="0"/>
        <v>5600</v>
      </c>
      <c r="L89" s="270"/>
    </row>
    <row r="90" spans="1:12" ht="17.100000000000001" customHeight="1" x14ac:dyDescent="0.3">
      <c r="A90" s="262">
        <v>82</v>
      </c>
      <c r="B90" s="266"/>
      <c r="C90" s="267"/>
      <c r="D90" s="976" t="s">
        <v>860</v>
      </c>
      <c r="E90" s="268"/>
      <c r="F90" s="269"/>
      <c r="G90" s="1392"/>
      <c r="H90" s="354"/>
      <c r="I90" s="342"/>
      <c r="J90" s="277"/>
      <c r="K90" s="278">
        <f t="shared" si="0"/>
        <v>0</v>
      </c>
      <c r="L90" s="270"/>
    </row>
    <row r="91" spans="1:12" ht="22.5" customHeight="1" x14ac:dyDescent="0.3">
      <c r="A91" s="262">
        <v>83</v>
      </c>
      <c r="B91" s="266"/>
      <c r="C91" s="267"/>
      <c r="D91" s="973" t="s">
        <v>327</v>
      </c>
      <c r="E91" s="268"/>
      <c r="F91" s="269"/>
      <c r="G91" s="1392"/>
      <c r="H91" s="354"/>
      <c r="I91" s="342"/>
      <c r="J91" s="277"/>
      <c r="K91" s="278"/>
      <c r="L91" s="270"/>
    </row>
    <row r="92" spans="1:12" ht="22.5" customHeight="1" x14ac:dyDescent="0.3">
      <c r="A92" s="262">
        <v>84</v>
      </c>
      <c r="B92" s="266"/>
      <c r="C92" s="267">
        <v>19</v>
      </c>
      <c r="D92" s="1162" t="s">
        <v>553</v>
      </c>
      <c r="E92" s="268">
        <f>F92+G92+K94</f>
        <v>7580</v>
      </c>
      <c r="F92" s="269"/>
      <c r="G92" s="1392"/>
      <c r="H92" s="354"/>
      <c r="I92" s="342"/>
      <c r="J92" s="277"/>
      <c r="K92" s="278"/>
      <c r="L92" s="270"/>
    </row>
    <row r="93" spans="1:12" ht="17.100000000000001" customHeight="1" x14ac:dyDescent="0.3">
      <c r="A93" s="262">
        <v>85</v>
      </c>
      <c r="B93" s="266"/>
      <c r="C93" s="267"/>
      <c r="D93" s="459" t="s">
        <v>268</v>
      </c>
      <c r="E93" s="268"/>
      <c r="F93" s="269"/>
      <c r="G93" s="1392"/>
      <c r="H93" s="354"/>
      <c r="I93" s="342"/>
      <c r="J93" s="459">
        <v>10000</v>
      </c>
      <c r="K93" s="459">
        <f t="shared" si="0"/>
        <v>10000</v>
      </c>
      <c r="L93" s="270"/>
    </row>
    <row r="94" spans="1:12" ht="17.100000000000001" customHeight="1" x14ac:dyDescent="0.3">
      <c r="A94" s="262">
        <v>86</v>
      </c>
      <c r="B94" s="266"/>
      <c r="C94" s="267"/>
      <c r="D94" s="224" t="s">
        <v>796</v>
      </c>
      <c r="E94" s="268"/>
      <c r="F94" s="269"/>
      <c r="G94" s="1392"/>
      <c r="H94" s="354"/>
      <c r="I94" s="342"/>
      <c r="J94" s="277">
        <v>7580</v>
      </c>
      <c r="K94" s="278">
        <f t="shared" si="0"/>
        <v>7580</v>
      </c>
      <c r="L94" s="270"/>
    </row>
    <row r="95" spans="1:12" ht="17.100000000000001" customHeight="1" x14ac:dyDescent="0.3">
      <c r="A95" s="262">
        <v>87</v>
      </c>
      <c r="B95" s="266"/>
      <c r="C95" s="267"/>
      <c r="D95" s="976" t="s">
        <v>861</v>
      </c>
      <c r="E95" s="268"/>
      <c r="F95" s="269"/>
      <c r="G95" s="1392"/>
      <c r="H95" s="354"/>
      <c r="I95" s="342"/>
      <c r="J95" s="1079"/>
      <c r="K95" s="278">
        <f t="shared" si="0"/>
        <v>0</v>
      </c>
      <c r="L95" s="270"/>
    </row>
    <row r="96" spans="1:12" ht="22.5" customHeight="1" x14ac:dyDescent="0.35">
      <c r="A96" s="262">
        <v>88</v>
      </c>
      <c r="B96" s="266"/>
      <c r="C96" s="267"/>
      <c r="D96" s="972" t="s">
        <v>132</v>
      </c>
      <c r="E96" s="268"/>
      <c r="F96" s="269"/>
      <c r="G96" s="1392"/>
      <c r="H96" s="354" t="s">
        <v>24</v>
      </c>
      <c r="I96" s="342"/>
      <c r="J96" s="277"/>
      <c r="K96" s="278"/>
      <c r="L96" s="270"/>
    </row>
    <row r="97" spans="1:12" ht="22.5" customHeight="1" x14ac:dyDescent="0.3">
      <c r="A97" s="262">
        <v>89</v>
      </c>
      <c r="B97" s="266"/>
      <c r="C97" s="267">
        <v>20</v>
      </c>
      <c r="D97" s="1162" t="s">
        <v>554</v>
      </c>
      <c r="E97" s="268">
        <f>F97+G97+K99</f>
        <v>8100</v>
      </c>
      <c r="F97" s="269"/>
      <c r="G97" s="1392"/>
      <c r="H97" s="354"/>
      <c r="I97" s="342"/>
      <c r="J97" s="277"/>
      <c r="K97" s="278"/>
      <c r="L97" s="270"/>
    </row>
    <row r="98" spans="1:12" ht="17.100000000000001" customHeight="1" x14ac:dyDescent="0.3">
      <c r="A98" s="262">
        <v>90</v>
      </c>
      <c r="B98" s="266"/>
      <c r="C98" s="267"/>
      <c r="D98" s="459" t="s">
        <v>268</v>
      </c>
      <c r="E98" s="268"/>
      <c r="F98" s="269"/>
      <c r="G98" s="1392"/>
      <c r="H98" s="354"/>
      <c r="I98" s="342"/>
      <c r="J98" s="459">
        <v>8100</v>
      </c>
      <c r="K98" s="459">
        <f t="shared" si="0"/>
        <v>8100</v>
      </c>
      <c r="L98" s="270"/>
    </row>
    <row r="99" spans="1:12" ht="17.100000000000001" customHeight="1" x14ac:dyDescent="0.3">
      <c r="A99" s="262">
        <v>91</v>
      </c>
      <c r="B99" s="266"/>
      <c r="C99" s="267"/>
      <c r="D99" s="224" t="s">
        <v>796</v>
      </c>
      <c r="E99" s="268"/>
      <c r="F99" s="269"/>
      <c r="G99" s="1392"/>
      <c r="H99" s="354"/>
      <c r="I99" s="342"/>
      <c r="J99" s="277">
        <v>8100</v>
      </c>
      <c r="K99" s="278">
        <f t="shared" si="0"/>
        <v>8100</v>
      </c>
      <c r="L99" s="270"/>
    </row>
    <row r="100" spans="1:12" ht="17.100000000000001" customHeight="1" x14ac:dyDescent="0.3">
      <c r="A100" s="262">
        <v>92</v>
      </c>
      <c r="B100" s="266"/>
      <c r="C100" s="267"/>
      <c r="D100" s="976" t="s">
        <v>860</v>
      </c>
      <c r="E100" s="268"/>
      <c r="F100" s="269"/>
      <c r="G100" s="1392"/>
      <c r="H100" s="354"/>
      <c r="I100" s="342"/>
      <c r="J100" s="277"/>
      <c r="K100" s="278">
        <f t="shared" si="0"/>
        <v>0</v>
      </c>
      <c r="L100" s="270"/>
    </row>
    <row r="101" spans="1:12" ht="22.5" customHeight="1" x14ac:dyDescent="0.35">
      <c r="A101" s="262">
        <v>93</v>
      </c>
      <c r="B101" s="266"/>
      <c r="C101" s="267"/>
      <c r="D101" s="972" t="s">
        <v>345</v>
      </c>
      <c r="E101" s="268"/>
      <c r="F101" s="269"/>
      <c r="G101" s="1392"/>
      <c r="H101" s="354" t="s">
        <v>23</v>
      </c>
      <c r="I101" s="342"/>
      <c r="J101" s="277"/>
      <c r="K101" s="278"/>
      <c r="L101" s="270"/>
    </row>
    <row r="102" spans="1:12" ht="22.5" customHeight="1" x14ac:dyDescent="0.3">
      <c r="A102" s="262">
        <v>94</v>
      </c>
      <c r="B102" s="266"/>
      <c r="C102" s="267">
        <v>21</v>
      </c>
      <c r="D102" s="1162" t="s">
        <v>555</v>
      </c>
      <c r="E102" s="268">
        <f>F102+G102+K104</f>
        <v>15000</v>
      </c>
      <c r="F102" s="269"/>
      <c r="G102" s="1392"/>
      <c r="H102" s="354"/>
      <c r="I102" s="342"/>
      <c r="J102" s="277"/>
      <c r="K102" s="278"/>
      <c r="L102" s="270"/>
    </row>
    <row r="103" spans="1:12" ht="17.100000000000001" customHeight="1" x14ac:dyDescent="0.3">
      <c r="A103" s="262">
        <v>95</v>
      </c>
      <c r="B103" s="266"/>
      <c r="C103" s="267"/>
      <c r="D103" s="459" t="s">
        <v>268</v>
      </c>
      <c r="E103" s="268"/>
      <c r="F103" s="269"/>
      <c r="G103" s="1392"/>
      <c r="H103" s="354"/>
      <c r="I103" s="342"/>
      <c r="J103" s="459">
        <v>15000</v>
      </c>
      <c r="K103" s="459">
        <f t="shared" si="0"/>
        <v>15000</v>
      </c>
      <c r="L103" s="270"/>
    </row>
    <row r="104" spans="1:12" ht="17.100000000000001" customHeight="1" x14ac:dyDescent="0.3">
      <c r="A104" s="262">
        <v>96</v>
      </c>
      <c r="B104" s="266"/>
      <c r="C104" s="267"/>
      <c r="D104" s="224" t="s">
        <v>796</v>
      </c>
      <c r="E104" s="268"/>
      <c r="F104" s="269"/>
      <c r="G104" s="1392"/>
      <c r="H104" s="354"/>
      <c r="I104" s="342"/>
      <c r="J104" s="277">
        <v>15000</v>
      </c>
      <c r="K104" s="278">
        <f t="shared" si="0"/>
        <v>15000</v>
      </c>
      <c r="L104" s="270"/>
    </row>
    <row r="105" spans="1:12" ht="17.100000000000001" customHeight="1" x14ac:dyDescent="0.3">
      <c r="A105" s="262">
        <v>97</v>
      </c>
      <c r="B105" s="266"/>
      <c r="C105" s="267"/>
      <c r="D105" s="976" t="s">
        <v>860</v>
      </c>
      <c r="E105" s="268"/>
      <c r="F105" s="269"/>
      <c r="G105" s="1392"/>
      <c r="H105" s="354"/>
      <c r="I105" s="342"/>
      <c r="J105" s="1079">
        <v>5000</v>
      </c>
      <c r="K105" s="1321">
        <f t="shared" si="0"/>
        <v>5000</v>
      </c>
      <c r="L105" s="270"/>
    </row>
    <row r="106" spans="1:12" ht="22.5" customHeight="1" x14ac:dyDescent="0.35">
      <c r="A106" s="262">
        <v>98</v>
      </c>
      <c r="B106" s="266"/>
      <c r="C106" s="267"/>
      <c r="D106" s="974" t="s">
        <v>558</v>
      </c>
      <c r="E106" s="268"/>
      <c r="F106" s="269"/>
      <c r="G106" s="1392"/>
      <c r="H106" s="354" t="s">
        <v>23</v>
      </c>
      <c r="I106" s="342"/>
      <c r="J106" s="277"/>
      <c r="K106" s="278"/>
      <c r="L106" s="270"/>
    </row>
    <row r="107" spans="1:12" ht="22.5" customHeight="1" x14ac:dyDescent="0.3">
      <c r="A107" s="262">
        <v>99</v>
      </c>
      <c r="B107" s="266"/>
      <c r="C107" s="267"/>
      <c r="D107" s="973" t="s">
        <v>556</v>
      </c>
      <c r="E107" s="268"/>
      <c r="F107" s="269"/>
      <c r="G107" s="1392"/>
      <c r="H107" s="354"/>
      <c r="I107" s="342"/>
      <c r="J107" s="277"/>
      <c r="K107" s="278"/>
      <c r="L107" s="270"/>
    </row>
    <row r="108" spans="1:12" ht="33.75" customHeight="1" x14ac:dyDescent="0.3">
      <c r="A108" s="262">
        <v>100</v>
      </c>
      <c r="B108" s="266"/>
      <c r="C108" s="271">
        <v>22</v>
      </c>
      <c r="D108" s="1162" t="s">
        <v>557</v>
      </c>
      <c r="E108" s="268">
        <f>F108+G108+K110</f>
        <v>2400</v>
      </c>
      <c r="F108" s="269"/>
      <c r="G108" s="1392"/>
      <c r="H108" s="354"/>
      <c r="I108" s="342"/>
      <c r="J108" s="277"/>
      <c r="K108" s="278"/>
      <c r="L108" s="270"/>
    </row>
    <row r="109" spans="1:12" ht="17.100000000000001" customHeight="1" x14ac:dyDescent="0.3">
      <c r="A109" s="262">
        <v>101</v>
      </c>
      <c r="B109" s="266"/>
      <c r="C109" s="271"/>
      <c r="D109" s="459" t="s">
        <v>268</v>
      </c>
      <c r="E109" s="268"/>
      <c r="F109" s="269"/>
      <c r="G109" s="1392"/>
      <c r="H109" s="354"/>
      <c r="I109" s="342"/>
      <c r="J109" s="459">
        <v>2400</v>
      </c>
      <c r="K109" s="459">
        <f t="shared" si="0"/>
        <v>2400</v>
      </c>
      <c r="L109" s="270"/>
    </row>
    <row r="110" spans="1:12" ht="17.100000000000001" customHeight="1" x14ac:dyDescent="0.3">
      <c r="A110" s="262">
        <v>102</v>
      </c>
      <c r="B110" s="266"/>
      <c r="C110" s="271"/>
      <c r="D110" s="224" t="s">
        <v>796</v>
      </c>
      <c r="E110" s="268"/>
      <c r="F110" s="269"/>
      <c r="G110" s="1392"/>
      <c r="H110" s="354"/>
      <c r="I110" s="342"/>
      <c r="J110" s="277">
        <v>2400</v>
      </c>
      <c r="K110" s="278">
        <f t="shared" si="0"/>
        <v>2400</v>
      </c>
      <c r="L110" s="270"/>
    </row>
    <row r="111" spans="1:12" ht="17.100000000000001" customHeight="1" x14ac:dyDescent="0.3">
      <c r="A111" s="262">
        <v>103</v>
      </c>
      <c r="B111" s="266"/>
      <c r="C111" s="271"/>
      <c r="D111" s="976" t="s">
        <v>860</v>
      </c>
      <c r="E111" s="268"/>
      <c r="F111" s="269"/>
      <c r="G111" s="1392"/>
      <c r="H111" s="354"/>
      <c r="I111" s="342"/>
      <c r="J111" s="277"/>
      <c r="K111" s="278">
        <f t="shared" si="0"/>
        <v>0</v>
      </c>
      <c r="L111" s="270"/>
    </row>
    <row r="112" spans="1:12" ht="33" x14ac:dyDescent="0.3">
      <c r="A112" s="262">
        <v>104</v>
      </c>
      <c r="B112" s="266"/>
      <c r="C112" s="271">
        <v>23</v>
      </c>
      <c r="D112" s="1162" t="s">
        <v>559</v>
      </c>
      <c r="E112" s="268">
        <f>F112+G112+K114</f>
        <v>1250</v>
      </c>
      <c r="F112" s="269"/>
      <c r="G112" s="1392"/>
      <c r="H112" s="354"/>
      <c r="I112" s="342"/>
      <c r="J112" s="277"/>
      <c r="K112" s="278"/>
      <c r="L112" s="270"/>
    </row>
    <row r="113" spans="1:252" ht="17.100000000000001" customHeight="1" x14ac:dyDescent="0.3">
      <c r="A113" s="262">
        <v>105</v>
      </c>
      <c r="B113" s="1070"/>
      <c r="C113" s="271"/>
      <c r="D113" s="459" t="s">
        <v>268</v>
      </c>
      <c r="E113" s="268"/>
      <c r="F113" s="269"/>
      <c r="G113" s="1072"/>
      <c r="H113" s="354"/>
      <c r="I113" s="342"/>
      <c r="J113" s="459">
        <v>1250</v>
      </c>
      <c r="K113" s="459">
        <f t="shared" si="0"/>
        <v>1250</v>
      </c>
      <c r="L113" s="270"/>
    </row>
    <row r="114" spans="1:252" ht="17.100000000000001" customHeight="1" x14ac:dyDescent="0.3">
      <c r="A114" s="262">
        <v>106</v>
      </c>
      <c r="B114" s="1070"/>
      <c r="C114" s="271"/>
      <c r="D114" s="224" t="s">
        <v>796</v>
      </c>
      <c r="E114" s="268"/>
      <c r="F114" s="269"/>
      <c r="G114" s="1072"/>
      <c r="H114" s="354"/>
      <c r="I114" s="342"/>
      <c r="J114" s="277">
        <v>1250</v>
      </c>
      <c r="K114" s="278">
        <f t="shared" ref="K114:K115" si="1">SUM(I114:J114)</f>
        <v>1250</v>
      </c>
      <c r="L114" s="270"/>
    </row>
    <row r="115" spans="1:252" ht="17.100000000000001" customHeight="1" thickBot="1" x14ac:dyDescent="0.35">
      <c r="A115" s="262">
        <v>107</v>
      </c>
      <c r="B115" s="1070"/>
      <c r="C115" s="271"/>
      <c r="D115" s="976" t="s">
        <v>860</v>
      </c>
      <c r="E115" s="268"/>
      <c r="F115" s="269"/>
      <c r="G115" s="1072"/>
      <c r="H115" s="354"/>
      <c r="I115" s="342"/>
      <c r="J115" s="277"/>
      <c r="K115" s="278">
        <f t="shared" si="1"/>
        <v>0</v>
      </c>
      <c r="L115" s="270"/>
    </row>
    <row r="116" spans="1:252" ht="21.95" customHeight="1" thickBot="1" x14ac:dyDescent="0.35">
      <c r="A116" s="262">
        <v>108</v>
      </c>
      <c r="B116" s="1734" t="s">
        <v>13</v>
      </c>
      <c r="C116" s="1735"/>
      <c r="D116" s="1735"/>
      <c r="E116" s="1735"/>
      <c r="F116" s="1735"/>
      <c r="G116" s="1736"/>
      <c r="H116" s="347"/>
      <c r="I116" s="344"/>
      <c r="J116" s="344"/>
      <c r="K116" s="345"/>
      <c r="L116" s="346"/>
    </row>
    <row r="117" spans="1:252" ht="17.100000000000001" customHeight="1" x14ac:dyDescent="0.3">
      <c r="A117" s="262">
        <v>109</v>
      </c>
      <c r="B117" s="1082"/>
      <c r="C117" s="1073"/>
      <c r="D117" s="1737" t="s">
        <v>268</v>
      </c>
      <c r="E117" s="1738"/>
      <c r="F117" s="1738"/>
      <c r="G117" s="1739"/>
      <c r="H117" s="1075"/>
      <c r="I117" s="459">
        <f>I113+I109+I103+I98+I93+I88+I83+I78+I69+I60+I55+I50+I44+I39+I35+I31+I27+I23+I19+I15+I11</f>
        <v>0</v>
      </c>
      <c r="J117" s="459">
        <f>J113+J109+J103+J98+J93+J88+J83+J78+J69+J60+J55+J50+J44+J39+J35+J31+J27+J23+J19+J15+J11</f>
        <v>152701</v>
      </c>
      <c r="K117" s="1165">
        <f>SUM(I117:J117)</f>
        <v>152701</v>
      </c>
      <c r="L117" s="1083"/>
    </row>
    <row r="118" spans="1:252" ht="17.100000000000001" customHeight="1" x14ac:dyDescent="0.3">
      <c r="A118" s="262">
        <v>110</v>
      </c>
      <c r="B118" s="1084"/>
      <c r="C118" s="1074"/>
      <c r="D118" s="1725" t="s">
        <v>796</v>
      </c>
      <c r="E118" s="1726"/>
      <c r="F118" s="1726"/>
      <c r="G118" s="1727"/>
      <c r="H118" s="1076"/>
      <c r="I118" s="224">
        <f>I114+I110+I104+I99+I94+I89+I84+I79+I70+I61+I56+I51+I45+I40+I36+I32+I28+I24+I20+I16+I12+I74+I64</f>
        <v>0</v>
      </c>
      <c r="J118" s="224">
        <f>J114+J110+J104+J99+J94+J89+J84+J79+J70+J61+J56+J51+J45+J40+J36+J32+J28+J24+J20+J16+J12+J74+J64</f>
        <v>159201</v>
      </c>
      <c r="K118" s="1166">
        <f t="shared" ref="K118:K119" si="2">SUM(I118:J118)</f>
        <v>159201</v>
      </c>
      <c r="L118" s="1085"/>
    </row>
    <row r="119" spans="1:252" ht="17.100000000000001" customHeight="1" thickBot="1" x14ac:dyDescent="0.35">
      <c r="A119" s="262">
        <v>111</v>
      </c>
      <c r="B119" s="1086"/>
      <c r="C119" s="1087"/>
      <c r="D119" s="1731" t="s">
        <v>860</v>
      </c>
      <c r="E119" s="1732"/>
      <c r="F119" s="1732"/>
      <c r="G119" s="1733"/>
      <c r="H119" s="1088"/>
      <c r="I119" s="1441">
        <f>I115+I111+I105+I100+I95+I90+I85+I80+I71+I62+I57+I52+I46+I41+I37+I33+I29+I25+I21+I17+I13+I65+I75</f>
        <v>0</v>
      </c>
      <c r="J119" s="1441">
        <f>J115+J111+J105+J100+J95+J90+J85+J80+J71+J62+J57+J52+J46+J41+J37+J33+J29+J25+J21+J17+J13+J65+J75</f>
        <v>27580</v>
      </c>
      <c r="K119" s="1442">
        <f t="shared" si="2"/>
        <v>27580</v>
      </c>
      <c r="L119" s="1089"/>
    </row>
    <row r="120" spans="1:252" ht="18" customHeight="1" x14ac:dyDescent="0.3">
      <c r="B120" s="256" t="s">
        <v>27</v>
      </c>
      <c r="C120" s="256"/>
      <c r="D120" s="256"/>
      <c r="E120" s="257"/>
      <c r="F120" s="258"/>
      <c r="G120" s="257"/>
      <c r="H120" s="246"/>
      <c r="I120" s="257"/>
      <c r="J120" s="257"/>
      <c r="K120" s="257"/>
    </row>
    <row r="121" spans="1:252" ht="18" customHeight="1" x14ac:dyDescent="0.3">
      <c r="B121" s="256" t="s">
        <v>28</v>
      </c>
      <c r="C121" s="256"/>
      <c r="D121" s="256"/>
      <c r="E121" s="247"/>
      <c r="F121" s="258"/>
      <c r="G121" s="257"/>
      <c r="H121" s="246"/>
      <c r="I121" s="257"/>
      <c r="J121" s="257"/>
      <c r="K121" s="257"/>
    </row>
    <row r="122" spans="1:252" ht="18" customHeight="1" x14ac:dyDescent="0.3">
      <c r="B122" s="256" t="s">
        <v>29</v>
      </c>
      <c r="C122" s="256"/>
      <c r="D122" s="256"/>
      <c r="E122" s="247"/>
      <c r="F122" s="258"/>
      <c r="G122" s="257"/>
      <c r="H122" s="246"/>
      <c r="I122" s="257"/>
      <c r="J122" s="257"/>
      <c r="K122" s="257"/>
    </row>
    <row r="123" spans="1:252" s="248" customFormat="1" x14ac:dyDescent="0.3">
      <c r="A123" s="261"/>
      <c r="B123" s="250"/>
      <c r="C123" s="251"/>
      <c r="D123" s="252"/>
      <c r="G123" s="1167"/>
      <c r="H123" s="253"/>
      <c r="L123" s="25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  <c r="AA123" s="249"/>
      <c r="AB123" s="249"/>
      <c r="AC123" s="249"/>
      <c r="AD123" s="249"/>
      <c r="AE123" s="249"/>
      <c r="AF123" s="249"/>
      <c r="AG123" s="249"/>
      <c r="AH123" s="249"/>
      <c r="AI123" s="249"/>
      <c r="AJ123" s="249"/>
      <c r="AK123" s="249"/>
      <c r="AL123" s="249"/>
      <c r="AM123" s="249"/>
      <c r="AN123" s="249"/>
      <c r="AO123" s="249"/>
      <c r="AP123" s="249"/>
      <c r="AQ123" s="249"/>
      <c r="AR123" s="249"/>
      <c r="AS123" s="249"/>
      <c r="AT123" s="249"/>
      <c r="AU123" s="249"/>
      <c r="AV123" s="249"/>
      <c r="AW123" s="249"/>
      <c r="AX123" s="249"/>
      <c r="AY123" s="249"/>
      <c r="AZ123" s="249"/>
      <c r="BA123" s="249"/>
      <c r="BB123" s="249"/>
      <c r="BC123" s="249"/>
      <c r="BD123" s="249"/>
      <c r="BE123" s="249"/>
      <c r="BF123" s="249"/>
      <c r="BG123" s="249"/>
      <c r="BH123" s="249"/>
      <c r="BI123" s="249"/>
      <c r="BJ123" s="249"/>
      <c r="BK123" s="249"/>
      <c r="BL123" s="249"/>
      <c r="BM123" s="249"/>
      <c r="BN123" s="249"/>
      <c r="BO123" s="249"/>
      <c r="BP123" s="249"/>
      <c r="BQ123" s="249"/>
      <c r="BR123" s="249"/>
      <c r="BS123" s="249"/>
      <c r="BT123" s="249"/>
      <c r="BU123" s="249"/>
      <c r="BV123" s="249"/>
      <c r="BW123" s="249"/>
      <c r="BX123" s="249"/>
      <c r="BY123" s="249"/>
      <c r="BZ123" s="249"/>
      <c r="CA123" s="249"/>
      <c r="CB123" s="249"/>
      <c r="CC123" s="249"/>
      <c r="CD123" s="249"/>
      <c r="CE123" s="249"/>
      <c r="CF123" s="249"/>
      <c r="CG123" s="249"/>
      <c r="CH123" s="249"/>
      <c r="CI123" s="249"/>
      <c r="CJ123" s="249"/>
      <c r="CK123" s="249"/>
      <c r="CL123" s="249"/>
      <c r="CM123" s="249"/>
      <c r="CN123" s="249"/>
      <c r="CO123" s="249"/>
      <c r="CP123" s="249"/>
      <c r="CQ123" s="249"/>
      <c r="CR123" s="249"/>
      <c r="CS123" s="249"/>
      <c r="CT123" s="249"/>
      <c r="CU123" s="249"/>
      <c r="CV123" s="249"/>
      <c r="CW123" s="249"/>
      <c r="CX123" s="249"/>
      <c r="CY123" s="249"/>
      <c r="CZ123" s="249"/>
      <c r="DA123" s="249"/>
      <c r="DB123" s="249"/>
      <c r="DC123" s="249"/>
      <c r="DD123" s="249"/>
      <c r="DE123" s="249"/>
      <c r="DF123" s="249"/>
      <c r="DG123" s="249"/>
      <c r="DH123" s="249"/>
      <c r="DI123" s="249"/>
      <c r="DJ123" s="249"/>
      <c r="DK123" s="249"/>
      <c r="DL123" s="249"/>
      <c r="DM123" s="249"/>
      <c r="DN123" s="249"/>
      <c r="DO123" s="249"/>
      <c r="DP123" s="249"/>
      <c r="DQ123" s="249"/>
      <c r="DR123" s="249"/>
      <c r="DS123" s="249"/>
      <c r="DT123" s="249"/>
      <c r="DU123" s="249"/>
      <c r="DV123" s="249"/>
      <c r="DW123" s="249"/>
      <c r="DX123" s="249"/>
      <c r="DY123" s="249"/>
      <c r="DZ123" s="249"/>
      <c r="EA123" s="249"/>
      <c r="EB123" s="249"/>
      <c r="EC123" s="249"/>
      <c r="ED123" s="249"/>
      <c r="EE123" s="249"/>
      <c r="EF123" s="249"/>
      <c r="EG123" s="249"/>
      <c r="EH123" s="249"/>
      <c r="EI123" s="249"/>
      <c r="EJ123" s="249"/>
      <c r="EK123" s="249"/>
      <c r="EL123" s="249"/>
      <c r="EM123" s="249"/>
      <c r="EN123" s="249"/>
      <c r="EO123" s="249"/>
      <c r="EP123" s="249"/>
      <c r="EQ123" s="249"/>
      <c r="ER123" s="249"/>
      <c r="ES123" s="249"/>
      <c r="ET123" s="249"/>
      <c r="EU123" s="249"/>
      <c r="EV123" s="249"/>
      <c r="EW123" s="249"/>
      <c r="EX123" s="249"/>
      <c r="EY123" s="249"/>
      <c r="EZ123" s="249"/>
      <c r="FA123" s="249"/>
      <c r="FB123" s="249"/>
      <c r="FC123" s="249"/>
      <c r="FD123" s="249"/>
      <c r="FE123" s="249"/>
      <c r="FF123" s="249"/>
      <c r="FG123" s="249"/>
      <c r="FH123" s="249"/>
      <c r="FI123" s="249"/>
      <c r="FJ123" s="249"/>
      <c r="FK123" s="249"/>
      <c r="FL123" s="249"/>
      <c r="FM123" s="249"/>
      <c r="FN123" s="249"/>
      <c r="FO123" s="249"/>
      <c r="FP123" s="249"/>
      <c r="FQ123" s="249"/>
      <c r="FR123" s="249"/>
      <c r="FS123" s="249"/>
      <c r="FT123" s="249"/>
      <c r="FU123" s="249"/>
      <c r="FV123" s="249"/>
      <c r="FW123" s="249"/>
      <c r="FX123" s="249"/>
      <c r="FY123" s="249"/>
      <c r="FZ123" s="249"/>
      <c r="GA123" s="249"/>
      <c r="GB123" s="249"/>
      <c r="GC123" s="249"/>
      <c r="GD123" s="249"/>
      <c r="GE123" s="249"/>
      <c r="GF123" s="249"/>
      <c r="GG123" s="249"/>
      <c r="GH123" s="249"/>
      <c r="GI123" s="249"/>
      <c r="GJ123" s="249"/>
      <c r="GK123" s="249"/>
      <c r="GL123" s="249"/>
      <c r="GM123" s="249"/>
      <c r="GN123" s="249"/>
      <c r="GO123" s="249"/>
      <c r="GP123" s="249"/>
      <c r="GQ123" s="249"/>
      <c r="GR123" s="249"/>
      <c r="GS123" s="249"/>
      <c r="GT123" s="249"/>
      <c r="GU123" s="249"/>
      <c r="GV123" s="249"/>
      <c r="GW123" s="249"/>
      <c r="GX123" s="249"/>
      <c r="GY123" s="249"/>
      <c r="GZ123" s="249"/>
      <c r="HA123" s="249"/>
      <c r="HB123" s="249"/>
      <c r="HC123" s="249"/>
      <c r="HD123" s="249"/>
      <c r="HE123" s="249"/>
      <c r="HF123" s="249"/>
      <c r="HG123" s="249"/>
      <c r="HH123" s="249"/>
      <c r="HI123" s="249"/>
      <c r="HJ123" s="249"/>
      <c r="HK123" s="249"/>
      <c r="HL123" s="249"/>
      <c r="HM123" s="249"/>
      <c r="HN123" s="249"/>
      <c r="HO123" s="249"/>
      <c r="HP123" s="249"/>
      <c r="HQ123" s="249"/>
      <c r="HR123" s="249"/>
      <c r="HS123" s="249"/>
      <c r="HT123" s="249"/>
      <c r="HU123" s="249"/>
      <c r="HV123" s="249"/>
      <c r="HW123" s="249"/>
      <c r="HX123" s="249"/>
      <c r="HY123" s="249"/>
      <c r="HZ123" s="249"/>
      <c r="IA123" s="249"/>
      <c r="IB123" s="249"/>
      <c r="IC123" s="249"/>
      <c r="ID123" s="249"/>
      <c r="IE123" s="249"/>
      <c r="IF123" s="249"/>
      <c r="IG123" s="249"/>
      <c r="IH123" s="249"/>
      <c r="II123" s="249"/>
      <c r="IJ123" s="249"/>
      <c r="IK123" s="249"/>
      <c r="IL123" s="249"/>
      <c r="IM123" s="249"/>
      <c r="IN123" s="249"/>
      <c r="IO123" s="249"/>
      <c r="IP123" s="249"/>
      <c r="IQ123" s="249"/>
      <c r="IR123" s="249"/>
    </row>
  </sheetData>
  <mergeCells count="18">
    <mergeCell ref="L6:L8"/>
    <mergeCell ref="K7:K8"/>
    <mergeCell ref="D119:G119"/>
    <mergeCell ref="B1:F1"/>
    <mergeCell ref="I1:M1"/>
    <mergeCell ref="B116:G116"/>
    <mergeCell ref="D117:G117"/>
    <mergeCell ref="D118:G118"/>
    <mergeCell ref="B2:L2"/>
    <mergeCell ref="B3:L3"/>
    <mergeCell ref="B6:B8"/>
    <mergeCell ref="C6:C8"/>
    <mergeCell ref="D6:D8"/>
    <mergeCell ref="E6:E8"/>
    <mergeCell ref="F6:F8"/>
    <mergeCell ref="G6:G8"/>
    <mergeCell ref="I6:K6"/>
    <mergeCell ref="H6:H8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58" fitToHeight="0" orientation="portrait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96"/>
  <sheetViews>
    <sheetView view="pageBreakPreview" topLeftCell="F77" zoomScaleNormal="100" zoomScaleSheetLayoutView="100" workbookViewId="0">
      <selection activeCell="A3" sqref="A3:P3"/>
    </sheetView>
  </sheetViews>
  <sheetFormatPr defaultRowHeight="17.25" x14ac:dyDescent="0.35"/>
  <cols>
    <col min="1" max="1" width="4" style="280" bestFit="1" customWidth="1"/>
    <col min="2" max="3" width="5.7109375" style="318" customWidth="1"/>
    <col min="4" max="4" width="62.7109375" style="174" customWidth="1"/>
    <col min="5" max="5" width="12.7109375" style="317" customWidth="1"/>
    <col min="6" max="7" width="10.7109375" style="317" customWidth="1"/>
    <col min="8" max="8" width="6.7109375" style="282" customWidth="1"/>
    <col min="9" max="14" width="14.85546875" style="317" customWidth="1"/>
    <col min="15" max="15" width="15.7109375" style="302" customWidth="1"/>
    <col min="16" max="16" width="13.85546875" style="317" customWidth="1"/>
    <col min="17" max="16384" width="9.140625" style="174"/>
  </cols>
  <sheetData>
    <row r="1" spans="1:256" ht="18" customHeight="1" x14ac:dyDescent="0.3">
      <c r="A1" s="1406"/>
      <c r="B1" s="1585" t="s">
        <v>885</v>
      </c>
      <c r="C1" s="1585"/>
      <c r="D1" s="1585"/>
      <c r="E1" s="1585"/>
      <c r="F1" s="1585"/>
      <c r="G1" s="239"/>
      <c r="H1" s="281"/>
      <c r="I1" s="1740"/>
      <c r="J1" s="1740"/>
      <c r="K1" s="1740"/>
      <c r="L1" s="1740"/>
      <c r="M1" s="1740"/>
      <c r="N1" s="1740"/>
      <c r="O1" s="1740"/>
      <c r="P1" s="17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  <c r="ED1" s="240"/>
      <c r="EE1" s="240"/>
      <c r="EF1" s="240"/>
      <c r="EG1" s="240"/>
      <c r="EH1" s="240"/>
      <c r="EI1" s="240"/>
      <c r="EJ1" s="240"/>
      <c r="EK1" s="240"/>
      <c r="EL1" s="240"/>
      <c r="EM1" s="240"/>
      <c r="EN1" s="240"/>
      <c r="EO1" s="240"/>
      <c r="EP1" s="240"/>
      <c r="EQ1" s="240"/>
      <c r="ER1" s="240"/>
      <c r="ES1" s="240"/>
      <c r="ET1" s="240"/>
      <c r="EU1" s="240"/>
      <c r="EV1" s="240"/>
      <c r="EW1" s="240"/>
      <c r="EX1" s="240"/>
      <c r="EY1" s="240"/>
      <c r="EZ1" s="240"/>
      <c r="FA1" s="240"/>
      <c r="FB1" s="240"/>
      <c r="FC1" s="240"/>
      <c r="FD1" s="240"/>
      <c r="FE1" s="240"/>
      <c r="FF1" s="240"/>
      <c r="FG1" s="240"/>
      <c r="FH1" s="240"/>
      <c r="FI1" s="240"/>
      <c r="FJ1" s="240"/>
      <c r="FK1" s="240"/>
      <c r="FL1" s="240"/>
      <c r="FM1" s="240"/>
      <c r="FN1" s="240"/>
      <c r="FO1" s="240"/>
      <c r="FP1" s="240"/>
      <c r="FQ1" s="240"/>
      <c r="FR1" s="240"/>
      <c r="FS1" s="240"/>
      <c r="FT1" s="240"/>
      <c r="FU1" s="240"/>
      <c r="FV1" s="240"/>
      <c r="FW1" s="240"/>
      <c r="FX1" s="240"/>
      <c r="FY1" s="240"/>
      <c r="FZ1" s="240"/>
      <c r="GA1" s="240"/>
      <c r="GB1" s="240"/>
      <c r="GC1" s="240"/>
      <c r="GD1" s="240"/>
      <c r="GE1" s="240"/>
      <c r="GF1" s="240"/>
      <c r="GG1" s="240"/>
      <c r="GH1" s="240"/>
      <c r="GI1" s="240"/>
      <c r="GJ1" s="240"/>
      <c r="GK1" s="240"/>
      <c r="GL1" s="240"/>
      <c r="GM1" s="240"/>
      <c r="GN1" s="240"/>
      <c r="GO1" s="240"/>
      <c r="GP1" s="240"/>
      <c r="GQ1" s="240"/>
      <c r="GR1" s="240"/>
      <c r="GS1" s="240"/>
      <c r="GT1" s="240"/>
      <c r="GU1" s="240"/>
      <c r="GV1" s="240"/>
      <c r="GW1" s="240"/>
      <c r="GX1" s="240"/>
      <c r="GY1" s="240"/>
      <c r="GZ1" s="240"/>
      <c r="HA1" s="240"/>
      <c r="HB1" s="240"/>
      <c r="HC1" s="240"/>
      <c r="HD1" s="240"/>
      <c r="HE1" s="240"/>
      <c r="HF1" s="240"/>
      <c r="HG1" s="240"/>
      <c r="HH1" s="240"/>
      <c r="HI1" s="240"/>
      <c r="HJ1" s="240"/>
      <c r="HK1" s="240"/>
      <c r="HL1" s="240"/>
      <c r="HM1" s="240"/>
      <c r="HN1" s="240"/>
      <c r="HO1" s="240"/>
      <c r="HP1" s="240"/>
      <c r="HQ1" s="240"/>
      <c r="HR1" s="240"/>
      <c r="HS1" s="240"/>
      <c r="HT1" s="240"/>
      <c r="HU1" s="240"/>
      <c r="HV1" s="240"/>
      <c r="HW1" s="240"/>
      <c r="HX1" s="240"/>
      <c r="HY1" s="240"/>
      <c r="HZ1" s="240"/>
      <c r="IA1" s="240"/>
      <c r="IB1" s="240"/>
      <c r="IC1" s="240"/>
      <c r="ID1" s="240"/>
      <c r="IE1" s="240"/>
      <c r="IF1" s="240"/>
      <c r="IG1" s="240"/>
      <c r="IH1" s="240"/>
      <c r="II1" s="240"/>
      <c r="IJ1" s="240"/>
      <c r="IK1" s="240"/>
      <c r="IL1" s="240"/>
      <c r="IM1" s="240"/>
      <c r="IN1" s="240"/>
      <c r="IO1" s="240"/>
      <c r="IP1" s="240"/>
    </row>
    <row r="2" spans="1:256" ht="24.75" customHeight="1" x14ac:dyDescent="0.35">
      <c r="A2" s="1741" t="s">
        <v>14</v>
      </c>
      <c r="B2" s="1741"/>
      <c r="C2" s="1741"/>
      <c r="D2" s="1741"/>
      <c r="E2" s="1741"/>
      <c r="F2" s="1741"/>
      <c r="G2" s="1741"/>
      <c r="H2" s="1741"/>
      <c r="I2" s="1741"/>
      <c r="J2" s="1741"/>
      <c r="K2" s="1741"/>
      <c r="L2" s="1741"/>
      <c r="M2" s="1741"/>
      <c r="N2" s="1741"/>
      <c r="O2" s="1741"/>
      <c r="P2" s="1741"/>
    </row>
    <row r="3" spans="1:256" ht="24.75" customHeight="1" x14ac:dyDescent="0.35">
      <c r="A3" s="1785" t="s">
        <v>566</v>
      </c>
      <c r="B3" s="1785"/>
      <c r="C3" s="1785"/>
      <c r="D3" s="1785"/>
      <c r="E3" s="1785"/>
      <c r="F3" s="1785"/>
      <c r="G3" s="1785"/>
      <c r="H3" s="1785"/>
      <c r="I3" s="1785"/>
      <c r="J3" s="1785"/>
      <c r="K3" s="1785"/>
      <c r="L3" s="1785"/>
      <c r="M3" s="1785"/>
      <c r="N3" s="1785"/>
      <c r="O3" s="1785"/>
      <c r="P3" s="1785"/>
    </row>
    <row r="4" spans="1:256" s="249" customFormat="1" ht="18" customHeight="1" x14ac:dyDescent="0.3">
      <c r="A4" s="280"/>
      <c r="B4" s="280"/>
      <c r="C4" s="280"/>
      <c r="E4" s="248"/>
      <c r="F4" s="248"/>
      <c r="G4" s="248"/>
      <c r="H4" s="348"/>
      <c r="I4" s="248"/>
      <c r="J4" s="248"/>
      <c r="K4" s="248"/>
      <c r="L4" s="248"/>
      <c r="M4" s="248"/>
      <c r="N4" s="248"/>
      <c r="O4" s="349"/>
      <c r="P4" s="254" t="s">
        <v>0</v>
      </c>
    </row>
    <row r="5" spans="1:256" s="311" customFormat="1" ht="18" customHeight="1" thickBot="1" x14ac:dyDescent="0.35">
      <c r="A5" s="350"/>
      <c r="B5" s="351" t="s">
        <v>1</v>
      </c>
      <c r="C5" s="352" t="s">
        <v>3</v>
      </c>
      <c r="D5" s="352" t="s">
        <v>2</v>
      </c>
      <c r="E5" s="352" t="s">
        <v>4</v>
      </c>
      <c r="F5" s="352" t="s">
        <v>5</v>
      </c>
      <c r="G5" s="352" t="s">
        <v>15</v>
      </c>
      <c r="H5" s="352" t="s">
        <v>16</v>
      </c>
      <c r="I5" s="352" t="s">
        <v>17</v>
      </c>
      <c r="J5" s="352" t="s">
        <v>34</v>
      </c>
      <c r="K5" s="352" t="s">
        <v>30</v>
      </c>
      <c r="L5" s="352" t="s">
        <v>23</v>
      </c>
      <c r="M5" s="352" t="s">
        <v>35</v>
      </c>
      <c r="N5" s="352" t="s">
        <v>36</v>
      </c>
      <c r="O5" s="352" t="s">
        <v>135</v>
      </c>
      <c r="P5" s="352" t="s">
        <v>136</v>
      </c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0"/>
      <c r="CU5" s="350"/>
      <c r="CV5" s="350"/>
      <c r="CW5" s="350"/>
      <c r="CX5" s="350"/>
      <c r="CY5" s="350"/>
      <c r="CZ5" s="350"/>
      <c r="DA5" s="350"/>
      <c r="DB5" s="350"/>
      <c r="DC5" s="350"/>
      <c r="DD5" s="350"/>
      <c r="DE5" s="350"/>
      <c r="DF5" s="350"/>
      <c r="DG5" s="350"/>
      <c r="DH5" s="350"/>
      <c r="DI5" s="350"/>
      <c r="DJ5" s="350"/>
      <c r="DK5" s="350"/>
      <c r="DL5" s="350"/>
      <c r="DM5" s="350"/>
      <c r="DN5" s="350"/>
      <c r="DO5" s="350"/>
      <c r="DP5" s="350"/>
      <c r="DQ5" s="350"/>
      <c r="DR5" s="350"/>
      <c r="DS5" s="350"/>
      <c r="DT5" s="350"/>
      <c r="DU5" s="350"/>
      <c r="DV5" s="350"/>
      <c r="DW5" s="350"/>
      <c r="DX5" s="350"/>
      <c r="DY5" s="350"/>
      <c r="DZ5" s="350"/>
      <c r="EA5" s="350"/>
      <c r="EB5" s="350"/>
      <c r="EC5" s="350"/>
      <c r="ED5" s="350"/>
      <c r="EE5" s="350"/>
      <c r="EF5" s="350"/>
      <c r="EG5" s="350"/>
      <c r="EH5" s="350"/>
      <c r="EI5" s="350"/>
      <c r="EJ5" s="350"/>
      <c r="EK5" s="350"/>
      <c r="EL5" s="350"/>
      <c r="EM5" s="350"/>
      <c r="EN5" s="350"/>
      <c r="EO5" s="350"/>
      <c r="EP5" s="350"/>
      <c r="EQ5" s="350"/>
      <c r="ER5" s="350"/>
      <c r="ES5" s="350"/>
      <c r="ET5" s="350"/>
      <c r="EU5" s="350"/>
      <c r="EV5" s="350"/>
      <c r="EW5" s="350"/>
      <c r="EX5" s="350"/>
      <c r="EY5" s="350"/>
      <c r="EZ5" s="350"/>
      <c r="FA5" s="350"/>
      <c r="FB5" s="350"/>
      <c r="FC5" s="350"/>
      <c r="FD5" s="350"/>
      <c r="FE5" s="350"/>
      <c r="FF5" s="350"/>
      <c r="FG5" s="350"/>
      <c r="FH5" s="350"/>
      <c r="FI5" s="350"/>
      <c r="FJ5" s="350"/>
      <c r="FK5" s="350"/>
      <c r="FL5" s="350"/>
      <c r="FM5" s="350"/>
      <c r="FN5" s="350"/>
      <c r="FO5" s="350"/>
      <c r="FP5" s="350"/>
      <c r="FQ5" s="350"/>
      <c r="FR5" s="350"/>
      <c r="FS5" s="350"/>
      <c r="FT5" s="350"/>
      <c r="FU5" s="350"/>
      <c r="FV5" s="350"/>
      <c r="FW5" s="350"/>
      <c r="FX5" s="350"/>
      <c r="FY5" s="350"/>
      <c r="FZ5" s="350"/>
      <c r="GA5" s="350"/>
      <c r="GB5" s="350"/>
      <c r="GC5" s="350"/>
      <c r="GD5" s="350"/>
      <c r="GE5" s="350"/>
      <c r="GF5" s="350"/>
      <c r="GG5" s="350"/>
      <c r="GH5" s="350"/>
      <c r="GI5" s="350"/>
      <c r="GJ5" s="350"/>
      <c r="GK5" s="350"/>
      <c r="GL5" s="350"/>
      <c r="GM5" s="350"/>
      <c r="GN5" s="350"/>
      <c r="GO5" s="350"/>
      <c r="GP5" s="350"/>
      <c r="GQ5" s="350"/>
      <c r="GR5" s="350"/>
      <c r="GS5" s="350"/>
      <c r="GT5" s="350"/>
      <c r="GU5" s="350"/>
      <c r="GV5" s="350"/>
      <c r="GW5" s="350"/>
      <c r="GX5" s="350"/>
      <c r="GY5" s="350"/>
      <c r="GZ5" s="350"/>
      <c r="HA5" s="350"/>
      <c r="HB5" s="350"/>
      <c r="HC5" s="350"/>
      <c r="HD5" s="350"/>
      <c r="HE5" s="350"/>
      <c r="HF5" s="350"/>
      <c r="HG5" s="350"/>
      <c r="HH5" s="350"/>
      <c r="HI5" s="350"/>
      <c r="HJ5" s="350"/>
      <c r="HK5" s="350"/>
      <c r="HL5" s="350"/>
      <c r="HM5" s="350"/>
      <c r="HN5" s="350"/>
      <c r="HO5" s="350"/>
      <c r="HP5" s="350"/>
      <c r="HQ5" s="350"/>
      <c r="HR5" s="350"/>
      <c r="HS5" s="350"/>
      <c r="HT5" s="350"/>
      <c r="HU5" s="350"/>
      <c r="HV5" s="350"/>
      <c r="HW5" s="350"/>
      <c r="HX5" s="350"/>
      <c r="HY5" s="350"/>
      <c r="HZ5" s="350"/>
      <c r="IA5" s="350"/>
      <c r="IB5" s="350"/>
      <c r="IC5" s="350"/>
      <c r="ID5" s="350"/>
      <c r="IE5" s="350"/>
      <c r="IF5" s="350"/>
      <c r="IG5" s="350"/>
      <c r="IH5" s="350"/>
      <c r="II5" s="350"/>
      <c r="IJ5" s="350"/>
      <c r="IK5" s="350"/>
      <c r="IL5" s="350"/>
      <c r="IM5" s="350"/>
      <c r="IN5" s="350"/>
      <c r="IO5" s="350"/>
      <c r="IP5" s="350"/>
    </row>
    <row r="6" spans="1:256" ht="22.5" customHeight="1" x14ac:dyDescent="0.3">
      <c r="B6" s="1779" t="s">
        <v>18</v>
      </c>
      <c r="C6" s="1803" t="s">
        <v>19</v>
      </c>
      <c r="D6" s="1786" t="s">
        <v>6</v>
      </c>
      <c r="E6" s="1782" t="s">
        <v>378</v>
      </c>
      <c r="F6" s="1782" t="s">
        <v>567</v>
      </c>
      <c r="G6" s="1789" t="s">
        <v>706</v>
      </c>
      <c r="H6" s="1764" t="s">
        <v>20</v>
      </c>
      <c r="I6" s="1792" t="s">
        <v>518</v>
      </c>
      <c r="J6" s="1782"/>
      <c r="K6" s="1782"/>
      <c r="L6" s="1782"/>
      <c r="M6" s="1782"/>
      <c r="N6" s="1782"/>
      <c r="O6" s="1793"/>
      <c r="P6" s="1794" t="s">
        <v>522</v>
      </c>
      <c r="Q6" s="1775"/>
      <c r="R6" s="1775"/>
    </row>
    <row r="7" spans="1:256" ht="33" customHeight="1" x14ac:dyDescent="0.3">
      <c r="B7" s="1780"/>
      <c r="C7" s="1804"/>
      <c r="D7" s="1787"/>
      <c r="E7" s="1783"/>
      <c r="F7" s="1783"/>
      <c r="G7" s="1790"/>
      <c r="H7" s="1765"/>
      <c r="I7" s="1797" t="s">
        <v>380</v>
      </c>
      <c r="J7" s="1798"/>
      <c r="K7" s="1799"/>
      <c r="L7" s="1799"/>
      <c r="M7" s="1800" t="s">
        <v>138</v>
      </c>
      <c r="N7" s="1800"/>
      <c r="O7" s="1801" t="s">
        <v>110</v>
      </c>
      <c r="P7" s="1795"/>
    </row>
    <row r="8" spans="1:256" ht="53.25" customHeight="1" thickBot="1" x14ac:dyDescent="0.35">
      <c r="B8" s="1781"/>
      <c r="C8" s="1805"/>
      <c r="D8" s="1788"/>
      <c r="E8" s="1784"/>
      <c r="F8" s="1784"/>
      <c r="G8" s="1791"/>
      <c r="H8" s="1766"/>
      <c r="I8" s="368" t="s">
        <v>38</v>
      </c>
      <c r="J8" s="283" t="s">
        <v>375</v>
      </c>
      <c r="K8" s="284" t="s">
        <v>40</v>
      </c>
      <c r="L8" s="284" t="s">
        <v>377</v>
      </c>
      <c r="M8" s="283" t="s">
        <v>202</v>
      </c>
      <c r="N8" s="283" t="s">
        <v>139</v>
      </c>
      <c r="O8" s="1802"/>
      <c r="P8" s="1796"/>
    </row>
    <row r="9" spans="1:256" s="287" customFormat="1" ht="22.5" customHeight="1" x14ac:dyDescent="0.35">
      <c r="A9" s="301">
        <v>1</v>
      </c>
      <c r="B9" s="285">
        <v>18</v>
      </c>
      <c r="C9" s="297" t="s">
        <v>14</v>
      </c>
      <c r="D9" s="356"/>
      <c r="E9" s="181"/>
      <c r="F9" s="179"/>
      <c r="G9" s="180"/>
      <c r="H9" s="372"/>
      <c r="I9" s="385"/>
      <c r="J9" s="386"/>
      <c r="K9" s="386"/>
      <c r="L9" s="386"/>
      <c r="M9" s="386"/>
      <c r="N9" s="386"/>
      <c r="O9" s="387"/>
      <c r="P9" s="289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  <c r="FW9" s="174"/>
      <c r="FX9" s="174"/>
      <c r="FY9" s="174"/>
      <c r="FZ9" s="174"/>
      <c r="GA9" s="174"/>
      <c r="GB9" s="174"/>
      <c r="GC9" s="174"/>
      <c r="GD9" s="174"/>
      <c r="GE9" s="174"/>
      <c r="GF9" s="174"/>
      <c r="GG9" s="174"/>
      <c r="GH9" s="174"/>
      <c r="GI9" s="174"/>
      <c r="GJ9" s="174"/>
      <c r="GK9" s="174"/>
      <c r="GL9" s="174"/>
      <c r="GM9" s="174"/>
      <c r="GN9" s="174"/>
      <c r="GO9" s="174"/>
      <c r="GP9" s="174"/>
      <c r="GQ9" s="174"/>
      <c r="GR9" s="174"/>
      <c r="GS9" s="174"/>
      <c r="GT9" s="174"/>
      <c r="GU9" s="174"/>
      <c r="GV9" s="174"/>
      <c r="GW9" s="174"/>
      <c r="GX9" s="174"/>
      <c r="GY9" s="174"/>
      <c r="GZ9" s="174"/>
      <c r="HA9" s="174"/>
      <c r="HB9" s="174"/>
      <c r="HC9" s="174"/>
      <c r="HD9" s="174"/>
      <c r="HE9" s="174"/>
      <c r="HF9" s="174"/>
      <c r="HG9" s="174"/>
      <c r="HH9" s="174"/>
      <c r="HI9" s="174"/>
      <c r="HJ9" s="174"/>
      <c r="HK9" s="174"/>
      <c r="HL9" s="174"/>
      <c r="HM9" s="174"/>
      <c r="HN9" s="174"/>
      <c r="HO9" s="174"/>
      <c r="HP9" s="174"/>
      <c r="HQ9" s="174"/>
      <c r="HR9" s="174"/>
      <c r="HS9" s="174"/>
      <c r="HT9" s="174"/>
      <c r="HU9" s="174"/>
      <c r="HV9" s="174"/>
      <c r="HW9" s="174"/>
      <c r="HX9" s="174"/>
      <c r="HY9" s="174"/>
      <c r="HZ9" s="174"/>
      <c r="IA9" s="174"/>
      <c r="IB9" s="174"/>
      <c r="IC9" s="174"/>
      <c r="ID9" s="174"/>
      <c r="IE9" s="174"/>
      <c r="IF9" s="174"/>
      <c r="IG9" s="174"/>
      <c r="IH9" s="174"/>
      <c r="II9" s="174"/>
      <c r="IJ9" s="174"/>
      <c r="IK9" s="174"/>
      <c r="IL9" s="174"/>
      <c r="IM9" s="174"/>
      <c r="IN9" s="174"/>
      <c r="IO9" s="174"/>
      <c r="IP9" s="174"/>
      <c r="IQ9" s="174"/>
      <c r="IR9" s="174"/>
      <c r="IS9" s="174"/>
      <c r="IT9" s="174"/>
      <c r="IU9" s="174"/>
      <c r="IV9" s="174"/>
    </row>
    <row r="10" spans="1:256" s="287" customFormat="1" ht="38.25" customHeight="1" x14ac:dyDescent="0.35">
      <c r="A10" s="301">
        <v>2</v>
      </c>
      <c r="B10" s="295"/>
      <c r="C10" s="175">
        <v>1</v>
      </c>
      <c r="D10" s="1411" t="s">
        <v>568</v>
      </c>
      <c r="E10" s="183">
        <f>F10+G10+O12+P11</f>
        <v>10000</v>
      </c>
      <c r="F10" s="183"/>
      <c r="G10" s="184"/>
      <c r="H10" s="395" t="s">
        <v>24</v>
      </c>
      <c r="I10" s="591"/>
      <c r="J10" s="361"/>
      <c r="K10" s="361"/>
      <c r="L10" s="361"/>
      <c r="M10" s="361"/>
      <c r="N10" s="383"/>
      <c r="O10" s="390"/>
      <c r="P10" s="292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4"/>
      <c r="FL10" s="174"/>
      <c r="FM10" s="174"/>
      <c r="FN10" s="174"/>
      <c r="FO10" s="174"/>
      <c r="FP10" s="174"/>
      <c r="FQ10" s="174"/>
      <c r="FR10" s="174"/>
      <c r="FS10" s="174"/>
      <c r="FT10" s="174"/>
      <c r="FU10" s="174"/>
      <c r="FV10" s="174"/>
      <c r="FW10" s="174"/>
      <c r="FX10" s="174"/>
      <c r="FY10" s="174"/>
      <c r="FZ10" s="174"/>
      <c r="GA10" s="174"/>
      <c r="GB10" s="174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  <c r="GQ10" s="174"/>
      <c r="GR10" s="174"/>
      <c r="GS10" s="174"/>
      <c r="GT10" s="174"/>
      <c r="GU10" s="174"/>
      <c r="GV10" s="174"/>
      <c r="GW10" s="174"/>
      <c r="GX10" s="174"/>
      <c r="GY10" s="174"/>
      <c r="GZ10" s="174"/>
      <c r="HA10" s="174"/>
      <c r="HB10" s="174"/>
      <c r="HC10" s="174"/>
      <c r="HD10" s="174"/>
      <c r="HE10" s="174"/>
      <c r="HF10" s="174"/>
      <c r="HG10" s="174"/>
      <c r="HH10" s="174"/>
      <c r="HI10" s="174"/>
      <c r="HJ10" s="174"/>
      <c r="HK10" s="174"/>
      <c r="HL10" s="174"/>
      <c r="HM10" s="174"/>
      <c r="HN10" s="174"/>
      <c r="HO10" s="174"/>
      <c r="HP10" s="174"/>
      <c r="HQ10" s="174"/>
      <c r="HR10" s="174"/>
      <c r="HS10" s="174"/>
      <c r="HT10" s="174"/>
      <c r="HU10" s="174"/>
      <c r="HV10" s="174"/>
      <c r="HW10" s="174"/>
      <c r="HX10" s="174"/>
      <c r="HY10" s="174"/>
      <c r="HZ10" s="174"/>
      <c r="IA10" s="174"/>
      <c r="IB10" s="174"/>
      <c r="IC10" s="174"/>
      <c r="ID10" s="174"/>
      <c r="IE10" s="174"/>
      <c r="IF10" s="174"/>
      <c r="IG10" s="174"/>
      <c r="IH10" s="174"/>
      <c r="II10" s="174"/>
      <c r="IJ10" s="174"/>
      <c r="IK10" s="174"/>
      <c r="IL10" s="174"/>
      <c r="IM10" s="174"/>
      <c r="IN10" s="174"/>
      <c r="IO10" s="174"/>
      <c r="IP10" s="174"/>
      <c r="IQ10" s="174"/>
      <c r="IR10" s="174"/>
      <c r="IS10" s="174"/>
      <c r="IT10" s="174"/>
      <c r="IU10" s="174"/>
      <c r="IV10" s="174"/>
    </row>
    <row r="11" spans="1:256" ht="18" customHeight="1" x14ac:dyDescent="0.35">
      <c r="A11" s="301">
        <v>3</v>
      </c>
      <c r="B11" s="237"/>
      <c r="C11" s="191"/>
      <c r="D11" s="367" t="s">
        <v>268</v>
      </c>
      <c r="E11" s="183"/>
      <c r="F11" s="183"/>
      <c r="G11" s="184"/>
      <c r="H11" s="373"/>
      <c r="I11" s="591"/>
      <c r="J11" s="361"/>
      <c r="K11" s="361">
        <v>10000</v>
      </c>
      <c r="L11" s="361"/>
      <c r="M11" s="361"/>
      <c r="N11" s="383"/>
      <c r="O11" s="357">
        <f>SUM(I11:N11)</f>
        <v>10000</v>
      </c>
      <c r="P11" s="292"/>
    </row>
    <row r="12" spans="1:256" ht="18" customHeight="1" x14ac:dyDescent="0.35">
      <c r="A12" s="301">
        <v>4</v>
      </c>
      <c r="B12" s="237"/>
      <c r="C12" s="191"/>
      <c r="D12" s="224" t="s">
        <v>796</v>
      </c>
      <c r="E12" s="183"/>
      <c r="F12" s="183"/>
      <c r="G12" s="184"/>
      <c r="H12" s="373"/>
      <c r="I12" s="591"/>
      <c r="J12" s="361"/>
      <c r="K12" s="555">
        <v>10000</v>
      </c>
      <c r="L12" s="555"/>
      <c r="M12" s="555"/>
      <c r="N12" s="183"/>
      <c r="O12" s="296">
        <f t="shared" ref="O12:O13" si="0">SUM(I12:N12)</f>
        <v>10000</v>
      </c>
      <c r="P12" s="292"/>
    </row>
    <row r="13" spans="1:256" ht="18" customHeight="1" x14ac:dyDescent="0.35">
      <c r="A13" s="301">
        <v>5</v>
      </c>
      <c r="B13" s="237"/>
      <c r="C13" s="191"/>
      <c r="D13" s="976" t="s">
        <v>860</v>
      </c>
      <c r="E13" s="183"/>
      <c r="F13" s="183"/>
      <c r="G13" s="184"/>
      <c r="H13" s="373"/>
      <c r="I13" s="591"/>
      <c r="J13" s="361"/>
      <c r="K13" s="1190"/>
      <c r="L13" s="1190"/>
      <c r="M13" s="1190"/>
      <c r="N13" s="1190"/>
      <c r="O13" s="1192">
        <f t="shared" si="0"/>
        <v>0</v>
      </c>
      <c r="P13" s="292"/>
    </row>
    <row r="14" spans="1:256" ht="33" x14ac:dyDescent="0.35">
      <c r="A14" s="301">
        <v>6</v>
      </c>
      <c r="B14" s="237"/>
      <c r="C14" s="175">
        <v>2</v>
      </c>
      <c r="D14" s="603" t="s">
        <v>395</v>
      </c>
      <c r="E14" s="183">
        <f>F14+G14+O16+P15</f>
        <v>48382</v>
      </c>
      <c r="F14" s="183">
        <v>1956</v>
      </c>
      <c r="G14" s="184">
        <v>21991</v>
      </c>
      <c r="H14" s="373" t="s">
        <v>24</v>
      </c>
      <c r="I14" s="591"/>
      <c r="J14" s="361"/>
      <c r="K14" s="361"/>
      <c r="L14" s="361"/>
      <c r="M14" s="361"/>
      <c r="N14" s="383"/>
      <c r="O14" s="357"/>
      <c r="P14" s="292"/>
    </row>
    <row r="15" spans="1:256" ht="18" customHeight="1" x14ac:dyDescent="0.35">
      <c r="A15" s="301">
        <v>7</v>
      </c>
      <c r="B15" s="237"/>
      <c r="C15" s="191"/>
      <c r="D15" s="367" t="s">
        <v>268</v>
      </c>
      <c r="E15" s="183"/>
      <c r="F15" s="183"/>
      <c r="G15" s="184"/>
      <c r="H15" s="373"/>
      <c r="I15" s="591"/>
      <c r="J15" s="361"/>
      <c r="K15" s="361">
        <v>167</v>
      </c>
      <c r="L15" s="361"/>
      <c r="M15" s="361">
        <v>24268</v>
      </c>
      <c r="N15" s="383"/>
      <c r="O15" s="357">
        <f>SUM(I15:N15)</f>
        <v>24435</v>
      </c>
      <c r="P15" s="292"/>
    </row>
    <row r="16" spans="1:256" ht="18" customHeight="1" x14ac:dyDescent="0.35">
      <c r="A16" s="301">
        <v>8</v>
      </c>
      <c r="B16" s="237"/>
      <c r="C16" s="191"/>
      <c r="D16" s="224" t="s">
        <v>796</v>
      </c>
      <c r="E16" s="183"/>
      <c r="F16" s="183"/>
      <c r="G16" s="184"/>
      <c r="H16" s="373"/>
      <c r="I16" s="591"/>
      <c r="J16" s="361"/>
      <c r="K16" s="555">
        <v>167</v>
      </c>
      <c r="L16" s="555"/>
      <c r="M16" s="555">
        <v>24268</v>
      </c>
      <c r="N16" s="183"/>
      <c r="O16" s="296">
        <f t="shared" ref="O16:O17" si="1">SUM(I16:N16)</f>
        <v>24435</v>
      </c>
      <c r="P16" s="292"/>
    </row>
    <row r="17" spans="1:256" ht="18" customHeight="1" x14ac:dyDescent="0.35">
      <c r="A17" s="301">
        <v>9</v>
      </c>
      <c r="B17" s="237"/>
      <c r="C17" s="191"/>
      <c r="D17" s="976" t="s">
        <v>860</v>
      </c>
      <c r="E17" s="183"/>
      <c r="F17" s="183"/>
      <c r="G17" s="184"/>
      <c r="H17" s="373"/>
      <c r="I17" s="591"/>
      <c r="J17" s="361"/>
      <c r="K17" s="1190">
        <v>120</v>
      </c>
      <c r="L17" s="1190"/>
      <c r="M17" s="1190">
        <v>22446</v>
      </c>
      <c r="N17" s="1190"/>
      <c r="O17" s="1192">
        <f t="shared" si="1"/>
        <v>22566</v>
      </c>
      <c r="P17" s="292"/>
    </row>
    <row r="18" spans="1:256" s="287" customFormat="1" ht="54.75" customHeight="1" x14ac:dyDescent="0.35">
      <c r="A18" s="301">
        <v>10</v>
      </c>
      <c r="B18" s="295"/>
      <c r="C18" s="175">
        <v>3</v>
      </c>
      <c r="D18" s="355" t="s">
        <v>368</v>
      </c>
      <c r="E18" s="183">
        <f>F18+G18+O20+P19</f>
        <v>307836</v>
      </c>
      <c r="F18" s="291">
        <v>1972</v>
      </c>
      <c r="G18" s="184">
        <v>197815</v>
      </c>
      <c r="H18" s="395" t="s">
        <v>24</v>
      </c>
      <c r="I18" s="371"/>
      <c r="J18" s="364"/>
      <c r="K18" s="364"/>
      <c r="L18" s="364"/>
      <c r="M18" s="364"/>
      <c r="N18" s="384"/>
      <c r="O18" s="357"/>
      <c r="P18" s="292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  <c r="FK18" s="174"/>
      <c r="FL18" s="174"/>
      <c r="FM18" s="174"/>
      <c r="FN18" s="174"/>
      <c r="FO18" s="174"/>
      <c r="FP18" s="174"/>
      <c r="FQ18" s="174"/>
      <c r="FR18" s="174"/>
      <c r="FS18" s="174"/>
      <c r="FT18" s="174"/>
      <c r="FU18" s="174"/>
      <c r="FV18" s="174"/>
      <c r="FW18" s="174"/>
      <c r="FX18" s="174"/>
      <c r="FY18" s="174"/>
      <c r="FZ18" s="174"/>
      <c r="GA18" s="174"/>
      <c r="GB18" s="174"/>
      <c r="GC18" s="174"/>
      <c r="GD18" s="174"/>
      <c r="GE18" s="174"/>
      <c r="GF18" s="174"/>
      <c r="GG18" s="174"/>
      <c r="GH18" s="174"/>
      <c r="GI18" s="174"/>
      <c r="GJ18" s="174"/>
      <c r="GK18" s="174"/>
      <c r="GL18" s="174"/>
      <c r="GM18" s="174"/>
      <c r="GN18" s="174"/>
      <c r="GO18" s="174"/>
      <c r="GP18" s="174"/>
      <c r="GQ18" s="174"/>
      <c r="GR18" s="174"/>
      <c r="GS18" s="174"/>
      <c r="GT18" s="174"/>
      <c r="GU18" s="174"/>
      <c r="GV18" s="174"/>
      <c r="GW18" s="174"/>
      <c r="GX18" s="174"/>
      <c r="GY18" s="174"/>
      <c r="GZ18" s="174"/>
      <c r="HA18" s="174"/>
      <c r="HB18" s="174"/>
      <c r="HC18" s="174"/>
      <c r="HD18" s="174"/>
      <c r="HE18" s="174"/>
      <c r="HF18" s="174"/>
      <c r="HG18" s="174"/>
      <c r="HH18" s="174"/>
      <c r="HI18" s="174"/>
      <c r="HJ18" s="174"/>
      <c r="HK18" s="174"/>
      <c r="HL18" s="174"/>
      <c r="HM18" s="174"/>
      <c r="HN18" s="174"/>
      <c r="HO18" s="174"/>
      <c r="HP18" s="174"/>
      <c r="HQ18" s="174"/>
      <c r="HR18" s="174"/>
      <c r="HS18" s="174"/>
      <c r="HT18" s="174"/>
      <c r="HU18" s="174"/>
      <c r="HV18" s="174"/>
      <c r="HW18" s="174"/>
      <c r="HX18" s="174"/>
      <c r="HY18" s="174"/>
      <c r="HZ18" s="174"/>
      <c r="IA18" s="174"/>
      <c r="IB18" s="174"/>
      <c r="IC18" s="174"/>
      <c r="ID18" s="174"/>
      <c r="IE18" s="174"/>
      <c r="IF18" s="174"/>
      <c r="IG18" s="174"/>
      <c r="IH18" s="174"/>
      <c r="II18" s="174"/>
      <c r="IJ18" s="174"/>
      <c r="IK18" s="174"/>
      <c r="IL18" s="174"/>
      <c r="IM18" s="174"/>
      <c r="IN18" s="174"/>
      <c r="IO18" s="174"/>
      <c r="IP18" s="174"/>
      <c r="IQ18" s="174"/>
      <c r="IR18" s="174"/>
      <c r="IS18" s="174"/>
      <c r="IT18" s="174"/>
      <c r="IU18" s="174"/>
      <c r="IV18" s="174"/>
    </row>
    <row r="19" spans="1:256" ht="18" customHeight="1" x14ac:dyDescent="0.35">
      <c r="A19" s="301">
        <v>11</v>
      </c>
      <c r="B19" s="237"/>
      <c r="C19" s="191"/>
      <c r="D19" s="367" t="s">
        <v>268</v>
      </c>
      <c r="E19" s="183"/>
      <c r="F19" s="291"/>
      <c r="G19" s="184"/>
      <c r="H19" s="373"/>
      <c r="I19" s="371"/>
      <c r="J19" s="364"/>
      <c r="K19" s="364">
        <v>1548</v>
      </c>
      <c r="L19" s="364"/>
      <c r="M19" s="364">
        <v>106501</v>
      </c>
      <c r="N19" s="384"/>
      <c r="O19" s="357">
        <f>SUM(I19:N19)</f>
        <v>108049</v>
      </c>
      <c r="P19" s="292"/>
    </row>
    <row r="20" spans="1:256" ht="18" customHeight="1" x14ac:dyDescent="0.35">
      <c r="A20" s="301">
        <v>12</v>
      </c>
      <c r="B20" s="237"/>
      <c r="C20" s="191"/>
      <c r="D20" s="224" t="s">
        <v>796</v>
      </c>
      <c r="E20" s="183"/>
      <c r="F20" s="291"/>
      <c r="G20" s="184"/>
      <c r="H20" s="373"/>
      <c r="I20" s="371"/>
      <c r="J20" s="364"/>
      <c r="K20" s="632">
        <v>1548</v>
      </c>
      <c r="L20" s="632"/>
      <c r="M20" s="632">
        <v>106501</v>
      </c>
      <c r="N20" s="288"/>
      <c r="O20" s="296">
        <f t="shared" ref="O20:O21" si="2">SUM(I20:N20)</f>
        <v>108049</v>
      </c>
      <c r="P20" s="292"/>
    </row>
    <row r="21" spans="1:256" ht="18" customHeight="1" x14ac:dyDescent="0.35">
      <c r="A21" s="301">
        <v>13</v>
      </c>
      <c r="B21" s="237"/>
      <c r="C21" s="191"/>
      <c r="D21" s="976" t="s">
        <v>860</v>
      </c>
      <c r="E21" s="183"/>
      <c r="F21" s="291"/>
      <c r="G21" s="184"/>
      <c r="H21" s="373"/>
      <c r="I21" s="371"/>
      <c r="J21" s="364"/>
      <c r="K21" s="1194">
        <v>1397</v>
      </c>
      <c r="L21" s="1194"/>
      <c r="M21" s="1194">
        <v>55384</v>
      </c>
      <c r="N21" s="1194"/>
      <c r="O21" s="1192">
        <f t="shared" si="2"/>
        <v>56781</v>
      </c>
      <c r="P21" s="292"/>
    </row>
    <row r="22" spans="1:256" ht="22.5" customHeight="1" x14ac:dyDescent="0.35">
      <c r="A22" s="301">
        <v>14</v>
      </c>
      <c r="B22" s="237"/>
      <c r="C22" s="191">
        <v>4</v>
      </c>
      <c r="D22" s="947" t="s">
        <v>396</v>
      </c>
      <c r="E22" s="183">
        <f>F22+G22+O24+P23</f>
        <v>3449497</v>
      </c>
      <c r="F22" s="291">
        <v>2855863</v>
      </c>
      <c r="G22" s="184">
        <v>592544</v>
      </c>
      <c r="H22" s="373" t="s">
        <v>24</v>
      </c>
      <c r="I22" s="371"/>
      <c r="J22" s="364"/>
      <c r="K22" s="364"/>
      <c r="L22" s="364"/>
      <c r="M22" s="364"/>
      <c r="N22" s="384"/>
      <c r="O22" s="357"/>
      <c r="P22" s="292"/>
    </row>
    <row r="23" spans="1:256" s="287" customFormat="1" ht="18" customHeight="1" x14ac:dyDescent="0.35">
      <c r="A23" s="301">
        <v>15</v>
      </c>
      <c r="B23" s="295"/>
      <c r="C23" s="175"/>
      <c r="D23" s="367" t="s">
        <v>268</v>
      </c>
      <c r="E23" s="183"/>
      <c r="F23" s="291"/>
      <c r="G23" s="184"/>
      <c r="H23" s="373"/>
      <c r="I23" s="371"/>
      <c r="J23" s="364"/>
      <c r="K23" s="364">
        <v>1090</v>
      </c>
      <c r="L23" s="364"/>
      <c r="M23" s="364"/>
      <c r="N23" s="384"/>
      <c r="O23" s="357">
        <f>SUM(I23:N23)</f>
        <v>1090</v>
      </c>
      <c r="P23" s="292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4"/>
      <c r="GJ23" s="174"/>
      <c r="GK23" s="174"/>
      <c r="GL23" s="174"/>
      <c r="GM23" s="174"/>
      <c r="GN23" s="174"/>
      <c r="GO23" s="174"/>
      <c r="GP23" s="174"/>
      <c r="GQ23" s="174"/>
      <c r="GR23" s="174"/>
      <c r="GS23" s="174"/>
      <c r="GT23" s="174"/>
      <c r="GU23" s="174"/>
      <c r="GV23" s="174"/>
      <c r="GW23" s="174"/>
      <c r="GX23" s="174"/>
      <c r="GY23" s="174"/>
      <c r="GZ23" s="174"/>
      <c r="HA23" s="174"/>
      <c r="HB23" s="174"/>
      <c r="HC23" s="174"/>
      <c r="HD23" s="174"/>
      <c r="HE23" s="174"/>
      <c r="HF23" s="174"/>
      <c r="HG23" s="174"/>
      <c r="HH23" s="174"/>
      <c r="HI23" s="174"/>
      <c r="HJ23" s="174"/>
      <c r="HK23" s="174"/>
      <c r="HL23" s="174"/>
      <c r="HM23" s="174"/>
      <c r="HN23" s="174"/>
      <c r="HO23" s="174"/>
      <c r="HP23" s="174"/>
      <c r="HQ23" s="174"/>
      <c r="HR23" s="174"/>
      <c r="HS23" s="174"/>
      <c r="HT23" s="174"/>
      <c r="HU23" s="174"/>
      <c r="HV23" s="174"/>
      <c r="HW23" s="174"/>
      <c r="HX23" s="174"/>
      <c r="HY23" s="174"/>
      <c r="HZ23" s="174"/>
      <c r="IA23" s="174"/>
      <c r="IB23" s="174"/>
      <c r="IC23" s="174"/>
      <c r="ID23" s="174"/>
      <c r="IE23" s="174"/>
      <c r="IF23" s="174"/>
      <c r="IG23" s="174"/>
      <c r="IH23" s="174"/>
      <c r="II23" s="174"/>
      <c r="IJ23" s="174"/>
      <c r="IK23" s="174"/>
      <c r="IL23" s="174"/>
      <c r="IM23" s="174"/>
      <c r="IN23" s="174"/>
      <c r="IO23" s="174"/>
      <c r="IP23" s="174"/>
      <c r="IQ23" s="174"/>
      <c r="IR23" s="174"/>
      <c r="IS23" s="174"/>
      <c r="IT23" s="174"/>
      <c r="IU23" s="174"/>
      <c r="IV23" s="174"/>
    </row>
    <row r="24" spans="1:256" s="287" customFormat="1" ht="18" customHeight="1" x14ac:dyDescent="0.35">
      <c r="A24" s="301">
        <v>16</v>
      </c>
      <c r="B24" s="295"/>
      <c r="C24" s="175"/>
      <c r="D24" s="224" t="s">
        <v>796</v>
      </c>
      <c r="E24" s="183"/>
      <c r="F24" s="291"/>
      <c r="G24" s="184"/>
      <c r="H24" s="373"/>
      <c r="I24" s="371"/>
      <c r="J24" s="364"/>
      <c r="K24" s="632">
        <v>1090</v>
      </c>
      <c r="L24" s="632"/>
      <c r="M24" s="632"/>
      <c r="N24" s="288"/>
      <c r="O24" s="296">
        <f t="shared" ref="O24:O25" si="3">SUM(I24:N24)</f>
        <v>1090</v>
      </c>
      <c r="P24" s="292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4"/>
      <c r="FK24" s="174"/>
      <c r="FL24" s="174"/>
      <c r="FM24" s="174"/>
      <c r="FN24" s="174"/>
      <c r="FO24" s="174"/>
      <c r="FP24" s="174"/>
      <c r="FQ24" s="174"/>
      <c r="FR24" s="174"/>
      <c r="FS24" s="174"/>
      <c r="FT24" s="174"/>
      <c r="FU24" s="174"/>
      <c r="FV24" s="174"/>
      <c r="FW24" s="174"/>
      <c r="FX24" s="174"/>
      <c r="FY24" s="174"/>
      <c r="FZ24" s="174"/>
      <c r="GA24" s="174"/>
      <c r="GB24" s="174"/>
      <c r="GC24" s="174"/>
      <c r="GD24" s="174"/>
      <c r="GE24" s="174"/>
      <c r="GF24" s="174"/>
      <c r="GG24" s="174"/>
      <c r="GH24" s="174"/>
      <c r="GI24" s="174"/>
      <c r="GJ24" s="174"/>
      <c r="GK24" s="174"/>
      <c r="GL24" s="174"/>
      <c r="GM24" s="174"/>
      <c r="GN24" s="174"/>
      <c r="GO24" s="174"/>
      <c r="GP24" s="174"/>
      <c r="GQ24" s="174"/>
      <c r="GR24" s="174"/>
      <c r="GS24" s="174"/>
      <c r="GT24" s="174"/>
      <c r="GU24" s="174"/>
      <c r="GV24" s="174"/>
      <c r="GW24" s="174"/>
      <c r="GX24" s="174"/>
      <c r="GY24" s="174"/>
      <c r="GZ24" s="174"/>
      <c r="HA24" s="174"/>
      <c r="HB24" s="174"/>
      <c r="HC24" s="174"/>
      <c r="HD24" s="174"/>
      <c r="HE24" s="174"/>
      <c r="HF24" s="174"/>
      <c r="HG24" s="174"/>
      <c r="HH24" s="174"/>
      <c r="HI24" s="174"/>
      <c r="HJ24" s="174"/>
      <c r="HK24" s="174"/>
      <c r="HL24" s="174"/>
      <c r="HM24" s="174"/>
      <c r="HN24" s="174"/>
      <c r="HO24" s="174"/>
      <c r="HP24" s="174"/>
      <c r="HQ24" s="174"/>
      <c r="HR24" s="174"/>
      <c r="HS24" s="174"/>
      <c r="HT24" s="174"/>
      <c r="HU24" s="174"/>
      <c r="HV24" s="174"/>
      <c r="HW24" s="174"/>
      <c r="HX24" s="174"/>
      <c r="HY24" s="174"/>
      <c r="HZ24" s="174"/>
      <c r="IA24" s="174"/>
      <c r="IB24" s="174"/>
      <c r="IC24" s="174"/>
      <c r="ID24" s="174"/>
      <c r="IE24" s="174"/>
      <c r="IF24" s="174"/>
      <c r="IG24" s="174"/>
      <c r="IH24" s="174"/>
      <c r="II24" s="174"/>
      <c r="IJ24" s="174"/>
      <c r="IK24" s="174"/>
      <c r="IL24" s="174"/>
      <c r="IM24" s="174"/>
      <c r="IN24" s="174"/>
      <c r="IO24" s="174"/>
      <c r="IP24" s="174"/>
      <c r="IQ24" s="174"/>
      <c r="IR24" s="174"/>
      <c r="IS24" s="174"/>
      <c r="IT24" s="174"/>
      <c r="IU24" s="174"/>
      <c r="IV24" s="174"/>
    </row>
    <row r="25" spans="1:256" s="287" customFormat="1" ht="18" customHeight="1" x14ac:dyDescent="0.35">
      <c r="A25" s="301">
        <v>17</v>
      </c>
      <c r="B25" s="295"/>
      <c r="C25" s="175"/>
      <c r="D25" s="976" t="s">
        <v>860</v>
      </c>
      <c r="E25" s="183"/>
      <c r="F25" s="291"/>
      <c r="G25" s="184"/>
      <c r="H25" s="373"/>
      <c r="I25" s="371"/>
      <c r="J25" s="364"/>
      <c r="K25" s="1194">
        <v>760</v>
      </c>
      <c r="L25" s="1194"/>
      <c r="M25" s="1194"/>
      <c r="N25" s="1194"/>
      <c r="O25" s="1192">
        <f t="shared" si="3"/>
        <v>760</v>
      </c>
      <c r="P25" s="292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174"/>
      <c r="FK25" s="174"/>
      <c r="FL25" s="174"/>
      <c r="FM25" s="174"/>
      <c r="FN25" s="174"/>
      <c r="FO25" s="174"/>
      <c r="FP25" s="174"/>
      <c r="FQ25" s="174"/>
      <c r="FR25" s="174"/>
      <c r="FS25" s="174"/>
      <c r="FT25" s="174"/>
      <c r="FU25" s="174"/>
      <c r="FV25" s="174"/>
      <c r="FW25" s="174"/>
      <c r="FX25" s="174"/>
      <c r="FY25" s="174"/>
      <c r="FZ25" s="174"/>
      <c r="GA25" s="174"/>
      <c r="GB25" s="174"/>
      <c r="GC25" s="174"/>
      <c r="GD25" s="174"/>
      <c r="GE25" s="174"/>
      <c r="GF25" s="174"/>
      <c r="GG25" s="174"/>
      <c r="GH25" s="174"/>
      <c r="GI25" s="174"/>
      <c r="GJ25" s="174"/>
      <c r="GK25" s="174"/>
      <c r="GL25" s="174"/>
      <c r="GM25" s="174"/>
      <c r="GN25" s="174"/>
      <c r="GO25" s="174"/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  <c r="HJ25" s="174"/>
      <c r="HK25" s="174"/>
      <c r="HL25" s="174"/>
      <c r="HM25" s="174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  <c r="IB25" s="174"/>
      <c r="IC25" s="174"/>
      <c r="ID25" s="174"/>
      <c r="IE25" s="174"/>
      <c r="IF25" s="174"/>
      <c r="IG25" s="174"/>
      <c r="IH25" s="174"/>
      <c r="II25" s="174"/>
      <c r="IJ25" s="174"/>
      <c r="IK25" s="174"/>
      <c r="IL25" s="174"/>
      <c r="IM25" s="174"/>
      <c r="IN25" s="174"/>
      <c r="IO25" s="174"/>
      <c r="IP25" s="174"/>
      <c r="IQ25" s="174"/>
      <c r="IR25" s="174"/>
      <c r="IS25" s="174"/>
      <c r="IT25" s="174"/>
      <c r="IU25" s="174"/>
      <c r="IV25" s="174"/>
    </row>
    <row r="26" spans="1:256" ht="33" x14ac:dyDescent="0.35">
      <c r="A26" s="301">
        <v>18</v>
      </c>
      <c r="B26" s="237"/>
      <c r="C26" s="175">
        <v>5</v>
      </c>
      <c r="D26" s="177" t="s">
        <v>464</v>
      </c>
      <c r="E26" s="183">
        <f>F26+G26+O28+P27</f>
        <v>240183</v>
      </c>
      <c r="F26" s="291">
        <v>21281</v>
      </c>
      <c r="G26" s="184">
        <v>140243</v>
      </c>
      <c r="H26" s="373" t="s">
        <v>24</v>
      </c>
      <c r="I26" s="371"/>
      <c r="J26" s="364"/>
      <c r="K26" s="364"/>
      <c r="L26" s="364"/>
      <c r="M26" s="364"/>
      <c r="N26" s="384"/>
      <c r="O26" s="357"/>
      <c r="P26" s="292"/>
    </row>
    <row r="27" spans="1:256" s="287" customFormat="1" ht="18" customHeight="1" x14ac:dyDescent="0.35">
      <c r="A27" s="301">
        <v>19</v>
      </c>
      <c r="B27" s="295"/>
      <c r="C27" s="191"/>
      <c r="D27" s="367" t="s">
        <v>268</v>
      </c>
      <c r="E27" s="183"/>
      <c r="F27" s="291"/>
      <c r="G27" s="184"/>
      <c r="H27" s="373"/>
      <c r="I27" s="371"/>
      <c r="J27" s="364"/>
      <c r="K27" s="364"/>
      <c r="L27" s="364"/>
      <c r="M27" s="364">
        <v>78659</v>
      </c>
      <c r="N27" s="384"/>
      <c r="O27" s="357">
        <f>SUM(I27:N27)</f>
        <v>78659</v>
      </c>
      <c r="P27" s="292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4"/>
      <c r="FL27" s="174"/>
      <c r="FM27" s="174"/>
      <c r="FN27" s="174"/>
      <c r="FO27" s="174"/>
      <c r="FP27" s="174"/>
      <c r="FQ27" s="174"/>
      <c r="FR27" s="174"/>
      <c r="FS27" s="174"/>
      <c r="FT27" s="174"/>
      <c r="FU27" s="174"/>
      <c r="FV27" s="174"/>
      <c r="FW27" s="174"/>
      <c r="FX27" s="174"/>
      <c r="FY27" s="174"/>
      <c r="FZ27" s="174"/>
      <c r="GA27" s="174"/>
      <c r="GB27" s="174"/>
      <c r="GC27" s="174"/>
      <c r="GD27" s="174"/>
      <c r="GE27" s="174"/>
      <c r="GF27" s="174"/>
      <c r="GG27" s="174"/>
      <c r="GH27" s="174"/>
      <c r="GI27" s="174"/>
      <c r="GJ27" s="174"/>
      <c r="GK27" s="174"/>
      <c r="GL27" s="174"/>
      <c r="GM27" s="174"/>
      <c r="GN27" s="174"/>
      <c r="GO27" s="174"/>
      <c r="GP27" s="174"/>
      <c r="GQ27" s="174"/>
      <c r="GR27" s="174"/>
      <c r="GS27" s="174"/>
      <c r="GT27" s="174"/>
      <c r="GU27" s="174"/>
      <c r="GV27" s="174"/>
      <c r="GW27" s="174"/>
      <c r="GX27" s="174"/>
      <c r="GY27" s="174"/>
      <c r="GZ27" s="174"/>
      <c r="HA27" s="174"/>
      <c r="HB27" s="174"/>
      <c r="HC27" s="174"/>
      <c r="HD27" s="174"/>
      <c r="HE27" s="174"/>
      <c r="HF27" s="174"/>
      <c r="HG27" s="174"/>
      <c r="HH27" s="174"/>
      <c r="HI27" s="174"/>
      <c r="HJ27" s="174"/>
      <c r="HK27" s="174"/>
      <c r="HL27" s="174"/>
      <c r="HM27" s="174"/>
      <c r="HN27" s="174"/>
      <c r="HO27" s="174"/>
      <c r="HP27" s="174"/>
      <c r="HQ27" s="174"/>
      <c r="HR27" s="174"/>
      <c r="HS27" s="174"/>
      <c r="HT27" s="174"/>
      <c r="HU27" s="174"/>
      <c r="HV27" s="174"/>
      <c r="HW27" s="174"/>
      <c r="HX27" s="174"/>
      <c r="HY27" s="174"/>
      <c r="HZ27" s="174"/>
      <c r="IA27" s="174"/>
      <c r="IB27" s="174"/>
      <c r="IC27" s="174"/>
      <c r="ID27" s="174"/>
      <c r="IE27" s="174"/>
      <c r="IF27" s="174"/>
      <c r="IG27" s="174"/>
      <c r="IH27" s="174"/>
      <c r="II27" s="174"/>
      <c r="IJ27" s="174"/>
      <c r="IK27" s="174"/>
      <c r="IL27" s="174"/>
      <c r="IM27" s="174"/>
      <c r="IN27" s="174"/>
      <c r="IO27" s="174"/>
      <c r="IP27" s="174"/>
      <c r="IQ27" s="174"/>
      <c r="IR27" s="174"/>
      <c r="IS27" s="174"/>
      <c r="IT27" s="174"/>
      <c r="IU27" s="174"/>
      <c r="IV27" s="174"/>
    </row>
    <row r="28" spans="1:256" s="287" customFormat="1" ht="18" customHeight="1" x14ac:dyDescent="0.35">
      <c r="A28" s="301">
        <v>20</v>
      </c>
      <c r="B28" s="295"/>
      <c r="C28" s="191"/>
      <c r="D28" s="224" t="s">
        <v>796</v>
      </c>
      <c r="E28" s="183"/>
      <c r="F28" s="291"/>
      <c r="G28" s="184"/>
      <c r="H28" s="373"/>
      <c r="I28" s="371"/>
      <c r="J28" s="364"/>
      <c r="K28" s="632">
        <v>7400</v>
      </c>
      <c r="L28" s="364"/>
      <c r="M28" s="632">
        <v>71259</v>
      </c>
      <c r="N28" s="288"/>
      <c r="O28" s="296">
        <f t="shared" ref="O28:O29" si="4">SUM(I28:N28)</f>
        <v>78659</v>
      </c>
      <c r="P28" s="292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4"/>
      <c r="EK28" s="174"/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74"/>
      <c r="EX28" s="174"/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174"/>
      <c r="FK28" s="174"/>
      <c r="FL28" s="174"/>
      <c r="FM28" s="174"/>
      <c r="FN28" s="174"/>
      <c r="FO28" s="174"/>
      <c r="FP28" s="174"/>
      <c r="FQ28" s="174"/>
      <c r="FR28" s="174"/>
      <c r="FS28" s="174"/>
      <c r="FT28" s="174"/>
      <c r="FU28" s="174"/>
      <c r="FV28" s="174"/>
      <c r="FW28" s="174"/>
      <c r="FX28" s="174"/>
      <c r="FY28" s="174"/>
      <c r="FZ28" s="174"/>
      <c r="GA28" s="174"/>
      <c r="GB28" s="174"/>
      <c r="GC28" s="174"/>
      <c r="GD28" s="174"/>
      <c r="GE28" s="174"/>
      <c r="GF28" s="174"/>
      <c r="GG28" s="174"/>
      <c r="GH28" s="174"/>
      <c r="GI28" s="174"/>
      <c r="GJ28" s="174"/>
      <c r="GK28" s="174"/>
      <c r="GL28" s="174"/>
      <c r="GM28" s="174"/>
      <c r="GN28" s="174"/>
      <c r="GO28" s="174"/>
      <c r="GP28" s="174"/>
      <c r="GQ28" s="174"/>
      <c r="GR28" s="174"/>
      <c r="GS28" s="174"/>
      <c r="GT28" s="174"/>
      <c r="GU28" s="174"/>
      <c r="GV28" s="174"/>
      <c r="GW28" s="174"/>
      <c r="GX28" s="174"/>
      <c r="GY28" s="174"/>
      <c r="GZ28" s="174"/>
      <c r="HA28" s="174"/>
      <c r="HB28" s="174"/>
      <c r="HC28" s="174"/>
      <c r="HD28" s="174"/>
      <c r="HE28" s="174"/>
      <c r="HF28" s="174"/>
      <c r="HG28" s="174"/>
      <c r="HH28" s="174"/>
      <c r="HI28" s="174"/>
      <c r="HJ28" s="174"/>
      <c r="HK28" s="174"/>
      <c r="HL28" s="174"/>
      <c r="HM28" s="174"/>
      <c r="HN28" s="174"/>
      <c r="HO28" s="174"/>
      <c r="HP28" s="174"/>
      <c r="HQ28" s="174"/>
      <c r="HR28" s="174"/>
      <c r="HS28" s="174"/>
      <c r="HT28" s="174"/>
      <c r="HU28" s="174"/>
      <c r="HV28" s="174"/>
      <c r="HW28" s="174"/>
      <c r="HX28" s="174"/>
      <c r="HY28" s="174"/>
      <c r="HZ28" s="174"/>
      <c r="IA28" s="174"/>
      <c r="IB28" s="174"/>
      <c r="IC28" s="174"/>
      <c r="ID28" s="174"/>
      <c r="IE28" s="174"/>
      <c r="IF28" s="174"/>
      <c r="IG28" s="174"/>
      <c r="IH28" s="174"/>
      <c r="II28" s="174"/>
      <c r="IJ28" s="174"/>
      <c r="IK28" s="174"/>
      <c r="IL28" s="174"/>
      <c r="IM28" s="174"/>
      <c r="IN28" s="174"/>
      <c r="IO28" s="174"/>
      <c r="IP28" s="174"/>
      <c r="IQ28" s="174"/>
      <c r="IR28" s="174"/>
      <c r="IS28" s="174"/>
      <c r="IT28" s="174"/>
      <c r="IU28" s="174"/>
      <c r="IV28" s="174"/>
    </row>
    <row r="29" spans="1:256" s="287" customFormat="1" ht="18" customHeight="1" x14ac:dyDescent="0.35">
      <c r="A29" s="301">
        <v>21</v>
      </c>
      <c r="B29" s="295"/>
      <c r="C29" s="191"/>
      <c r="D29" s="976" t="s">
        <v>861</v>
      </c>
      <c r="E29" s="183"/>
      <c r="F29" s="291"/>
      <c r="G29" s="184"/>
      <c r="H29" s="373"/>
      <c r="I29" s="1195"/>
      <c r="J29" s="1196"/>
      <c r="K29" s="1194">
        <v>15</v>
      </c>
      <c r="L29" s="1196"/>
      <c r="M29" s="1194"/>
      <c r="N29" s="1194"/>
      <c r="O29" s="1192">
        <f t="shared" si="4"/>
        <v>15</v>
      </c>
      <c r="P29" s="292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4"/>
      <c r="FK29" s="174"/>
      <c r="FL29" s="174"/>
      <c r="FM29" s="174"/>
      <c r="FN29" s="174"/>
      <c r="FO29" s="174"/>
      <c r="FP29" s="174"/>
      <c r="FQ29" s="174"/>
      <c r="FR29" s="174"/>
      <c r="FS29" s="174"/>
      <c r="FT29" s="174"/>
      <c r="FU29" s="174"/>
      <c r="FV29" s="174"/>
      <c r="FW29" s="174"/>
      <c r="FX29" s="174"/>
      <c r="FY29" s="174"/>
      <c r="FZ29" s="174"/>
      <c r="GA29" s="174"/>
      <c r="GB29" s="174"/>
      <c r="GC29" s="174"/>
      <c r="GD29" s="174"/>
      <c r="GE29" s="174"/>
      <c r="GF29" s="174"/>
      <c r="GG29" s="174"/>
      <c r="GH29" s="174"/>
      <c r="GI29" s="174"/>
      <c r="GJ29" s="174"/>
      <c r="GK29" s="174"/>
      <c r="GL29" s="174"/>
      <c r="GM29" s="174"/>
      <c r="GN29" s="174"/>
      <c r="GO29" s="174"/>
      <c r="GP29" s="174"/>
      <c r="GQ29" s="174"/>
      <c r="GR29" s="174"/>
      <c r="GS29" s="174"/>
      <c r="GT29" s="174"/>
      <c r="GU29" s="174"/>
      <c r="GV29" s="174"/>
      <c r="GW29" s="174"/>
      <c r="GX29" s="174"/>
      <c r="GY29" s="174"/>
      <c r="GZ29" s="174"/>
      <c r="HA29" s="174"/>
      <c r="HB29" s="174"/>
      <c r="HC29" s="174"/>
      <c r="HD29" s="174"/>
      <c r="HE29" s="174"/>
      <c r="HF29" s="174"/>
      <c r="HG29" s="174"/>
      <c r="HH29" s="174"/>
      <c r="HI29" s="174"/>
      <c r="HJ29" s="174"/>
      <c r="HK29" s="174"/>
      <c r="HL29" s="174"/>
      <c r="HM29" s="174"/>
      <c r="HN29" s="174"/>
      <c r="HO29" s="174"/>
      <c r="HP29" s="174"/>
      <c r="HQ29" s="174"/>
      <c r="HR29" s="174"/>
      <c r="HS29" s="174"/>
      <c r="HT29" s="174"/>
      <c r="HU29" s="174"/>
      <c r="HV29" s="174"/>
      <c r="HW29" s="174"/>
      <c r="HX29" s="174"/>
      <c r="HY29" s="174"/>
      <c r="HZ29" s="174"/>
      <c r="IA29" s="174"/>
      <c r="IB29" s="174"/>
      <c r="IC29" s="174"/>
      <c r="ID29" s="174"/>
      <c r="IE29" s="174"/>
      <c r="IF29" s="174"/>
      <c r="IG29" s="174"/>
      <c r="IH29" s="174"/>
      <c r="II29" s="174"/>
      <c r="IJ29" s="174"/>
      <c r="IK29" s="174"/>
      <c r="IL29" s="174"/>
      <c r="IM29" s="174"/>
      <c r="IN29" s="174"/>
      <c r="IO29" s="174"/>
      <c r="IP29" s="174"/>
      <c r="IQ29" s="174"/>
      <c r="IR29" s="174"/>
      <c r="IS29" s="174"/>
      <c r="IT29" s="174"/>
      <c r="IU29" s="174"/>
      <c r="IV29" s="174"/>
    </row>
    <row r="30" spans="1:256" ht="33" x14ac:dyDescent="0.35">
      <c r="A30" s="301">
        <v>22</v>
      </c>
      <c r="B30" s="237"/>
      <c r="C30" s="175">
        <v>6</v>
      </c>
      <c r="D30" s="177" t="s">
        <v>397</v>
      </c>
      <c r="E30" s="183">
        <f>F30+G30+O32+P31</f>
        <v>506600</v>
      </c>
      <c r="F30" s="291">
        <v>21435</v>
      </c>
      <c r="G30" s="184">
        <v>72298</v>
      </c>
      <c r="H30" s="373" t="s">
        <v>24</v>
      </c>
      <c r="I30" s="371"/>
      <c r="J30" s="364"/>
      <c r="K30" s="364"/>
      <c r="L30" s="364"/>
      <c r="M30" s="364"/>
      <c r="N30" s="384"/>
      <c r="O30" s="357"/>
      <c r="P30" s="292"/>
    </row>
    <row r="31" spans="1:256" s="287" customFormat="1" ht="18" customHeight="1" x14ac:dyDescent="0.35">
      <c r="A31" s="301">
        <v>23</v>
      </c>
      <c r="B31" s="295"/>
      <c r="C31" s="175"/>
      <c r="D31" s="367" t="s">
        <v>268</v>
      </c>
      <c r="E31" s="183"/>
      <c r="F31" s="291"/>
      <c r="G31" s="184"/>
      <c r="H31" s="373"/>
      <c r="I31" s="371"/>
      <c r="J31" s="364"/>
      <c r="K31" s="364"/>
      <c r="L31" s="364"/>
      <c r="M31" s="364">
        <v>400867</v>
      </c>
      <c r="N31" s="384"/>
      <c r="O31" s="357">
        <f>SUM(I31:N31)</f>
        <v>400867</v>
      </c>
      <c r="P31" s="292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4"/>
      <c r="EX31" s="174"/>
      <c r="EY31" s="174"/>
      <c r="EZ31" s="174"/>
      <c r="FA31" s="174"/>
      <c r="FB31" s="174"/>
      <c r="FC31" s="174"/>
      <c r="FD31" s="174"/>
      <c r="FE31" s="174"/>
      <c r="FF31" s="174"/>
      <c r="FG31" s="174"/>
      <c r="FH31" s="174"/>
      <c r="FI31" s="174"/>
      <c r="FJ31" s="174"/>
      <c r="FK31" s="174"/>
      <c r="FL31" s="174"/>
      <c r="FM31" s="174"/>
      <c r="FN31" s="174"/>
      <c r="FO31" s="174"/>
      <c r="FP31" s="174"/>
      <c r="FQ31" s="174"/>
      <c r="FR31" s="174"/>
      <c r="FS31" s="174"/>
      <c r="FT31" s="174"/>
      <c r="FU31" s="174"/>
      <c r="FV31" s="174"/>
      <c r="FW31" s="174"/>
      <c r="FX31" s="174"/>
      <c r="FY31" s="174"/>
      <c r="FZ31" s="174"/>
      <c r="GA31" s="174"/>
      <c r="GB31" s="174"/>
      <c r="GC31" s="174"/>
      <c r="GD31" s="174"/>
      <c r="GE31" s="174"/>
      <c r="GF31" s="174"/>
      <c r="GG31" s="174"/>
      <c r="GH31" s="174"/>
      <c r="GI31" s="174"/>
      <c r="GJ31" s="174"/>
      <c r="GK31" s="174"/>
      <c r="GL31" s="174"/>
      <c r="GM31" s="174"/>
      <c r="GN31" s="174"/>
      <c r="GO31" s="174"/>
      <c r="GP31" s="174"/>
      <c r="GQ31" s="174"/>
      <c r="GR31" s="174"/>
      <c r="GS31" s="174"/>
      <c r="GT31" s="174"/>
      <c r="GU31" s="174"/>
      <c r="GV31" s="174"/>
      <c r="GW31" s="174"/>
      <c r="GX31" s="174"/>
      <c r="GY31" s="174"/>
      <c r="GZ31" s="174"/>
      <c r="HA31" s="174"/>
      <c r="HB31" s="174"/>
      <c r="HC31" s="174"/>
      <c r="HD31" s="174"/>
      <c r="HE31" s="174"/>
      <c r="HF31" s="174"/>
      <c r="HG31" s="174"/>
      <c r="HH31" s="174"/>
      <c r="HI31" s="174"/>
      <c r="HJ31" s="174"/>
      <c r="HK31" s="174"/>
      <c r="HL31" s="174"/>
      <c r="HM31" s="174"/>
      <c r="HN31" s="174"/>
      <c r="HO31" s="174"/>
      <c r="HP31" s="174"/>
      <c r="HQ31" s="174"/>
      <c r="HR31" s="174"/>
      <c r="HS31" s="174"/>
      <c r="HT31" s="174"/>
      <c r="HU31" s="174"/>
      <c r="HV31" s="174"/>
      <c r="HW31" s="174"/>
      <c r="HX31" s="174"/>
      <c r="HY31" s="174"/>
      <c r="HZ31" s="174"/>
      <c r="IA31" s="174"/>
      <c r="IB31" s="174"/>
      <c r="IC31" s="174"/>
      <c r="ID31" s="174"/>
      <c r="IE31" s="174"/>
      <c r="IF31" s="174"/>
      <c r="IG31" s="174"/>
      <c r="IH31" s="174"/>
      <c r="II31" s="174"/>
      <c r="IJ31" s="174"/>
      <c r="IK31" s="174"/>
      <c r="IL31" s="174"/>
      <c r="IM31" s="174"/>
      <c r="IN31" s="174"/>
      <c r="IO31" s="174"/>
      <c r="IP31" s="174"/>
      <c r="IQ31" s="174"/>
      <c r="IR31" s="174"/>
      <c r="IS31" s="174"/>
      <c r="IT31" s="174"/>
      <c r="IU31" s="174"/>
      <c r="IV31" s="174"/>
    </row>
    <row r="32" spans="1:256" s="287" customFormat="1" ht="18" customHeight="1" x14ac:dyDescent="0.35">
      <c r="A32" s="301">
        <v>24</v>
      </c>
      <c r="B32" s="295"/>
      <c r="C32" s="175"/>
      <c r="D32" s="224" t="s">
        <v>796</v>
      </c>
      <c r="E32" s="183"/>
      <c r="F32" s="291"/>
      <c r="G32" s="184"/>
      <c r="H32" s="373"/>
      <c r="I32" s="614"/>
      <c r="J32" s="632"/>
      <c r="K32" s="632"/>
      <c r="L32" s="632"/>
      <c r="M32" s="632">
        <v>412867</v>
      </c>
      <c r="N32" s="288"/>
      <c r="O32" s="296">
        <f t="shared" ref="O32:O33" si="5">SUM(I32:N32)</f>
        <v>412867</v>
      </c>
      <c r="P32" s="292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  <c r="DV32" s="174"/>
      <c r="DW32" s="174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  <c r="FB32" s="174"/>
      <c r="FC32" s="174"/>
      <c r="FD32" s="174"/>
      <c r="FE32" s="174"/>
      <c r="FF32" s="174"/>
      <c r="FG32" s="174"/>
      <c r="FH32" s="174"/>
      <c r="FI32" s="174"/>
      <c r="FJ32" s="174"/>
      <c r="FK32" s="174"/>
      <c r="FL32" s="174"/>
      <c r="FM32" s="174"/>
      <c r="FN32" s="174"/>
      <c r="FO32" s="174"/>
      <c r="FP32" s="174"/>
      <c r="FQ32" s="174"/>
      <c r="FR32" s="174"/>
      <c r="FS32" s="174"/>
      <c r="FT32" s="174"/>
      <c r="FU32" s="174"/>
      <c r="FV32" s="174"/>
      <c r="FW32" s="174"/>
      <c r="FX32" s="174"/>
      <c r="FY32" s="174"/>
      <c r="FZ32" s="174"/>
      <c r="GA32" s="174"/>
      <c r="GB32" s="174"/>
      <c r="GC32" s="174"/>
      <c r="GD32" s="174"/>
      <c r="GE32" s="174"/>
      <c r="GF32" s="174"/>
      <c r="GG32" s="174"/>
      <c r="GH32" s="174"/>
      <c r="GI32" s="174"/>
      <c r="GJ32" s="174"/>
      <c r="GK32" s="174"/>
      <c r="GL32" s="174"/>
      <c r="GM32" s="174"/>
      <c r="GN32" s="174"/>
      <c r="GO32" s="174"/>
      <c r="GP32" s="174"/>
      <c r="GQ32" s="174"/>
      <c r="GR32" s="174"/>
      <c r="GS32" s="174"/>
      <c r="GT32" s="174"/>
      <c r="GU32" s="174"/>
      <c r="GV32" s="174"/>
      <c r="GW32" s="174"/>
      <c r="GX32" s="174"/>
      <c r="GY32" s="174"/>
      <c r="GZ32" s="174"/>
      <c r="HA32" s="174"/>
      <c r="HB32" s="174"/>
      <c r="HC32" s="174"/>
      <c r="HD32" s="174"/>
      <c r="HE32" s="174"/>
      <c r="HF32" s="174"/>
      <c r="HG32" s="174"/>
      <c r="HH32" s="174"/>
      <c r="HI32" s="174"/>
      <c r="HJ32" s="174"/>
      <c r="HK32" s="174"/>
      <c r="HL32" s="174"/>
      <c r="HM32" s="174"/>
      <c r="HN32" s="174"/>
      <c r="HO32" s="174"/>
      <c r="HP32" s="174"/>
      <c r="HQ32" s="174"/>
      <c r="HR32" s="174"/>
      <c r="HS32" s="174"/>
      <c r="HT32" s="174"/>
      <c r="HU32" s="174"/>
      <c r="HV32" s="174"/>
      <c r="HW32" s="174"/>
      <c r="HX32" s="174"/>
      <c r="HY32" s="174"/>
      <c r="HZ32" s="174"/>
      <c r="IA32" s="174"/>
      <c r="IB32" s="174"/>
      <c r="IC32" s="174"/>
      <c r="ID32" s="174"/>
      <c r="IE32" s="174"/>
      <c r="IF32" s="174"/>
      <c r="IG32" s="174"/>
      <c r="IH32" s="174"/>
      <c r="II32" s="174"/>
      <c r="IJ32" s="174"/>
      <c r="IK32" s="174"/>
      <c r="IL32" s="174"/>
      <c r="IM32" s="174"/>
      <c r="IN32" s="174"/>
      <c r="IO32" s="174"/>
      <c r="IP32" s="174"/>
      <c r="IQ32" s="174"/>
      <c r="IR32" s="174"/>
      <c r="IS32" s="174"/>
      <c r="IT32" s="174"/>
      <c r="IU32" s="174"/>
      <c r="IV32" s="174"/>
    </row>
    <row r="33" spans="1:256" s="287" customFormat="1" ht="18" customHeight="1" x14ac:dyDescent="0.35">
      <c r="A33" s="301">
        <v>25</v>
      </c>
      <c r="B33" s="295"/>
      <c r="C33" s="175"/>
      <c r="D33" s="976" t="s">
        <v>861</v>
      </c>
      <c r="E33" s="183"/>
      <c r="F33" s="291"/>
      <c r="G33" s="184"/>
      <c r="H33" s="373"/>
      <c r="I33" s="1198"/>
      <c r="J33" s="1194"/>
      <c r="K33" s="1194"/>
      <c r="L33" s="1194"/>
      <c r="M33" s="1194">
        <v>120746</v>
      </c>
      <c r="N33" s="1194"/>
      <c r="O33" s="1192">
        <f t="shared" si="5"/>
        <v>120746</v>
      </c>
      <c r="P33" s="292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174"/>
      <c r="DS33" s="174"/>
      <c r="DT33" s="174"/>
      <c r="DU33" s="174"/>
      <c r="DV33" s="174"/>
      <c r="DW33" s="174"/>
      <c r="DX33" s="174"/>
      <c r="DY33" s="174"/>
      <c r="DZ33" s="174"/>
      <c r="EA33" s="174"/>
      <c r="EB33" s="174"/>
      <c r="EC33" s="174"/>
      <c r="ED33" s="174"/>
      <c r="EE33" s="174"/>
      <c r="EF33" s="174"/>
      <c r="EG33" s="174"/>
      <c r="EH33" s="174"/>
      <c r="EI33" s="174"/>
      <c r="EJ33" s="174"/>
      <c r="EK33" s="174"/>
      <c r="EL33" s="174"/>
      <c r="EM33" s="174"/>
      <c r="EN33" s="174"/>
      <c r="EO33" s="174"/>
      <c r="EP33" s="174"/>
      <c r="EQ33" s="174"/>
      <c r="ER33" s="174"/>
      <c r="ES33" s="174"/>
      <c r="ET33" s="174"/>
      <c r="EU33" s="174"/>
      <c r="EV33" s="174"/>
      <c r="EW33" s="174"/>
      <c r="EX33" s="174"/>
      <c r="EY33" s="174"/>
      <c r="EZ33" s="174"/>
      <c r="FA33" s="174"/>
      <c r="FB33" s="174"/>
      <c r="FC33" s="174"/>
      <c r="FD33" s="174"/>
      <c r="FE33" s="174"/>
      <c r="FF33" s="174"/>
      <c r="FG33" s="174"/>
      <c r="FH33" s="174"/>
      <c r="FI33" s="174"/>
      <c r="FJ33" s="174"/>
      <c r="FK33" s="174"/>
      <c r="FL33" s="174"/>
      <c r="FM33" s="174"/>
      <c r="FN33" s="174"/>
      <c r="FO33" s="174"/>
      <c r="FP33" s="174"/>
      <c r="FQ33" s="174"/>
      <c r="FR33" s="174"/>
      <c r="FS33" s="174"/>
      <c r="FT33" s="174"/>
      <c r="FU33" s="174"/>
      <c r="FV33" s="174"/>
      <c r="FW33" s="174"/>
      <c r="FX33" s="174"/>
      <c r="FY33" s="174"/>
      <c r="FZ33" s="174"/>
      <c r="GA33" s="174"/>
      <c r="GB33" s="174"/>
      <c r="GC33" s="174"/>
      <c r="GD33" s="174"/>
      <c r="GE33" s="174"/>
      <c r="GF33" s="174"/>
      <c r="GG33" s="174"/>
      <c r="GH33" s="174"/>
      <c r="GI33" s="174"/>
      <c r="GJ33" s="174"/>
      <c r="GK33" s="174"/>
      <c r="GL33" s="174"/>
      <c r="GM33" s="174"/>
      <c r="GN33" s="174"/>
      <c r="GO33" s="174"/>
      <c r="GP33" s="174"/>
      <c r="GQ33" s="174"/>
      <c r="GR33" s="174"/>
      <c r="GS33" s="174"/>
      <c r="GT33" s="174"/>
      <c r="GU33" s="174"/>
      <c r="GV33" s="174"/>
      <c r="GW33" s="174"/>
      <c r="GX33" s="174"/>
      <c r="GY33" s="174"/>
      <c r="GZ33" s="174"/>
      <c r="HA33" s="174"/>
      <c r="HB33" s="174"/>
      <c r="HC33" s="174"/>
      <c r="HD33" s="174"/>
      <c r="HE33" s="174"/>
      <c r="HF33" s="174"/>
      <c r="HG33" s="174"/>
      <c r="HH33" s="174"/>
      <c r="HI33" s="174"/>
      <c r="HJ33" s="174"/>
      <c r="HK33" s="174"/>
      <c r="HL33" s="174"/>
      <c r="HM33" s="174"/>
      <c r="HN33" s="174"/>
      <c r="HO33" s="174"/>
      <c r="HP33" s="174"/>
      <c r="HQ33" s="174"/>
      <c r="HR33" s="174"/>
      <c r="HS33" s="174"/>
      <c r="HT33" s="174"/>
      <c r="HU33" s="174"/>
      <c r="HV33" s="174"/>
      <c r="HW33" s="174"/>
      <c r="HX33" s="174"/>
      <c r="HY33" s="174"/>
      <c r="HZ33" s="174"/>
      <c r="IA33" s="174"/>
      <c r="IB33" s="174"/>
      <c r="IC33" s="174"/>
      <c r="ID33" s="174"/>
      <c r="IE33" s="174"/>
      <c r="IF33" s="174"/>
      <c r="IG33" s="174"/>
      <c r="IH33" s="174"/>
      <c r="II33" s="174"/>
      <c r="IJ33" s="174"/>
      <c r="IK33" s="174"/>
      <c r="IL33" s="174"/>
      <c r="IM33" s="174"/>
      <c r="IN33" s="174"/>
      <c r="IO33" s="174"/>
      <c r="IP33" s="174"/>
      <c r="IQ33" s="174"/>
      <c r="IR33" s="174"/>
      <c r="IS33" s="174"/>
      <c r="IT33" s="174"/>
      <c r="IU33" s="174"/>
      <c r="IV33" s="174"/>
    </row>
    <row r="34" spans="1:256" s="287" customFormat="1" ht="34.5" customHeight="1" x14ac:dyDescent="0.35">
      <c r="A34" s="301">
        <v>26</v>
      </c>
      <c r="B34" s="295"/>
      <c r="C34" s="175">
        <v>7</v>
      </c>
      <c r="D34" s="177" t="s">
        <v>465</v>
      </c>
      <c r="E34" s="183">
        <f>F34+G34+O36+P35</f>
        <v>1066123</v>
      </c>
      <c r="F34" s="291">
        <v>5906</v>
      </c>
      <c r="G34" s="184">
        <v>14982</v>
      </c>
      <c r="H34" s="373" t="s">
        <v>24</v>
      </c>
      <c r="I34" s="371"/>
      <c r="J34" s="364"/>
      <c r="K34" s="364"/>
      <c r="L34" s="364"/>
      <c r="M34" s="364"/>
      <c r="N34" s="384"/>
      <c r="O34" s="357"/>
      <c r="P34" s="292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  <c r="DV34" s="174"/>
      <c r="DW34" s="174"/>
      <c r="DX34" s="174"/>
      <c r="DY34" s="174"/>
      <c r="DZ34" s="174"/>
      <c r="EA34" s="174"/>
      <c r="EB34" s="174"/>
      <c r="EC34" s="174"/>
      <c r="ED34" s="174"/>
      <c r="EE34" s="174"/>
      <c r="EF34" s="174"/>
      <c r="EG34" s="174"/>
      <c r="EH34" s="174"/>
      <c r="EI34" s="174"/>
      <c r="EJ34" s="174"/>
      <c r="EK34" s="174"/>
      <c r="EL34" s="174"/>
      <c r="EM34" s="174"/>
      <c r="EN34" s="174"/>
      <c r="EO34" s="174"/>
      <c r="EP34" s="174"/>
      <c r="EQ34" s="174"/>
      <c r="ER34" s="174"/>
      <c r="ES34" s="174"/>
      <c r="ET34" s="174"/>
      <c r="EU34" s="174"/>
      <c r="EV34" s="174"/>
      <c r="EW34" s="174"/>
      <c r="EX34" s="174"/>
      <c r="EY34" s="174"/>
      <c r="EZ34" s="174"/>
      <c r="FA34" s="174"/>
      <c r="FB34" s="174"/>
      <c r="FC34" s="174"/>
      <c r="FD34" s="174"/>
      <c r="FE34" s="174"/>
      <c r="FF34" s="174"/>
      <c r="FG34" s="174"/>
      <c r="FH34" s="174"/>
      <c r="FI34" s="174"/>
      <c r="FJ34" s="174"/>
      <c r="FK34" s="174"/>
      <c r="FL34" s="174"/>
      <c r="FM34" s="174"/>
      <c r="FN34" s="174"/>
      <c r="FO34" s="174"/>
      <c r="FP34" s="174"/>
      <c r="FQ34" s="174"/>
      <c r="FR34" s="174"/>
      <c r="FS34" s="174"/>
      <c r="FT34" s="174"/>
      <c r="FU34" s="174"/>
      <c r="FV34" s="174"/>
      <c r="FW34" s="174"/>
      <c r="FX34" s="174"/>
      <c r="FY34" s="174"/>
      <c r="FZ34" s="174"/>
      <c r="GA34" s="174"/>
      <c r="GB34" s="174"/>
      <c r="GC34" s="174"/>
      <c r="GD34" s="174"/>
      <c r="GE34" s="174"/>
      <c r="GF34" s="174"/>
      <c r="GG34" s="174"/>
      <c r="GH34" s="174"/>
      <c r="GI34" s="174"/>
      <c r="GJ34" s="174"/>
      <c r="GK34" s="174"/>
      <c r="GL34" s="174"/>
      <c r="GM34" s="174"/>
      <c r="GN34" s="174"/>
      <c r="GO34" s="174"/>
      <c r="GP34" s="174"/>
      <c r="GQ34" s="174"/>
      <c r="GR34" s="174"/>
      <c r="GS34" s="174"/>
      <c r="GT34" s="174"/>
      <c r="GU34" s="174"/>
      <c r="GV34" s="174"/>
      <c r="GW34" s="174"/>
      <c r="GX34" s="174"/>
      <c r="GY34" s="174"/>
      <c r="GZ34" s="174"/>
      <c r="HA34" s="174"/>
      <c r="HB34" s="174"/>
      <c r="HC34" s="174"/>
      <c r="HD34" s="174"/>
      <c r="HE34" s="174"/>
      <c r="HF34" s="174"/>
      <c r="HG34" s="174"/>
      <c r="HH34" s="174"/>
      <c r="HI34" s="174"/>
      <c r="HJ34" s="174"/>
      <c r="HK34" s="174"/>
      <c r="HL34" s="174"/>
      <c r="HM34" s="174"/>
      <c r="HN34" s="174"/>
      <c r="HO34" s="174"/>
      <c r="HP34" s="174"/>
      <c r="HQ34" s="174"/>
      <c r="HR34" s="174"/>
      <c r="HS34" s="174"/>
      <c r="HT34" s="174"/>
      <c r="HU34" s="174"/>
      <c r="HV34" s="174"/>
      <c r="HW34" s="174"/>
      <c r="HX34" s="174"/>
      <c r="HY34" s="174"/>
      <c r="HZ34" s="174"/>
      <c r="IA34" s="174"/>
      <c r="IB34" s="174"/>
      <c r="IC34" s="174"/>
      <c r="ID34" s="174"/>
      <c r="IE34" s="174"/>
      <c r="IF34" s="174"/>
      <c r="IG34" s="174"/>
      <c r="IH34" s="174"/>
      <c r="II34" s="174"/>
      <c r="IJ34" s="174"/>
      <c r="IK34" s="174"/>
      <c r="IL34" s="174"/>
      <c r="IM34" s="174"/>
      <c r="IN34" s="174"/>
      <c r="IO34" s="174"/>
      <c r="IP34" s="174"/>
      <c r="IQ34" s="174"/>
      <c r="IR34" s="174"/>
      <c r="IS34" s="174"/>
      <c r="IT34" s="174"/>
      <c r="IU34" s="174"/>
      <c r="IV34" s="174"/>
    </row>
    <row r="35" spans="1:256" s="287" customFormat="1" ht="18" customHeight="1" x14ac:dyDescent="0.35">
      <c r="A35" s="301">
        <v>27</v>
      </c>
      <c r="B35" s="295"/>
      <c r="C35" s="175"/>
      <c r="D35" s="367" t="s">
        <v>268</v>
      </c>
      <c r="E35" s="183"/>
      <c r="F35" s="291"/>
      <c r="G35" s="184"/>
      <c r="H35" s="373"/>
      <c r="I35" s="371"/>
      <c r="J35" s="364"/>
      <c r="K35" s="364">
        <v>17063</v>
      </c>
      <c r="L35" s="364"/>
      <c r="M35" s="364">
        <v>845399</v>
      </c>
      <c r="N35" s="384"/>
      <c r="O35" s="357">
        <f>SUM(I35:N35)</f>
        <v>862462</v>
      </c>
      <c r="P35" s="292">
        <v>160123</v>
      </c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J35" s="174"/>
      <c r="DK35" s="174"/>
      <c r="DL35" s="174"/>
      <c r="DM35" s="174"/>
      <c r="DN35" s="174"/>
      <c r="DO35" s="174"/>
      <c r="DP35" s="174"/>
      <c r="DQ35" s="174"/>
      <c r="DR35" s="174"/>
      <c r="DS35" s="174"/>
      <c r="DT35" s="174"/>
      <c r="DU35" s="174"/>
      <c r="DV35" s="174"/>
      <c r="DW35" s="174"/>
      <c r="DX35" s="174"/>
      <c r="DY35" s="174"/>
      <c r="DZ35" s="174"/>
      <c r="EA35" s="174"/>
      <c r="EB35" s="174"/>
      <c r="EC35" s="174"/>
      <c r="ED35" s="174"/>
      <c r="EE35" s="174"/>
      <c r="EF35" s="174"/>
      <c r="EG35" s="174"/>
      <c r="EH35" s="174"/>
      <c r="EI35" s="174"/>
      <c r="EJ35" s="174"/>
      <c r="EK35" s="174"/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4"/>
      <c r="EW35" s="174"/>
      <c r="EX35" s="174"/>
      <c r="EY35" s="174"/>
      <c r="EZ35" s="174"/>
      <c r="FA35" s="174"/>
      <c r="FB35" s="174"/>
      <c r="FC35" s="174"/>
      <c r="FD35" s="174"/>
      <c r="FE35" s="174"/>
      <c r="FF35" s="174"/>
      <c r="FG35" s="174"/>
      <c r="FH35" s="174"/>
      <c r="FI35" s="174"/>
      <c r="FJ35" s="174"/>
      <c r="FK35" s="174"/>
      <c r="FL35" s="174"/>
      <c r="FM35" s="174"/>
      <c r="FN35" s="174"/>
      <c r="FO35" s="174"/>
      <c r="FP35" s="174"/>
      <c r="FQ35" s="174"/>
      <c r="FR35" s="174"/>
      <c r="FS35" s="174"/>
      <c r="FT35" s="174"/>
      <c r="FU35" s="174"/>
      <c r="FV35" s="174"/>
      <c r="FW35" s="174"/>
      <c r="FX35" s="174"/>
      <c r="FY35" s="174"/>
      <c r="FZ35" s="174"/>
      <c r="GA35" s="174"/>
      <c r="GB35" s="174"/>
      <c r="GC35" s="174"/>
      <c r="GD35" s="174"/>
      <c r="GE35" s="174"/>
      <c r="GF35" s="174"/>
      <c r="GG35" s="174"/>
      <c r="GH35" s="174"/>
      <c r="GI35" s="174"/>
      <c r="GJ35" s="174"/>
      <c r="GK35" s="174"/>
      <c r="GL35" s="174"/>
      <c r="GM35" s="174"/>
      <c r="GN35" s="174"/>
      <c r="GO35" s="174"/>
      <c r="GP35" s="174"/>
      <c r="GQ35" s="174"/>
      <c r="GR35" s="174"/>
      <c r="GS35" s="174"/>
      <c r="GT35" s="174"/>
      <c r="GU35" s="174"/>
      <c r="GV35" s="174"/>
      <c r="GW35" s="174"/>
      <c r="GX35" s="174"/>
      <c r="GY35" s="174"/>
      <c r="GZ35" s="174"/>
      <c r="HA35" s="174"/>
      <c r="HB35" s="174"/>
      <c r="HC35" s="174"/>
      <c r="HD35" s="174"/>
      <c r="HE35" s="174"/>
      <c r="HF35" s="174"/>
      <c r="HG35" s="174"/>
      <c r="HH35" s="174"/>
      <c r="HI35" s="174"/>
      <c r="HJ35" s="174"/>
      <c r="HK35" s="174"/>
      <c r="HL35" s="174"/>
      <c r="HM35" s="174"/>
      <c r="HN35" s="174"/>
      <c r="HO35" s="174"/>
      <c r="HP35" s="174"/>
      <c r="HQ35" s="174"/>
      <c r="HR35" s="174"/>
      <c r="HS35" s="174"/>
      <c r="HT35" s="174"/>
      <c r="HU35" s="174"/>
      <c r="HV35" s="174"/>
      <c r="HW35" s="174"/>
      <c r="HX35" s="174"/>
      <c r="HY35" s="174"/>
      <c r="HZ35" s="174"/>
      <c r="IA35" s="174"/>
      <c r="IB35" s="174"/>
      <c r="IC35" s="174"/>
      <c r="ID35" s="174"/>
      <c r="IE35" s="174"/>
      <c r="IF35" s="174"/>
      <c r="IG35" s="174"/>
      <c r="IH35" s="174"/>
      <c r="II35" s="174"/>
      <c r="IJ35" s="174"/>
      <c r="IK35" s="174"/>
      <c r="IL35" s="174"/>
      <c r="IM35" s="174"/>
      <c r="IN35" s="174"/>
      <c r="IO35" s="174"/>
      <c r="IP35" s="174"/>
      <c r="IQ35" s="174"/>
      <c r="IR35" s="174"/>
      <c r="IS35" s="174"/>
      <c r="IT35" s="174"/>
      <c r="IU35" s="174"/>
      <c r="IV35" s="174"/>
    </row>
    <row r="36" spans="1:256" s="287" customFormat="1" ht="18" customHeight="1" x14ac:dyDescent="0.35">
      <c r="A36" s="301">
        <v>28</v>
      </c>
      <c r="B36" s="295"/>
      <c r="C36" s="175"/>
      <c r="D36" s="224" t="s">
        <v>796</v>
      </c>
      <c r="E36" s="183"/>
      <c r="F36" s="291"/>
      <c r="G36" s="184"/>
      <c r="H36" s="373"/>
      <c r="I36" s="614"/>
      <c r="J36" s="632"/>
      <c r="K36" s="632">
        <v>27464</v>
      </c>
      <c r="L36" s="632"/>
      <c r="M36" s="632">
        <v>857648</v>
      </c>
      <c r="N36" s="288"/>
      <c r="O36" s="296">
        <f t="shared" ref="O36:O37" si="6">SUM(I36:N36)</f>
        <v>885112</v>
      </c>
      <c r="P36" s="292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4"/>
      <c r="EZ36" s="174"/>
      <c r="FA36" s="174"/>
      <c r="FB36" s="174"/>
      <c r="FC36" s="174"/>
      <c r="FD36" s="174"/>
      <c r="FE36" s="174"/>
      <c r="FF36" s="174"/>
      <c r="FG36" s="174"/>
      <c r="FH36" s="174"/>
      <c r="FI36" s="174"/>
      <c r="FJ36" s="174"/>
      <c r="FK36" s="174"/>
      <c r="FL36" s="174"/>
      <c r="FM36" s="174"/>
      <c r="FN36" s="174"/>
      <c r="FO36" s="174"/>
      <c r="FP36" s="174"/>
      <c r="FQ36" s="174"/>
      <c r="FR36" s="174"/>
      <c r="FS36" s="174"/>
      <c r="FT36" s="174"/>
      <c r="FU36" s="174"/>
      <c r="FV36" s="174"/>
      <c r="FW36" s="174"/>
      <c r="FX36" s="174"/>
      <c r="FY36" s="174"/>
      <c r="FZ36" s="174"/>
      <c r="GA36" s="174"/>
      <c r="GB36" s="174"/>
      <c r="GC36" s="174"/>
      <c r="GD36" s="174"/>
      <c r="GE36" s="174"/>
      <c r="GF36" s="174"/>
      <c r="GG36" s="174"/>
      <c r="GH36" s="174"/>
      <c r="GI36" s="174"/>
      <c r="GJ36" s="174"/>
      <c r="GK36" s="174"/>
      <c r="GL36" s="174"/>
      <c r="GM36" s="174"/>
      <c r="GN36" s="174"/>
      <c r="GO36" s="174"/>
      <c r="GP36" s="174"/>
      <c r="GQ36" s="174"/>
      <c r="GR36" s="174"/>
      <c r="GS36" s="174"/>
      <c r="GT36" s="174"/>
      <c r="GU36" s="174"/>
      <c r="GV36" s="174"/>
      <c r="GW36" s="174"/>
      <c r="GX36" s="174"/>
      <c r="GY36" s="174"/>
      <c r="GZ36" s="174"/>
      <c r="HA36" s="174"/>
      <c r="HB36" s="174"/>
      <c r="HC36" s="174"/>
      <c r="HD36" s="174"/>
      <c r="HE36" s="174"/>
      <c r="HF36" s="174"/>
      <c r="HG36" s="174"/>
      <c r="HH36" s="174"/>
      <c r="HI36" s="174"/>
      <c r="HJ36" s="174"/>
      <c r="HK36" s="174"/>
      <c r="HL36" s="174"/>
      <c r="HM36" s="174"/>
      <c r="HN36" s="174"/>
      <c r="HO36" s="174"/>
      <c r="HP36" s="174"/>
      <c r="HQ36" s="174"/>
      <c r="HR36" s="174"/>
      <c r="HS36" s="174"/>
      <c r="HT36" s="174"/>
      <c r="HU36" s="174"/>
      <c r="HV36" s="174"/>
      <c r="HW36" s="174"/>
      <c r="HX36" s="174"/>
      <c r="HY36" s="174"/>
      <c r="HZ36" s="174"/>
      <c r="IA36" s="174"/>
      <c r="IB36" s="174"/>
      <c r="IC36" s="174"/>
      <c r="ID36" s="174"/>
      <c r="IE36" s="174"/>
      <c r="IF36" s="174"/>
      <c r="IG36" s="174"/>
      <c r="IH36" s="174"/>
      <c r="II36" s="174"/>
      <c r="IJ36" s="174"/>
      <c r="IK36" s="174"/>
      <c r="IL36" s="174"/>
      <c r="IM36" s="174"/>
      <c r="IN36" s="174"/>
      <c r="IO36" s="174"/>
      <c r="IP36" s="174"/>
      <c r="IQ36" s="174"/>
      <c r="IR36" s="174"/>
      <c r="IS36" s="174"/>
      <c r="IT36" s="174"/>
      <c r="IU36" s="174"/>
      <c r="IV36" s="174"/>
    </row>
    <row r="37" spans="1:256" s="287" customFormat="1" ht="18" customHeight="1" x14ac:dyDescent="0.35">
      <c r="A37" s="301">
        <v>29</v>
      </c>
      <c r="B37" s="295"/>
      <c r="C37" s="175"/>
      <c r="D37" s="976" t="s">
        <v>861</v>
      </c>
      <c r="E37" s="183"/>
      <c r="F37" s="291"/>
      <c r="G37" s="184"/>
      <c r="H37" s="373"/>
      <c r="I37" s="1198"/>
      <c r="J37" s="1194"/>
      <c r="K37" s="1194">
        <v>6354</v>
      </c>
      <c r="L37" s="1194"/>
      <c r="M37" s="1194">
        <v>5790</v>
      </c>
      <c r="N37" s="1194"/>
      <c r="O37" s="1192">
        <f t="shared" si="6"/>
        <v>12144</v>
      </c>
      <c r="P37" s="292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  <c r="DV37" s="174"/>
      <c r="DW37" s="174"/>
      <c r="DX37" s="174"/>
      <c r="DY37" s="174"/>
      <c r="DZ37" s="174"/>
      <c r="EA37" s="174"/>
      <c r="EB37" s="174"/>
      <c r="EC37" s="174"/>
      <c r="ED37" s="174"/>
      <c r="EE37" s="174"/>
      <c r="EF37" s="174"/>
      <c r="EG37" s="174"/>
      <c r="EH37" s="174"/>
      <c r="EI37" s="174"/>
      <c r="EJ37" s="174"/>
      <c r="EK37" s="174"/>
      <c r="EL37" s="174"/>
      <c r="EM37" s="174"/>
      <c r="EN37" s="174"/>
      <c r="EO37" s="174"/>
      <c r="EP37" s="174"/>
      <c r="EQ37" s="174"/>
      <c r="ER37" s="174"/>
      <c r="ES37" s="174"/>
      <c r="ET37" s="174"/>
      <c r="EU37" s="174"/>
      <c r="EV37" s="174"/>
      <c r="EW37" s="174"/>
      <c r="EX37" s="174"/>
      <c r="EY37" s="174"/>
      <c r="EZ37" s="174"/>
      <c r="FA37" s="174"/>
      <c r="FB37" s="174"/>
      <c r="FC37" s="174"/>
      <c r="FD37" s="174"/>
      <c r="FE37" s="174"/>
      <c r="FF37" s="174"/>
      <c r="FG37" s="174"/>
      <c r="FH37" s="174"/>
      <c r="FI37" s="174"/>
      <c r="FJ37" s="174"/>
      <c r="FK37" s="174"/>
      <c r="FL37" s="174"/>
      <c r="FM37" s="174"/>
      <c r="FN37" s="174"/>
      <c r="FO37" s="174"/>
      <c r="FP37" s="174"/>
      <c r="FQ37" s="174"/>
      <c r="FR37" s="174"/>
      <c r="FS37" s="174"/>
      <c r="FT37" s="174"/>
      <c r="FU37" s="174"/>
      <c r="FV37" s="174"/>
      <c r="FW37" s="174"/>
      <c r="FX37" s="174"/>
      <c r="FY37" s="174"/>
      <c r="FZ37" s="174"/>
      <c r="GA37" s="174"/>
      <c r="GB37" s="174"/>
      <c r="GC37" s="174"/>
      <c r="GD37" s="174"/>
      <c r="GE37" s="174"/>
      <c r="GF37" s="174"/>
      <c r="GG37" s="174"/>
      <c r="GH37" s="174"/>
      <c r="GI37" s="174"/>
      <c r="GJ37" s="174"/>
      <c r="GK37" s="174"/>
      <c r="GL37" s="174"/>
      <c r="GM37" s="174"/>
      <c r="GN37" s="174"/>
      <c r="GO37" s="174"/>
      <c r="GP37" s="174"/>
      <c r="GQ37" s="174"/>
      <c r="GR37" s="174"/>
      <c r="GS37" s="174"/>
      <c r="GT37" s="174"/>
      <c r="GU37" s="174"/>
      <c r="GV37" s="174"/>
      <c r="GW37" s="174"/>
      <c r="GX37" s="174"/>
      <c r="GY37" s="174"/>
      <c r="GZ37" s="174"/>
      <c r="HA37" s="174"/>
      <c r="HB37" s="174"/>
      <c r="HC37" s="174"/>
      <c r="HD37" s="174"/>
      <c r="HE37" s="174"/>
      <c r="HF37" s="174"/>
      <c r="HG37" s="174"/>
      <c r="HH37" s="174"/>
      <c r="HI37" s="174"/>
      <c r="HJ37" s="174"/>
      <c r="HK37" s="174"/>
      <c r="HL37" s="174"/>
      <c r="HM37" s="174"/>
      <c r="HN37" s="174"/>
      <c r="HO37" s="174"/>
      <c r="HP37" s="174"/>
      <c r="HQ37" s="174"/>
      <c r="HR37" s="174"/>
      <c r="HS37" s="174"/>
      <c r="HT37" s="174"/>
      <c r="HU37" s="174"/>
      <c r="HV37" s="174"/>
      <c r="HW37" s="174"/>
      <c r="HX37" s="174"/>
      <c r="HY37" s="174"/>
      <c r="HZ37" s="174"/>
      <c r="IA37" s="174"/>
      <c r="IB37" s="174"/>
      <c r="IC37" s="174"/>
      <c r="ID37" s="174"/>
      <c r="IE37" s="174"/>
      <c r="IF37" s="174"/>
      <c r="IG37" s="174"/>
      <c r="IH37" s="174"/>
      <c r="II37" s="174"/>
      <c r="IJ37" s="174"/>
      <c r="IK37" s="174"/>
      <c r="IL37" s="174"/>
      <c r="IM37" s="174"/>
      <c r="IN37" s="174"/>
      <c r="IO37" s="174"/>
      <c r="IP37" s="174"/>
      <c r="IQ37" s="174"/>
      <c r="IR37" s="174"/>
      <c r="IS37" s="174"/>
      <c r="IT37" s="174"/>
      <c r="IU37" s="174"/>
      <c r="IV37" s="174"/>
    </row>
    <row r="38" spans="1:256" ht="22.5" customHeight="1" x14ac:dyDescent="0.35">
      <c r="A38" s="301">
        <v>30</v>
      </c>
      <c r="B38" s="237"/>
      <c r="C38" s="191">
        <v>8</v>
      </c>
      <c r="D38" s="298" t="s">
        <v>466</v>
      </c>
      <c r="E38" s="183">
        <f>F38+G38+O40+P39</f>
        <v>2906300</v>
      </c>
      <c r="F38" s="291">
        <v>3428</v>
      </c>
      <c r="G38" s="184">
        <v>21799</v>
      </c>
      <c r="H38" s="373" t="s">
        <v>24</v>
      </c>
      <c r="I38" s="371"/>
      <c r="J38" s="364"/>
      <c r="K38" s="364"/>
      <c r="L38" s="364"/>
      <c r="M38" s="364"/>
      <c r="N38" s="384"/>
      <c r="O38" s="357"/>
      <c r="P38" s="292"/>
    </row>
    <row r="39" spans="1:256" s="287" customFormat="1" ht="18" customHeight="1" x14ac:dyDescent="0.35">
      <c r="A39" s="301">
        <v>31</v>
      </c>
      <c r="B39" s="295"/>
      <c r="C39" s="191"/>
      <c r="D39" s="367" t="s">
        <v>268</v>
      </c>
      <c r="E39" s="183"/>
      <c r="F39" s="291"/>
      <c r="G39" s="184"/>
      <c r="H39" s="373"/>
      <c r="I39" s="371"/>
      <c r="J39" s="364"/>
      <c r="K39" s="364">
        <v>60487</v>
      </c>
      <c r="L39" s="364"/>
      <c r="M39" s="364">
        <v>2820586</v>
      </c>
      <c r="N39" s="384"/>
      <c r="O39" s="357">
        <f>SUM(I39:N39)</f>
        <v>2881073</v>
      </c>
      <c r="P39" s="292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4"/>
      <c r="EK39" s="174"/>
      <c r="EL39" s="174"/>
      <c r="EM39" s="174"/>
      <c r="EN39" s="174"/>
      <c r="EO39" s="174"/>
      <c r="EP39" s="174"/>
      <c r="EQ39" s="174"/>
      <c r="ER39" s="174"/>
      <c r="ES39" s="174"/>
      <c r="ET39" s="174"/>
      <c r="EU39" s="174"/>
      <c r="EV39" s="174"/>
      <c r="EW39" s="174"/>
      <c r="EX39" s="174"/>
      <c r="EY39" s="174"/>
      <c r="EZ39" s="174"/>
      <c r="FA39" s="174"/>
      <c r="FB39" s="174"/>
      <c r="FC39" s="174"/>
      <c r="FD39" s="174"/>
      <c r="FE39" s="174"/>
      <c r="FF39" s="174"/>
      <c r="FG39" s="174"/>
      <c r="FH39" s="174"/>
      <c r="FI39" s="174"/>
      <c r="FJ39" s="174"/>
      <c r="FK39" s="174"/>
      <c r="FL39" s="174"/>
      <c r="FM39" s="174"/>
      <c r="FN39" s="174"/>
      <c r="FO39" s="174"/>
      <c r="FP39" s="174"/>
      <c r="FQ39" s="174"/>
      <c r="FR39" s="174"/>
      <c r="FS39" s="174"/>
      <c r="FT39" s="174"/>
      <c r="FU39" s="174"/>
      <c r="FV39" s="174"/>
      <c r="FW39" s="174"/>
      <c r="FX39" s="174"/>
      <c r="FY39" s="174"/>
      <c r="FZ39" s="174"/>
      <c r="GA39" s="174"/>
      <c r="GB39" s="174"/>
      <c r="GC39" s="174"/>
      <c r="GD39" s="174"/>
      <c r="GE39" s="174"/>
      <c r="GF39" s="174"/>
      <c r="GG39" s="174"/>
      <c r="GH39" s="174"/>
      <c r="GI39" s="174"/>
      <c r="GJ39" s="174"/>
      <c r="GK39" s="174"/>
      <c r="GL39" s="174"/>
      <c r="GM39" s="174"/>
      <c r="GN39" s="174"/>
      <c r="GO39" s="174"/>
      <c r="GP39" s="174"/>
      <c r="GQ39" s="174"/>
      <c r="GR39" s="174"/>
      <c r="GS39" s="174"/>
      <c r="GT39" s="174"/>
      <c r="GU39" s="174"/>
      <c r="GV39" s="174"/>
      <c r="GW39" s="174"/>
      <c r="GX39" s="174"/>
      <c r="GY39" s="174"/>
      <c r="GZ39" s="174"/>
      <c r="HA39" s="174"/>
      <c r="HB39" s="174"/>
      <c r="HC39" s="174"/>
      <c r="HD39" s="174"/>
      <c r="HE39" s="174"/>
      <c r="HF39" s="174"/>
      <c r="HG39" s="174"/>
      <c r="HH39" s="174"/>
      <c r="HI39" s="174"/>
      <c r="HJ39" s="174"/>
      <c r="HK39" s="174"/>
      <c r="HL39" s="174"/>
      <c r="HM39" s="174"/>
      <c r="HN39" s="174"/>
      <c r="HO39" s="174"/>
      <c r="HP39" s="174"/>
      <c r="HQ39" s="174"/>
      <c r="HR39" s="174"/>
      <c r="HS39" s="174"/>
      <c r="HT39" s="174"/>
      <c r="HU39" s="174"/>
      <c r="HV39" s="174"/>
      <c r="HW39" s="174"/>
      <c r="HX39" s="174"/>
      <c r="HY39" s="174"/>
      <c r="HZ39" s="174"/>
      <c r="IA39" s="174"/>
      <c r="IB39" s="174"/>
      <c r="IC39" s="174"/>
      <c r="ID39" s="174"/>
      <c r="IE39" s="174"/>
      <c r="IF39" s="174"/>
      <c r="IG39" s="174"/>
      <c r="IH39" s="174"/>
      <c r="II39" s="174"/>
      <c r="IJ39" s="174"/>
      <c r="IK39" s="174"/>
      <c r="IL39" s="174"/>
      <c r="IM39" s="174"/>
      <c r="IN39" s="174"/>
      <c r="IO39" s="174"/>
      <c r="IP39" s="174"/>
      <c r="IQ39" s="174"/>
      <c r="IR39" s="174"/>
      <c r="IS39" s="174"/>
      <c r="IT39" s="174"/>
      <c r="IU39" s="174"/>
      <c r="IV39" s="174"/>
    </row>
    <row r="40" spans="1:256" s="287" customFormat="1" ht="18" customHeight="1" x14ac:dyDescent="0.35">
      <c r="A40" s="301">
        <v>32</v>
      </c>
      <c r="B40" s="295"/>
      <c r="C40" s="191"/>
      <c r="D40" s="224" t="s">
        <v>796</v>
      </c>
      <c r="E40" s="183"/>
      <c r="F40" s="291"/>
      <c r="G40" s="184"/>
      <c r="H40" s="373"/>
      <c r="I40" s="614"/>
      <c r="J40" s="632"/>
      <c r="K40" s="632">
        <v>60202</v>
      </c>
      <c r="L40" s="632"/>
      <c r="M40" s="632">
        <v>2820871</v>
      </c>
      <c r="N40" s="288"/>
      <c r="O40" s="296">
        <f t="shared" ref="O40:O41" si="7">SUM(I40:N40)</f>
        <v>2881073</v>
      </c>
      <c r="P40" s="292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4"/>
      <c r="FK40" s="174"/>
      <c r="FL40" s="174"/>
      <c r="FM40" s="174"/>
      <c r="FN40" s="174"/>
      <c r="FO40" s="174"/>
      <c r="FP40" s="174"/>
      <c r="FQ40" s="174"/>
      <c r="FR40" s="174"/>
      <c r="FS40" s="174"/>
      <c r="FT40" s="174"/>
      <c r="FU40" s="174"/>
      <c r="FV40" s="174"/>
      <c r="FW40" s="174"/>
      <c r="FX40" s="174"/>
      <c r="FY40" s="174"/>
      <c r="FZ40" s="174"/>
      <c r="GA40" s="174"/>
      <c r="GB40" s="174"/>
      <c r="GC40" s="174"/>
      <c r="GD40" s="174"/>
      <c r="GE40" s="174"/>
      <c r="GF40" s="174"/>
      <c r="GG40" s="174"/>
      <c r="GH40" s="174"/>
      <c r="GI40" s="174"/>
      <c r="GJ40" s="174"/>
      <c r="GK40" s="174"/>
      <c r="GL40" s="174"/>
      <c r="GM40" s="174"/>
      <c r="GN40" s="174"/>
      <c r="GO40" s="174"/>
      <c r="GP40" s="174"/>
      <c r="GQ40" s="174"/>
      <c r="GR40" s="174"/>
      <c r="GS40" s="174"/>
      <c r="GT40" s="174"/>
      <c r="GU40" s="174"/>
      <c r="GV40" s="174"/>
      <c r="GW40" s="174"/>
      <c r="GX40" s="174"/>
      <c r="GY40" s="174"/>
      <c r="GZ40" s="174"/>
      <c r="HA40" s="174"/>
      <c r="HB40" s="174"/>
      <c r="HC40" s="174"/>
      <c r="HD40" s="174"/>
      <c r="HE40" s="174"/>
      <c r="HF40" s="174"/>
      <c r="HG40" s="174"/>
      <c r="HH40" s="174"/>
      <c r="HI40" s="174"/>
      <c r="HJ40" s="174"/>
      <c r="HK40" s="174"/>
      <c r="HL40" s="174"/>
      <c r="HM40" s="174"/>
      <c r="HN40" s="174"/>
      <c r="HO40" s="174"/>
      <c r="HP40" s="174"/>
      <c r="HQ40" s="174"/>
      <c r="HR40" s="174"/>
      <c r="HS40" s="174"/>
      <c r="HT40" s="174"/>
      <c r="HU40" s="174"/>
      <c r="HV40" s="174"/>
      <c r="HW40" s="174"/>
      <c r="HX40" s="174"/>
      <c r="HY40" s="174"/>
      <c r="HZ40" s="174"/>
      <c r="IA40" s="174"/>
      <c r="IB40" s="174"/>
      <c r="IC40" s="174"/>
      <c r="ID40" s="174"/>
      <c r="IE40" s="174"/>
      <c r="IF40" s="174"/>
      <c r="IG40" s="174"/>
      <c r="IH40" s="174"/>
      <c r="II40" s="174"/>
      <c r="IJ40" s="174"/>
      <c r="IK40" s="174"/>
      <c r="IL40" s="174"/>
      <c r="IM40" s="174"/>
      <c r="IN40" s="174"/>
      <c r="IO40" s="174"/>
      <c r="IP40" s="174"/>
      <c r="IQ40" s="174"/>
      <c r="IR40" s="174"/>
      <c r="IS40" s="174"/>
      <c r="IT40" s="174"/>
      <c r="IU40" s="174"/>
      <c r="IV40" s="174"/>
    </row>
    <row r="41" spans="1:256" s="287" customFormat="1" ht="18" customHeight="1" x14ac:dyDescent="0.35">
      <c r="A41" s="301">
        <v>33</v>
      </c>
      <c r="B41" s="295"/>
      <c r="C41" s="191"/>
      <c r="D41" s="976" t="s">
        <v>861</v>
      </c>
      <c r="E41" s="183"/>
      <c r="F41" s="291"/>
      <c r="G41" s="184"/>
      <c r="H41" s="373"/>
      <c r="I41" s="1198"/>
      <c r="J41" s="1194"/>
      <c r="K41" s="1194">
        <v>632</v>
      </c>
      <c r="L41" s="1194"/>
      <c r="M41" s="1194">
        <v>353428</v>
      </c>
      <c r="N41" s="1194"/>
      <c r="O41" s="1192">
        <f t="shared" si="7"/>
        <v>354060</v>
      </c>
      <c r="P41" s="292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74"/>
      <c r="EE41" s="174"/>
      <c r="EF41" s="174"/>
      <c r="EG41" s="174"/>
      <c r="EH41" s="174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4"/>
      <c r="FK41" s="174"/>
      <c r="FL41" s="174"/>
      <c r="FM41" s="174"/>
      <c r="FN41" s="174"/>
      <c r="FO41" s="174"/>
      <c r="FP41" s="174"/>
      <c r="FQ41" s="174"/>
      <c r="FR41" s="174"/>
      <c r="FS41" s="174"/>
      <c r="FT41" s="174"/>
      <c r="FU41" s="174"/>
      <c r="FV41" s="174"/>
      <c r="FW41" s="174"/>
      <c r="FX41" s="174"/>
      <c r="FY41" s="174"/>
      <c r="FZ41" s="174"/>
      <c r="GA41" s="174"/>
      <c r="GB41" s="174"/>
      <c r="GC41" s="174"/>
      <c r="GD41" s="174"/>
      <c r="GE41" s="174"/>
      <c r="GF41" s="174"/>
      <c r="GG41" s="174"/>
      <c r="GH41" s="174"/>
      <c r="GI41" s="174"/>
      <c r="GJ41" s="174"/>
      <c r="GK41" s="174"/>
      <c r="GL41" s="174"/>
      <c r="GM41" s="174"/>
      <c r="GN41" s="174"/>
      <c r="GO41" s="174"/>
      <c r="GP41" s="174"/>
      <c r="GQ41" s="174"/>
      <c r="GR41" s="174"/>
      <c r="GS41" s="174"/>
      <c r="GT41" s="174"/>
      <c r="GU41" s="174"/>
      <c r="GV41" s="174"/>
      <c r="GW41" s="174"/>
      <c r="GX41" s="174"/>
      <c r="GY41" s="174"/>
      <c r="GZ41" s="174"/>
      <c r="HA41" s="174"/>
      <c r="HB41" s="174"/>
      <c r="HC41" s="174"/>
      <c r="HD41" s="174"/>
      <c r="HE41" s="174"/>
      <c r="HF41" s="174"/>
      <c r="HG41" s="174"/>
      <c r="HH41" s="174"/>
      <c r="HI41" s="174"/>
      <c r="HJ41" s="174"/>
      <c r="HK41" s="174"/>
      <c r="HL41" s="174"/>
      <c r="HM41" s="174"/>
      <c r="HN41" s="174"/>
      <c r="HO41" s="174"/>
      <c r="HP41" s="174"/>
      <c r="HQ41" s="174"/>
      <c r="HR41" s="174"/>
      <c r="HS41" s="174"/>
      <c r="HT41" s="174"/>
      <c r="HU41" s="174"/>
      <c r="HV41" s="174"/>
      <c r="HW41" s="174"/>
      <c r="HX41" s="174"/>
      <c r="HY41" s="174"/>
      <c r="HZ41" s="174"/>
      <c r="IA41" s="174"/>
      <c r="IB41" s="174"/>
      <c r="IC41" s="174"/>
      <c r="ID41" s="174"/>
      <c r="IE41" s="174"/>
      <c r="IF41" s="174"/>
      <c r="IG41" s="174"/>
      <c r="IH41" s="174"/>
      <c r="II41" s="174"/>
      <c r="IJ41" s="174"/>
      <c r="IK41" s="174"/>
      <c r="IL41" s="174"/>
      <c r="IM41" s="174"/>
      <c r="IN41" s="174"/>
      <c r="IO41" s="174"/>
      <c r="IP41" s="174"/>
      <c r="IQ41" s="174"/>
      <c r="IR41" s="174"/>
      <c r="IS41" s="174"/>
      <c r="IT41" s="174"/>
      <c r="IU41" s="174"/>
      <c r="IV41" s="174"/>
    </row>
    <row r="42" spans="1:256" ht="33" x14ac:dyDescent="0.35">
      <c r="A42" s="301">
        <v>34</v>
      </c>
      <c r="B42" s="237"/>
      <c r="C42" s="175">
        <v>9</v>
      </c>
      <c r="D42" s="177" t="s">
        <v>356</v>
      </c>
      <c r="E42" s="183">
        <f>F42+G42+O44+P43</f>
        <v>2516469</v>
      </c>
      <c r="F42" s="291">
        <v>100669</v>
      </c>
      <c r="G42" s="184">
        <v>12816</v>
      </c>
      <c r="H42" s="373" t="s">
        <v>24</v>
      </c>
      <c r="I42" s="371"/>
      <c r="J42" s="364"/>
      <c r="K42" s="364"/>
      <c r="L42" s="364"/>
      <c r="M42" s="364"/>
      <c r="N42" s="384"/>
      <c r="O42" s="357"/>
      <c r="P42" s="292"/>
    </row>
    <row r="43" spans="1:256" s="287" customFormat="1" ht="18" customHeight="1" x14ac:dyDescent="0.35">
      <c r="A43" s="301">
        <v>35</v>
      </c>
      <c r="B43" s="295"/>
      <c r="C43" s="175"/>
      <c r="D43" s="367" t="s">
        <v>268</v>
      </c>
      <c r="E43" s="183"/>
      <c r="F43" s="291"/>
      <c r="G43" s="184"/>
      <c r="H43" s="373"/>
      <c r="I43" s="371"/>
      <c r="J43" s="364"/>
      <c r="K43" s="364">
        <v>11445</v>
      </c>
      <c r="L43" s="364"/>
      <c r="M43" s="364">
        <v>1504400</v>
      </c>
      <c r="N43" s="384"/>
      <c r="O43" s="357">
        <f>SUM(I43:N43)</f>
        <v>1515845</v>
      </c>
      <c r="P43" s="292">
        <v>887139</v>
      </c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  <c r="EE43" s="174"/>
      <c r="EF43" s="174"/>
      <c r="EG43" s="174"/>
      <c r="EH43" s="174"/>
      <c r="EI43" s="174"/>
      <c r="EJ43" s="174"/>
      <c r="EK43" s="174"/>
      <c r="EL43" s="174"/>
      <c r="EM43" s="174"/>
      <c r="EN43" s="174"/>
      <c r="EO43" s="174"/>
      <c r="EP43" s="174"/>
      <c r="EQ43" s="174"/>
      <c r="ER43" s="174"/>
      <c r="ES43" s="174"/>
      <c r="ET43" s="174"/>
      <c r="EU43" s="174"/>
      <c r="EV43" s="174"/>
      <c r="EW43" s="174"/>
      <c r="EX43" s="174"/>
      <c r="EY43" s="174"/>
      <c r="EZ43" s="174"/>
      <c r="FA43" s="174"/>
      <c r="FB43" s="174"/>
      <c r="FC43" s="174"/>
      <c r="FD43" s="174"/>
      <c r="FE43" s="174"/>
      <c r="FF43" s="174"/>
      <c r="FG43" s="174"/>
      <c r="FH43" s="174"/>
      <c r="FI43" s="174"/>
      <c r="FJ43" s="174"/>
      <c r="FK43" s="174"/>
      <c r="FL43" s="174"/>
      <c r="FM43" s="174"/>
      <c r="FN43" s="174"/>
      <c r="FO43" s="174"/>
      <c r="FP43" s="174"/>
      <c r="FQ43" s="174"/>
      <c r="FR43" s="174"/>
      <c r="FS43" s="174"/>
      <c r="FT43" s="174"/>
      <c r="FU43" s="174"/>
      <c r="FV43" s="174"/>
      <c r="FW43" s="174"/>
      <c r="FX43" s="174"/>
      <c r="FY43" s="174"/>
      <c r="FZ43" s="174"/>
      <c r="GA43" s="174"/>
      <c r="GB43" s="174"/>
      <c r="GC43" s="174"/>
      <c r="GD43" s="174"/>
      <c r="GE43" s="174"/>
      <c r="GF43" s="174"/>
      <c r="GG43" s="174"/>
      <c r="GH43" s="174"/>
      <c r="GI43" s="174"/>
      <c r="GJ43" s="174"/>
      <c r="GK43" s="174"/>
      <c r="GL43" s="174"/>
      <c r="GM43" s="174"/>
      <c r="GN43" s="174"/>
      <c r="GO43" s="174"/>
      <c r="GP43" s="174"/>
      <c r="GQ43" s="174"/>
      <c r="GR43" s="174"/>
      <c r="GS43" s="174"/>
      <c r="GT43" s="174"/>
      <c r="GU43" s="174"/>
      <c r="GV43" s="174"/>
      <c r="GW43" s="174"/>
      <c r="GX43" s="174"/>
      <c r="GY43" s="174"/>
      <c r="GZ43" s="174"/>
      <c r="HA43" s="174"/>
      <c r="HB43" s="174"/>
      <c r="HC43" s="174"/>
      <c r="HD43" s="174"/>
      <c r="HE43" s="174"/>
      <c r="HF43" s="174"/>
      <c r="HG43" s="174"/>
      <c r="HH43" s="174"/>
      <c r="HI43" s="174"/>
      <c r="HJ43" s="174"/>
      <c r="HK43" s="174"/>
      <c r="HL43" s="174"/>
      <c r="HM43" s="174"/>
      <c r="HN43" s="174"/>
      <c r="HO43" s="174"/>
      <c r="HP43" s="174"/>
      <c r="HQ43" s="174"/>
      <c r="HR43" s="174"/>
      <c r="HS43" s="174"/>
      <c r="HT43" s="174"/>
      <c r="HU43" s="174"/>
      <c r="HV43" s="174"/>
      <c r="HW43" s="174"/>
      <c r="HX43" s="174"/>
      <c r="HY43" s="174"/>
      <c r="HZ43" s="174"/>
      <c r="IA43" s="174"/>
      <c r="IB43" s="174"/>
      <c r="IC43" s="174"/>
      <c r="ID43" s="174"/>
      <c r="IE43" s="174"/>
      <c r="IF43" s="174"/>
      <c r="IG43" s="174"/>
      <c r="IH43" s="174"/>
      <c r="II43" s="174"/>
      <c r="IJ43" s="174"/>
      <c r="IK43" s="174"/>
      <c r="IL43" s="174"/>
      <c r="IM43" s="174"/>
      <c r="IN43" s="174"/>
      <c r="IO43" s="174"/>
      <c r="IP43" s="174"/>
      <c r="IQ43" s="174"/>
      <c r="IR43" s="174"/>
      <c r="IS43" s="174"/>
      <c r="IT43" s="174"/>
      <c r="IU43" s="174"/>
      <c r="IV43" s="174"/>
    </row>
    <row r="44" spans="1:256" s="287" customFormat="1" ht="18" customHeight="1" x14ac:dyDescent="0.35">
      <c r="A44" s="301">
        <v>36</v>
      </c>
      <c r="B44" s="295"/>
      <c r="C44" s="175"/>
      <c r="D44" s="224" t="s">
        <v>796</v>
      </c>
      <c r="E44" s="183"/>
      <c r="F44" s="291"/>
      <c r="G44" s="184"/>
      <c r="H44" s="373"/>
      <c r="I44" s="371"/>
      <c r="J44" s="364"/>
      <c r="K44" s="632">
        <v>11445</v>
      </c>
      <c r="L44" s="632"/>
      <c r="M44" s="632">
        <v>1504400</v>
      </c>
      <c r="N44" s="288"/>
      <c r="O44" s="296">
        <f t="shared" ref="O44:O45" si="8">SUM(I44:N44)</f>
        <v>1515845</v>
      </c>
      <c r="P44" s="292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4"/>
      <c r="EW44" s="174"/>
      <c r="EX44" s="174"/>
      <c r="EY44" s="174"/>
      <c r="EZ44" s="174"/>
      <c r="FA44" s="174"/>
      <c r="FB44" s="174"/>
      <c r="FC44" s="174"/>
      <c r="FD44" s="174"/>
      <c r="FE44" s="174"/>
      <c r="FF44" s="174"/>
      <c r="FG44" s="174"/>
      <c r="FH44" s="174"/>
      <c r="FI44" s="174"/>
      <c r="FJ44" s="174"/>
      <c r="FK44" s="174"/>
      <c r="FL44" s="174"/>
      <c r="FM44" s="174"/>
      <c r="FN44" s="174"/>
      <c r="FO44" s="174"/>
      <c r="FP44" s="174"/>
      <c r="FQ44" s="174"/>
      <c r="FR44" s="174"/>
      <c r="FS44" s="174"/>
      <c r="FT44" s="174"/>
      <c r="FU44" s="174"/>
      <c r="FV44" s="174"/>
      <c r="FW44" s="174"/>
      <c r="FX44" s="174"/>
      <c r="FY44" s="174"/>
      <c r="FZ44" s="174"/>
      <c r="GA44" s="174"/>
      <c r="GB44" s="174"/>
      <c r="GC44" s="174"/>
      <c r="GD44" s="174"/>
      <c r="GE44" s="174"/>
      <c r="GF44" s="174"/>
      <c r="GG44" s="174"/>
      <c r="GH44" s="174"/>
      <c r="GI44" s="174"/>
      <c r="GJ44" s="174"/>
      <c r="GK44" s="174"/>
      <c r="GL44" s="174"/>
      <c r="GM44" s="174"/>
      <c r="GN44" s="174"/>
      <c r="GO44" s="174"/>
      <c r="GP44" s="174"/>
      <c r="GQ44" s="174"/>
      <c r="GR44" s="174"/>
      <c r="GS44" s="174"/>
      <c r="GT44" s="174"/>
      <c r="GU44" s="174"/>
      <c r="GV44" s="174"/>
      <c r="GW44" s="174"/>
      <c r="GX44" s="174"/>
      <c r="GY44" s="174"/>
      <c r="GZ44" s="174"/>
      <c r="HA44" s="174"/>
      <c r="HB44" s="174"/>
      <c r="HC44" s="174"/>
      <c r="HD44" s="174"/>
      <c r="HE44" s="174"/>
      <c r="HF44" s="174"/>
      <c r="HG44" s="174"/>
      <c r="HH44" s="174"/>
      <c r="HI44" s="174"/>
      <c r="HJ44" s="174"/>
      <c r="HK44" s="174"/>
      <c r="HL44" s="174"/>
      <c r="HM44" s="174"/>
      <c r="HN44" s="174"/>
      <c r="HO44" s="174"/>
      <c r="HP44" s="174"/>
      <c r="HQ44" s="174"/>
      <c r="HR44" s="174"/>
      <c r="HS44" s="174"/>
      <c r="HT44" s="174"/>
      <c r="HU44" s="174"/>
      <c r="HV44" s="174"/>
      <c r="HW44" s="174"/>
      <c r="HX44" s="174"/>
      <c r="HY44" s="174"/>
      <c r="HZ44" s="174"/>
      <c r="IA44" s="174"/>
      <c r="IB44" s="174"/>
      <c r="IC44" s="174"/>
      <c r="ID44" s="174"/>
      <c r="IE44" s="174"/>
      <c r="IF44" s="174"/>
      <c r="IG44" s="174"/>
      <c r="IH44" s="174"/>
      <c r="II44" s="174"/>
      <c r="IJ44" s="174"/>
      <c r="IK44" s="174"/>
      <c r="IL44" s="174"/>
      <c r="IM44" s="174"/>
      <c r="IN44" s="174"/>
      <c r="IO44" s="174"/>
      <c r="IP44" s="174"/>
      <c r="IQ44" s="174"/>
      <c r="IR44" s="174"/>
      <c r="IS44" s="174"/>
      <c r="IT44" s="174"/>
      <c r="IU44" s="174"/>
      <c r="IV44" s="174"/>
    </row>
    <row r="45" spans="1:256" s="287" customFormat="1" ht="18" customHeight="1" x14ac:dyDescent="0.35">
      <c r="A45" s="301">
        <v>37</v>
      </c>
      <c r="B45" s="295"/>
      <c r="C45" s="175"/>
      <c r="D45" s="976" t="s">
        <v>861</v>
      </c>
      <c r="E45" s="183"/>
      <c r="F45" s="291"/>
      <c r="G45" s="184"/>
      <c r="H45" s="373"/>
      <c r="I45" s="1195"/>
      <c r="J45" s="1196"/>
      <c r="K45" s="1194">
        <v>3689</v>
      </c>
      <c r="L45" s="1194"/>
      <c r="M45" s="1194">
        <v>12065</v>
      </c>
      <c r="N45" s="1194"/>
      <c r="O45" s="1192">
        <f t="shared" si="8"/>
        <v>15754</v>
      </c>
      <c r="P45" s="292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4"/>
      <c r="EW45" s="174"/>
      <c r="EX45" s="174"/>
      <c r="EY45" s="174"/>
      <c r="EZ45" s="174"/>
      <c r="FA45" s="174"/>
      <c r="FB45" s="174"/>
      <c r="FC45" s="174"/>
      <c r="FD45" s="174"/>
      <c r="FE45" s="174"/>
      <c r="FF45" s="174"/>
      <c r="FG45" s="174"/>
      <c r="FH45" s="174"/>
      <c r="FI45" s="174"/>
      <c r="FJ45" s="174"/>
      <c r="FK45" s="174"/>
      <c r="FL45" s="174"/>
      <c r="FM45" s="174"/>
      <c r="FN45" s="174"/>
      <c r="FO45" s="174"/>
      <c r="FP45" s="174"/>
      <c r="FQ45" s="174"/>
      <c r="FR45" s="174"/>
      <c r="FS45" s="174"/>
      <c r="FT45" s="174"/>
      <c r="FU45" s="174"/>
      <c r="FV45" s="174"/>
      <c r="FW45" s="174"/>
      <c r="FX45" s="174"/>
      <c r="FY45" s="174"/>
      <c r="FZ45" s="174"/>
      <c r="GA45" s="174"/>
      <c r="GB45" s="174"/>
      <c r="GC45" s="174"/>
      <c r="GD45" s="174"/>
      <c r="GE45" s="174"/>
      <c r="GF45" s="174"/>
      <c r="GG45" s="174"/>
      <c r="GH45" s="174"/>
      <c r="GI45" s="174"/>
      <c r="GJ45" s="174"/>
      <c r="GK45" s="174"/>
      <c r="GL45" s="174"/>
      <c r="GM45" s="174"/>
      <c r="GN45" s="174"/>
      <c r="GO45" s="174"/>
      <c r="GP45" s="174"/>
      <c r="GQ45" s="174"/>
      <c r="GR45" s="174"/>
      <c r="GS45" s="174"/>
      <c r="GT45" s="174"/>
      <c r="GU45" s="174"/>
      <c r="GV45" s="174"/>
      <c r="GW45" s="174"/>
      <c r="GX45" s="174"/>
      <c r="GY45" s="174"/>
      <c r="GZ45" s="174"/>
      <c r="HA45" s="174"/>
      <c r="HB45" s="174"/>
      <c r="HC45" s="174"/>
      <c r="HD45" s="174"/>
      <c r="HE45" s="174"/>
      <c r="HF45" s="174"/>
      <c r="HG45" s="174"/>
      <c r="HH45" s="174"/>
      <c r="HI45" s="174"/>
      <c r="HJ45" s="174"/>
      <c r="HK45" s="174"/>
      <c r="HL45" s="174"/>
      <c r="HM45" s="174"/>
      <c r="HN45" s="174"/>
      <c r="HO45" s="174"/>
      <c r="HP45" s="174"/>
      <c r="HQ45" s="174"/>
      <c r="HR45" s="174"/>
      <c r="HS45" s="174"/>
      <c r="HT45" s="174"/>
      <c r="HU45" s="174"/>
      <c r="HV45" s="174"/>
      <c r="HW45" s="174"/>
      <c r="HX45" s="174"/>
      <c r="HY45" s="174"/>
      <c r="HZ45" s="174"/>
      <c r="IA45" s="174"/>
      <c r="IB45" s="174"/>
      <c r="IC45" s="174"/>
      <c r="ID45" s="174"/>
      <c r="IE45" s="174"/>
      <c r="IF45" s="174"/>
      <c r="IG45" s="174"/>
      <c r="IH45" s="174"/>
      <c r="II45" s="174"/>
      <c r="IJ45" s="174"/>
      <c r="IK45" s="174"/>
      <c r="IL45" s="174"/>
      <c r="IM45" s="174"/>
      <c r="IN45" s="174"/>
      <c r="IO45" s="174"/>
      <c r="IP45" s="174"/>
      <c r="IQ45" s="174"/>
      <c r="IR45" s="174"/>
      <c r="IS45" s="174"/>
      <c r="IT45" s="174"/>
      <c r="IU45" s="174"/>
      <c r="IV45" s="174"/>
    </row>
    <row r="46" spans="1:256" ht="54" customHeight="1" x14ac:dyDescent="0.35">
      <c r="A46" s="301">
        <v>38</v>
      </c>
      <c r="B46" s="237"/>
      <c r="C46" s="175">
        <v>10</v>
      </c>
      <c r="D46" s="177" t="s">
        <v>399</v>
      </c>
      <c r="E46" s="183">
        <f>F46+G46+O48+P47</f>
        <v>267126</v>
      </c>
      <c r="F46" s="291">
        <v>17206</v>
      </c>
      <c r="G46" s="184"/>
      <c r="H46" s="373" t="s">
        <v>24</v>
      </c>
      <c r="I46" s="371"/>
      <c r="J46" s="364"/>
      <c r="K46" s="364"/>
      <c r="L46" s="364"/>
      <c r="M46" s="364"/>
      <c r="N46" s="384"/>
      <c r="O46" s="357"/>
      <c r="P46" s="292"/>
    </row>
    <row r="47" spans="1:256" s="287" customFormat="1" ht="18" customHeight="1" x14ac:dyDescent="0.35">
      <c r="A47" s="301">
        <v>39</v>
      </c>
      <c r="B47" s="295"/>
      <c r="C47" s="191"/>
      <c r="D47" s="367" t="s">
        <v>268</v>
      </c>
      <c r="E47" s="183"/>
      <c r="F47" s="291"/>
      <c r="G47" s="184"/>
      <c r="H47" s="373"/>
      <c r="I47" s="371"/>
      <c r="J47" s="364"/>
      <c r="K47" s="364">
        <v>3667</v>
      </c>
      <c r="L47" s="364"/>
      <c r="M47" s="364">
        <v>258103</v>
      </c>
      <c r="N47" s="384"/>
      <c r="O47" s="357">
        <f>SUM(I47:N47)</f>
        <v>261770</v>
      </c>
      <c r="P47" s="292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74"/>
      <c r="EE47" s="174"/>
      <c r="EF47" s="174"/>
      <c r="EG47" s="174"/>
      <c r="EH47" s="174"/>
      <c r="EI47" s="174"/>
      <c r="EJ47" s="174"/>
      <c r="EK47" s="174"/>
      <c r="EL47" s="174"/>
      <c r="EM47" s="174"/>
      <c r="EN47" s="174"/>
      <c r="EO47" s="174"/>
      <c r="EP47" s="174"/>
      <c r="EQ47" s="174"/>
      <c r="ER47" s="174"/>
      <c r="ES47" s="174"/>
      <c r="ET47" s="174"/>
      <c r="EU47" s="174"/>
      <c r="EV47" s="174"/>
      <c r="EW47" s="174"/>
      <c r="EX47" s="174"/>
      <c r="EY47" s="174"/>
      <c r="EZ47" s="174"/>
      <c r="FA47" s="174"/>
      <c r="FB47" s="174"/>
      <c r="FC47" s="174"/>
      <c r="FD47" s="174"/>
      <c r="FE47" s="174"/>
      <c r="FF47" s="174"/>
      <c r="FG47" s="174"/>
      <c r="FH47" s="174"/>
      <c r="FI47" s="174"/>
      <c r="FJ47" s="174"/>
      <c r="FK47" s="174"/>
      <c r="FL47" s="174"/>
      <c r="FM47" s="174"/>
      <c r="FN47" s="174"/>
      <c r="FO47" s="174"/>
      <c r="FP47" s="174"/>
      <c r="FQ47" s="174"/>
      <c r="FR47" s="174"/>
      <c r="FS47" s="174"/>
      <c r="FT47" s="174"/>
      <c r="FU47" s="174"/>
      <c r="FV47" s="174"/>
      <c r="FW47" s="174"/>
      <c r="FX47" s="174"/>
      <c r="FY47" s="174"/>
      <c r="FZ47" s="174"/>
      <c r="GA47" s="174"/>
      <c r="GB47" s="174"/>
      <c r="GC47" s="174"/>
      <c r="GD47" s="174"/>
      <c r="GE47" s="174"/>
      <c r="GF47" s="174"/>
      <c r="GG47" s="174"/>
      <c r="GH47" s="174"/>
      <c r="GI47" s="174"/>
      <c r="GJ47" s="174"/>
      <c r="GK47" s="174"/>
      <c r="GL47" s="174"/>
      <c r="GM47" s="174"/>
      <c r="GN47" s="174"/>
      <c r="GO47" s="174"/>
      <c r="GP47" s="174"/>
      <c r="GQ47" s="174"/>
      <c r="GR47" s="174"/>
      <c r="GS47" s="174"/>
      <c r="GT47" s="174"/>
      <c r="GU47" s="174"/>
      <c r="GV47" s="174"/>
      <c r="GW47" s="174"/>
      <c r="GX47" s="174"/>
      <c r="GY47" s="174"/>
      <c r="GZ47" s="174"/>
      <c r="HA47" s="174"/>
      <c r="HB47" s="174"/>
      <c r="HC47" s="174"/>
      <c r="HD47" s="174"/>
      <c r="HE47" s="174"/>
      <c r="HF47" s="174"/>
      <c r="HG47" s="174"/>
      <c r="HH47" s="174"/>
      <c r="HI47" s="174"/>
      <c r="HJ47" s="174"/>
      <c r="HK47" s="174"/>
      <c r="HL47" s="174"/>
      <c r="HM47" s="174"/>
      <c r="HN47" s="174"/>
      <c r="HO47" s="174"/>
      <c r="HP47" s="174"/>
      <c r="HQ47" s="174"/>
      <c r="HR47" s="174"/>
      <c r="HS47" s="174"/>
      <c r="HT47" s="174"/>
      <c r="HU47" s="174"/>
      <c r="HV47" s="174"/>
      <c r="HW47" s="174"/>
      <c r="HX47" s="174"/>
      <c r="HY47" s="174"/>
      <c r="HZ47" s="174"/>
      <c r="IA47" s="174"/>
      <c r="IB47" s="174"/>
      <c r="IC47" s="174"/>
      <c r="ID47" s="174"/>
      <c r="IE47" s="174"/>
      <c r="IF47" s="174"/>
      <c r="IG47" s="174"/>
      <c r="IH47" s="174"/>
      <c r="II47" s="174"/>
      <c r="IJ47" s="174"/>
      <c r="IK47" s="174"/>
      <c r="IL47" s="174"/>
      <c r="IM47" s="174"/>
      <c r="IN47" s="174"/>
      <c r="IO47" s="174"/>
      <c r="IP47" s="174"/>
      <c r="IQ47" s="174"/>
      <c r="IR47" s="174"/>
      <c r="IS47" s="174"/>
      <c r="IT47" s="174"/>
      <c r="IU47" s="174"/>
      <c r="IV47" s="174"/>
    </row>
    <row r="48" spans="1:256" s="287" customFormat="1" ht="18" customHeight="1" x14ac:dyDescent="0.35">
      <c r="A48" s="301">
        <v>40</v>
      </c>
      <c r="B48" s="295"/>
      <c r="C48" s="191"/>
      <c r="D48" s="224" t="s">
        <v>796</v>
      </c>
      <c r="E48" s="183"/>
      <c r="F48" s="291"/>
      <c r="G48" s="184"/>
      <c r="H48" s="373"/>
      <c r="I48" s="614"/>
      <c r="J48" s="632"/>
      <c r="K48" s="632">
        <v>3667</v>
      </c>
      <c r="L48" s="632"/>
      <c r="M48" s="632">
        <v>246253</v>
      </c>
      <c r="N48" s="288"/>
      <c r="O48" s="296">
        <f t="shared" ref="O48:O49" si="9">SUM(I48:N48)</f>
        <v>249920</v>
      </c>
      <c r="P48" s="292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4"/>
      <c r="FE48" s="174"/>
      <c r="FF48" s="174"/>
      <c r="FG48" s="174"/>
      <c r="FH48" s="174"/>
      <c r="FI48" s="174"/>
      <c r="FJ48" s="174"/>
      <c r="FK48" s="174"/>
      <c r="FL48" s="174"/>
      <c r="FM48" s="174"/>
      <c r="FN48" s="174"/>
      <c r="FO48" s="174"/>
      <c r="FP48" s="174"/>
      <c r="FQ48" s="174"/>
      <c r="FR48" s="174"/>
      <c r="FS48" s="174"/>
      <c r="FT48" s="174"/>
      <c r="FU48" s="174"/>
      <c r="FV48" s="174"/>
      <c r="FW48" s="174"/>
      <c r="FX48" s="174"/>
      <c r="FY48" s="174"/>
      <c r="FZ48" s="174"/>
      <c r="GA48" s="174"/>
      <c r="GB48" s="174"/>
      <c r="GC48" s="174"/>
      <c r="GD48" s="174"/>
      <c r="GE48" s="174"/>
      <c r="GF48" s="174"/>
      <c r="GG48" s="174"/>
      <c r="GH48" s="174"/>
      <c r="GI48" s="174"/>
      <c r="GJ48" s="174"/>
      <c r="GK48" s="174"/>
      <c r="GL48" s="174"/>
      <c r="GM48" s="174"/>
      <c r="GN48" s="174"/>
      <c r="GO48" s="174"/>
      <c r="GP48" s="174"/>
      <c r="GQ48" s="174"/>
      <c r="GR48" s="174"/>
      <c r="GS48" s="174"/>
      <c r="GT48" s="174"/>
      <c r="GU48" s="174"/>
      <c r="GV48" s="174"/>
      <c r="GW48" s="174"/>
      <c r="GX48" s="174"/>
      <c r="GY48" s="174"/>
      <c r="GZ48" s="174"/>
      <c r="HA48" s="174"/>
      <c r="HB48" s="174"/>
      <c r="HC48" s="174"/>
      <c r="HD48" s="174"/>
      <c r="HE48" s="174"/>
      <c r="HF48" s="174"/>
      <c r="HG48" s="174"/>
      <c r="HH48" s="174"/>
      <c r="HI48" s="174"/>
      <c r="HJ48" s="174"/>
      <c r="HK48" s="174"/>
      <c r="HL48" s="174"/>
      <c r="HM48" s="174"/>
      <c r="HN48" s="174"/>
      <c r="HO48" s="174"/>
      <c r="HP48" s="174"/>
      <c r="HQ48" s="174"/>
      <c r="HR48" s="174"/>
      <c r="HS48" s="174"/>
      <c r="HT48" s="174"/>
      <c r="HU48" s="174"/>
      <c r="HV48" s="174"/>
      <c r="HW48" s="174"/>
      <c r="HX48" s="174"/>
      <c r="HY48" s="174"/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  <c r="IL48" s="174"/>
      <c r="IM48" s="174"/>
      <c r="IN48" s="174"/>
      <c r="IO48" s="174"/>
      <c r="IP48" s="174"/>
      <c r="IQ48" s="174"/>
      <c r="IR48" s="174"/>
      <c r="IS48" s="174"/>
      <c r="IT48" s="174"/>
      <c r="IU48" s="174"/>
      <c r="IV48" s="174"/>
    </row>
    <row r="49" spans="1:256" s="287" customFormat="1" ht="18" customHeight="1" x14ac:dyDescent="0.35">
      <c r="A49" s="301">
        <v>41</v>
      </c>
      <c r="B49" s="295"/>
      <c r="C49" s="191"/>
      <c r="D49" s="976" t="s">
        <v>861</v>
      </c>
      <c r="E49" s="183"/>
      <c r="F49" s="291"/>
      <c r="G49" s="184"/>
      <c r="H49" s="373"/>
      <c r="I49" s="1198"/>
      <c r="J49" s="1194"/>
      <c r="K49" s="1194">
        <v>100</v>
      </c>
      <c r="L49" s="1194"/>
      <c r="M49" s="1194"/>
      <c r="N49" s="1194"/>
      <c r="O49" s="1192">
        <f t="shared" si="9"/>
        <v>100</v>
      </c>
      <c r="P49" s="292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4"/>
      <c r="EH49" s="174"/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4"/>
      <c r="EX49" s="174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4"/>
      <c r="FK49" s="174"/>
      <c r="FL49" s="174"/>
      <c r="FM49" s="174"/>
      <c r="FN49" s="174"/>
      <c r="FO49" s="174"/>
      <c r="FP49" s="174"/>
      <c r="FQ49" s="174"/>
      <c r="FR49" s="174"/>
      <c r="FS49" s="174"/>
      <c r="FT49" s="174"/>
      <c r="FU49" s="174"/>
      <c r="FV49" s="174"/>
      <c r="FW49" s="174"/>
      <c r="FX49" s="174"/>
      <c r="FY49" s="174"/>
      <c r="FZ49" s="174"/>
      <c r="GA49" s="174"/>
      <c r="GB49" s="174"/>
      <c r="GC49" s="174"/>
      <c r="GD49" s="174"/>
      <c r="GE49" s="174"/>
      <c r="GF49" s="174"/>
      <c r="GG49" s="174"/>
      <c r="GH49" s="174"/>
      <c r="GI49" s="174"/>
      <c r="GJ49" s="174"/>
      <c r="GK49" s="174"/>
      <c r="GL49" s="174"/>
      <c r="GM49" s="174"/>
      <c r="GN49" s="174"/>
      <c r="GO49" s="174"/>
      <c r="GP49" s="174"/>
      <c r="GQ49" s="174"/>
      <c r="GR49" s="174"/>
      <c r="GS49" s="174"/>
      <c r="GT49" s="174"/>
      <c r="GU49" s="174"/>
      <c r="GV49" s="174"/>
      <c r="GW49" s="174"/>
      <c r="GX49" s="174"/>
      <c r="GY49" s="174"/>
      <c r="GZ49" s="174"/>
      <c r="HA49" s="174"/>
      <c r="HB49" s="174"/>
      <c r="HC49" s="174"/>
      <c r="HD49" s="174"/>
      <c r="HE49" s="174"/>
      <c r="HF49" s="174"/>
      <c r="HG49" s="174"/>
      <c r="HH49" s="174"/>
      <c r="HI49" s="174"/>
      <c r="HJ49" s="174"/>
      <c r="HK49" s="174"/>
      <c r="HL49" s="174"/>
      <c r="HM49" s="174"/>
      <c r="HN49" s="174"/>
      <c r="HO49" s="174"/>
      <c r="HP49" s="174"/>
      <c r="HQ49" s="174"/>
      <c r="HR49" s="174"/>
      <c r="HS49" s="174"/>
      <c r="HT49" s="174"/>
      <c r="HU49" s="174"/>
      <c r="HV49" s="174"/>
      <c r="HW49" s="174"/>
      <c r="HX49" s="174"/>
      <c r="HY49" s="174"/>
      <c r="HZ49" s="174"/>
      <c r="IA49" s="174"/>
      <c r="IB49" s="174"/>
      <c r="IC49" s="174"/>
      <c r="ID49" s="174"/>
      <c r="IE49" s="174"/>
      <c r="IF49" s="174"/>
      <c r="IG49" s="174"/>
      <c r="IH49" s="174"/>
      <c r="II49" s="174"/>
      <c r="IJ49" s="174"/>
      <c r="IK49" s="174"/>
      <c r="IL49" s="174"/>
      <c r="IM49" s="174"/>
      <c r="IN49" s="174"/>
      <c r="IO49" s="174"/>
      <c r="IP49" s="174"/>
      <c r="IQ49" s="174"/>
      <c r="IR49" s="174"/>
      <c r="IS49" s="174"/>
      <c r="IT49" s="174"/>
      <c r="IU49" s="174"/>
      <c r="IV49" s="174"/>
    </row>
    <row r="50" spans="1:256" ht="33" x14ac:dyDescent="0.35">
      <c r="A50" s="301">
        <v>42</v>
      </c>
      <c r="B50" s="237"/>
      <c r="C50" s="175">
        <v>11</v>
      </c>
      <c r="D50" s="177" t="s">
        <v>447</v>
      </c>
      <c r="E50" s="183">
        <f>F50+G50+O52+P51+38331+66535</f>
        <v>184000</v>
      </c>
      <c r="F50" s="291">
        <v>39415</v>
      </c>
      <c r="G50" s="184">
        <v>18104</v>
      </c>
      <c r="H50" s="373" t="s">
        <v>24</v>
      </c>
      <c r="I50" s="371"/>
      <c r="J50" s="364"/>
      <c r="K50" s="364"/>
      <c r="L50" s="364"/>
      <c r="M50" s="364"/>
      <c r="N50" s="384"/>
      <c r="O50" s="357"/>
      <c r="P50" s="292"/>
    </row>
    <row r="51" spans="1:256" s="287" customFormat="1" ht="18" customHeight="1" x14ac:dyDescent="0.35">
      <c r="A51" s="301">
        <v>43</v>
      </c>
      <c r="B51" s="295"/>
      <c r="C51" s="175"/>
      <c r="D51" s="367" t="s">
        <v>268</v>
      </c>
      <c r="E51" s="183"/>
      <c r="F51" s="291"/>
      <c r="G51" s="184"/>
      <c r="H51" s="373"/>
      <c r="I51" s="371"/>
      <c r="J51" s="364"/>
      <c r="K51" s="364">
        <v>21615</v>
      </c>
      <c r="L51" s="364"/>
      <c r="M51" s="364"/>
      <c r="N51" s="384"/>
      <c r="O51" s="357">
        <f>SUM(I51:N51)</f>
        <v>21615</v>
      </c>
      <c r="P51" s="292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4"/>
      <c r="DK51" s="174"/>
      <c r="DL51" s="174"/>
      <c r="DM51" s="174"/>
      <c r="DN51" s="174"/>
      <c r="DO51" s="174"/>
      <c r="DP51" s="174"/>
      <c r="DQ51" s="174"/>
      <c r="DR51" s="174"/>
      <c r="DS51" s="174"/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74"/>
      <c r="EE51" s="174"/>
      <c r="EF51" s="174"/>
      <c r="EG51" s="174"/>
      <c r="EH51" s="174"/>
      <c r="EI51" s="174"/>
      <c r="EJ51" s="174"/>
      <c r="EK51" s="174"/>
      <c r="EL51" s="174"/>
      <c r="EM51" s="174"/>
      <c r="EN51" s="174"/>
      <c r="EO51" s="174"/>
      <c r="EP51" s="174"/>
      <c r="EQ51" s="174"/>
      <c r="ER51" s="174"/>
      <c r="ES51" s="174"/>
      <c r="ET51" s="174"/>
      <c r="EU51" s="174"/>
      <c r="EV51" s="174"/>
      <c r="EW51" s="174"/>
      <c r="EX51" s="174"/>
      <c r="EY51" s="174"/>
      <c r="EZ51" s="174"/>
      <c r="FA51" s="174"/>
      <c r="FB51" s="174"/>
      <c r="FC51" s="174"/>
      <c r="FD51" s="174"/>
      <c r="FE51" s="174"/>
      <c r="FF51" s="174"/>
      <c r="FG51" s="174"/>
      <c r="FH51" s="174"/>
      <c r="FI51" s="174"/>
      <c r="FJ51" s="174"/>
      <c r="FK51" s="174"/>
      <c r="FL51" s="174"/>
      <c r="FM51" s="174"/>
      <c r="FN51" s="174"/>
      <c r="FO51" s="174"/>
      <c r="FP51" s="174"/>
      <c r="FQ51" s="174"/>
      <c r="FR51" s="174"/>
      <c r="FS51" s="174"/>
      <c r="FT51" s="174"/>
      <c r="FU51" s="174"/>
      <c r="FV51" s="174"/>
      <c r="FW51" s="174"/>
      <c r="FX51" s="174"/>
      <c r="FY51" s="174"/>
      <c r="FZ51" s="174"/>
      <c r="GA51" s="174"/>
      <c r="GB51" s="174"/>
      <c r="GC51" s="174"/>
      <c r="GD51" s="174"/>
      <c r="GE51" s="174"/>
      <c r="GF51" s="174"/>
      <c r="GG51" s="174"/>
      <c r="GH51" s="174"/>
      <c r="GI51" s="174"/>
      <c r="GJ51" s="174"/>
      <c r="GK51" s="174"/>
      <c r="GL51" s="174"/>
      <c r="GM51" s="174"/>
      <c r="GN51" s="174"/>
      <c r="GO51" s="174"/>
      <c r="GP51" s="174"/>
      <c r="GQ51" s="174"/>
      <c r="GR51" s="174"/>
      <c r="GS51" s="174"/>
      <c r="GT51" s="174"/>
      <c r="GU51" s="174"/>
      <c r="GV51" s="174"/>
      <c r="GW51" s="174"/>
      <c r="GX51" s="174"/>
      <c r="GY51" s="174"/>
      <c r="GZ51" s="174"/>
      <c r="HA51" s="174"/>
      <c r="HB51" s="174"/>
      <c r="HC51" s="174"/>
      <c r="HD51" s="174"/>
      <c r="HE51" s="174"/>
      <c r="HF51" s="174"/>
      <c r="HG51" s="174"/>
      <c r="HH51" s="174"/>
      <c r="HI51" s="174"/>
      <c r="HJ51" s="174"/>
      <c r="HK51" s="174"/>
      <c r="HL51" s="174"/>
      <c r="HM51" s="174"/>
      <c r="HN51" s="174"/>
      <c r="HO51" s="174"/>
      <c r="HP51" s="174"/>
      <c r="HQ51" s="174"/>
      <c r="HR51" s="174"/>
      <c r="HS51" s="174"/>
      <c r="HT51" s="174"/>
      <c r="HU51" s="174"/>
      <c r="HV51" s="174"/>
      <c r="HW51" s="174"/>
      <c r="HX51" s="174"/>
      <c r="HY51" s="174"/>
      <c r="HZ51" s="174"/>
      <c r="IA51" s="174"/>
      <c r="IB51" s="174"/>
      <c r="IC51" s="174"/>
      <c r="ID51" s="174"/>
      <c r="IE51" s="174"/>
      <c r="IF51" s="174"/>
      <c r="IG51" s="174"/>
      <c r="IH51" s="174"/>
      <c r="II51" s="174"/>
      <c r="IJ51" s="174"/>
      <c r="IK51" s="174"/>
      <c r="IL51" s="174"/>
      <c r="IM51" s="174"/>
      <c r="IN51" s="174"/>
      <c r="IO51" s="174"/>
      <c r="IP51" s="174"/>
      <c r="IQ51" s="174"/>
      <c r="IR51" s="174"/>
      <c r="IS51" s="174"/>
      <c r="IT51" s="174"/>
      <c r="IU51" s="174"/>
      <c r="IV51" s="174"/>
    </row>
    <row r="52" spans="1:256" s="287" customFormat="1" ht="18" customHeight="1" x14ac:dyDescent="0.35">
      <c r="A52" s="301">
        <v>44</v>
      </c>
      <c r="B52" s="295"/>
      <c r="C52" s="175"/>
      <c r="D52" s="224" t="s">
        <v>796</v>
      </c>
      <c r="E52" s="183"/>
      <c r="F52" s="291"/>
      <c r="G52" s="184"/>
      <c r="H52" s="373"/>
      <c r="I52" s="614"/>
      <c r="J52" s="632"/>
      <c r="K52" s="632">
        <v>21615</v>
      </c>
      <c r="L52" s="632"/>
      <c r="M52" s="632"/>
      <c r="N52" s="632"/>
      <c r="O52" s="296">
        <f t="shared" ref="O52:O53" si="10">SUM(I52:N52)</f>
        <v>21615</v>
      </c>
      <c r="P52" s="292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4"/>
      <c r="DT52" s="174"/>
      <c r="DU52" s="174"/>
      <c r="DV52" s="174"/>
      <c r="DW52" s="174"/>
      <c r="DX52" s="174"/>
      <c r="DY52" s="174"/>
      <c r="DZ52" s="174"/>
      <c r="EA52" s="174"/>
      <c r="EB52" s="174"/>
      <c r="EC52" s="174"/>
      <c r="ED52" s="174"/>
      <c r="EE52" s="174"/>
      <c r="EF52" s="174"/>
      <c r="EG52" s="174"/>
      <c r="EH52" s="174"/>
      <c r="EI52" s="174"/>
      <c r="EJ52" s="174"/>
      <c r="EK52" s="174"/>
      <c r="EL52" s="174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  <c r="FB52" s="174"/>
      <c r="FC52" s="174"/>
      <c r="FD52" s="174"/>
      <c r="FE52" s="174"/>
      <c r="FF52" s="174"/>
      <c r="FG52" s="174"/>
      <c r="FH52" s="174"/>
      <c r="FI52" s="174"/>
      <c r="FJ52" s="174"/>
      <c r="FK52" s="174"/>
      <c r="FL52" s="174"/>
      <c r="FM52" s="174"/>
      <c r="FN52" s="174"/>
      <c r="FO52" s="174"/>
      <c r="FP52" s="174"/>
      <c r="FQ52" s="174"/>
      <c r="FR52" s="174"/>
      <c r="FS52" s="174"/>
      <c r="FT52" s="174"/>
      <c r="FU52" s="174"/>
      <c r="FV52" s="174"/>
      <c r="FW52" s="174"/>
      <c r="FX52" s="174"/>
      <c r="FY52" s="174"/>
      <c r="FZ52" s="174"/>
      <c r="GA52" s="174"/>
      <c r="GB52" s="174"/>
      <c r="GC52" s="174"/>
      <c r="GD52" s="174"/>
      <c r="GE52" s="174"/>
      <c r="GF52" s="174"/>
      <c r="GG52" s="174"/>
      <c r="GH52" s="174"/>
      <c r="GI52" s="174"/>
      <c r="GJ52" s="174"/>
      <c r="GK52" s="174"/>
      <c r="GL52" s="174"/>
      <c r="GM52" s="174"/>
      <c r="GN52" s="174"/>
      <c r="GO52" s="174"/>
      <c r="GP52" s="174"/>
      <c r="GQ52" s="174"/>
      <c r="GR52" s="174"/>
      <c r="GS52" s="174"/>
      <c r="GT52" s="174"/>
      <c r="GU52" s="174"/>
      <c r="GV52" s="174"/>
      <c r="GW52" s="174"/>
      <c r="GX52" s="174"/>
      <c r="GY52" s="174"/>
      <c r="GZ52" s="174"/>
      <c r="HA52" s="174"/>
      <c r="HB52" s="174"/>
      <c r="HC52" s="174"/>
      <c r="HD52" s="174"/>
      <c r="HE52" s="174"/>
      <c r="HF52" s="174"/>
      <c r="HG52" s="174"/>
      <c r="HH52" s="174"/>
      <c r="HI52" s="174"/>
      <c r="HJ52" s="174"/>
      <c r="HK52" s="174"/>
      <c r="HL52" s="174"/>
      <c r="HM52" s="174"/>
      <c r="HN52" s="174"/>
      <c r="HO52" s="174"/>
      <c r="HP52" s="174"/>
      <c r="HQ52" s="174"/>
      <c r="HR52" s="174"/>
      <c r="HS52" s="174"/>
      <c r="HT52" s="174"/>
      <c r="HU52" s="174"/>
      <c r="HV52" s="174"/>
      <c r="HW52" s="174"/>
      <c r="HX52" s="174"/>
      <c r="HY52" s="174"/>
      <c r="HZ52" s="174"/>
      <c r="IA52" s="174"/>
      <c r="IB52" s="174"/>
      <c r="IC52" s="174"/>
      <c r="ID52" s="174"/>
      <c r="IE52" s="174"/>
      <c r="IF52" s="174"/>
      <c r="IG52" s="174"/>
      <c r="IH52" s="174"/>
      <c r="II52" s="174"/>
      <c r="IJ52" s="174"/>
      <c r="IK52" s="174"/>
      <c r="IL52" s="174"/>
      <c r="IM52" s="174"/>
      <c r="IN52" s="174"/>
      <c r="IO52" s="174"/>
      <c r="IP52" s="174"/>
      <c r="IQ52" s="174"/>
      <c r="IR52" s="174"/>
      <c r="IS52" s="174"/>
      <c r="IT52" s="174"/>
      <c r="IU52" s="174"/>
      <c r="IV52" s="174"/>
    </row>
    <row r="53" spans="1:256" s="287" customFormat="1" ht="18" customHeight="1" x14ac:dyDescent="0.35">
      <c r="A53" s="301">
        <v>45</v>
      </c>
      <c r="B53" s="295"/>
      <c r="C53" s="175"/>
      <c r="D53" s="976" t="s">
        <v>860</v>
      </c>
      <c r="E53" s="183"/>
      <c r="F53" s="291"/>
      <c r="G53" s="184"/>
      <c r="H53" s="373"/>
      <c r="I53" s="1198"/>
      <c r="J53" s="1194"/>
      <c r="K53" s="1194"/>
      <c r="L53" s="1194"/>
      <c r="M53" s="1194"/>
      <c r="N53" s="1194"/>
      <c r="O53" s="1192">
        <f t="shared" si="10"/>
        <v>0</v>
      </c>
      <c r="P53" s="292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74"/>
      <c r="EE53" s="174"/>
      <c r="EF53" s="174"/>
      <c r="EG53" s="174"/>
      <c r="EH53" s="174"/>
      <c r="EI53" s="174"/>
      <c r="EJ53" s="174"/>
      <c r="EK53" s="174"/>
      <c r="EL53" s="174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  <c r="FB53" s="174"/>
      <c r="FC53" s="174"/>
      <c r="FD53" s="174"/>
      <c r="FE53" s="174"/>
      <c r="FF53" s="174"/>
      <c r="FG53" s="174"/>
      <c r="FH53" s="174"/>
      <c r="FI53" s="174"/>
      <c r="FJ53" s="174"/>
      <c r="FK53" s="174"/>
      <c r="FL53" s="174"/>
      <c r="FM53" s="174"/>
      <c r="FN53" s="174"/>
      <c r="FO53" s="174"/>
      <c r="FP53" s="174"/>
      <c r="FQ53" s="174"/>
      <c r="FR53" s="174"/>
      <c r="FS53" s="174"/>
      <c r="FT53" s="174"/>
      <c r="FU53" s="174"/>
      <c r="FV53" s="174"/>
      <c r="FW53" s="174"/>
      <c r="FX53" s="174"/>
      <c r="FY53" s="174"/>
      <c r="FZ53" s="174"/>
      <c r="GA53" s="174"/>
      <c r="GB53" s="174"/>
      <c r="GC53" s="174"/>
      <c r="GD53" s="174"/>
      <c r="GE53" s="174"/>
      <c r="GF53" s="174"/>
      <c r="GG53" s="174"/>
      <c r="GH53" s="174"/>
      <c r="GI53" s="174"/>
      <c r="GJ53" s="174"/>
      <c r="GK53" s="174"/>
      <c r="GL53" s="174"/>
      <c r="GM53" s="174"/>
      <c r="GN53" s="174"/>
      <c r="GO53" s="174"/>
      <c r="GP53" s="174"/>
      <c r="GQ53" s="174"/>
      <c r="GR53" s="174"/>
      <c r="GS53" s="174"/>
      <c r="GT53" s="174"/>
      <c r="GU53" s="174"/>
      <c r="GV53" s="174"/>
      <c r="GW53" s="174"/>
      <c r="GX53" s="174"/>
      <c r="GY53" s="174"/>
      <c r="GZ53" s="174"/>
      <c r="HA53" s="174"/>
      <c r="HB53" s="174"/>
      <c r="HC53" s="174"/>
      <c r="HD53" s="174"/>
      <c r="HE53" s="174"/>
      <c r="HF53" s="174"/>
      <c r="HG53" s="174"/>
      <c r="HH53" s="174"/>
      <c r="HI53" s="174"/>
      <c r="HJ53" s="174"/>
      <c r="HK53" s="174"/>
      <c r="HL53" s="174"/>
      <c r="HM53" s="174"/>
      <c r="HN53" s="174"/>
      <c r="HO53" s="174"/>
      <c r="HP53" s="174"/>
      <c r="HQ53" s="174"/>
      <c r="HR53" s="174"/>
      <c r="HS53" s="174"/>
      <c r="HT53" s="174"/>
      <c r="HU53" s="174"/>
      <c r="HV53" s="174"/>
      <c r="HW53" s="174"/>
      <c r="HX53" s="174"/>
      <c r="HY53" s="174"/>
      <c r="HZ53" s="174"/>
      <c r="IA53" s="174"/>
      <c r="IB53" s="174"/>
      <c r="IC53" s="174"/>
      <c r="ID53" s="174"/>
      <c r="IE53" s="174"/>
      <c r="IF53" s="174"/>
      <c r="IG53" s="174"/>
      <c r="IH53" s="174"/>
      <c r="II53" s="174"/>
      <c r="IJ53" s="174"/>
      <c r="IK53" s="174"/>
      <c r="IL53" s="174"/>
      <c r="IM53" s="174"/>
      <c r="IN53" s="174"/>
      <c r="IO53" s="174"/>
      <c r="IP53" s="174"/>
      <c r="IQ53" s="174"/>
      <c r="IR53" s="174"/>
      <c r="IS53" s="174"/>
      <c r="IT53" s="174"/>
      <c r="IU53" s="174"/>
      <c r="IV53" s="174"/>
    </row>
    <row r="54" spans="1:256" ht="36" customHeight="1" x14ac:dyDescent="0.35">
      <c r="A54" s="301">
        <v>46</v>
      </c>
      <c r="B54" s="237"/>
      <c r="C54" s="175">
        <v>12</v>
      </c>
      <c r="D54" s="177" t="s">
        <v>342</v>
      </c>
      <c r="E54" s="183">
        <f>F54+G54+O56+P55</f>
        <v>50405</v>
      </c>
      <c r="F54" s="291">
        <v>33906</v>
      </c>
      <c r="G54" s="184">
        <v>11615</v>
      </c>
      <c r="H54" s="373" t="s">
        <v>24</v>
      </c>
      <c r="I54" s="371"/>
      <c r="J54" s="364"/>
      <c r="K54" s="364"/>
      <c r="L54" s="364"/>
      <c r="M54" s="364"/>
      <c r="N54" s="384"/>
      <c r="O54" s="357"/>
      <c r="P54" s="292"/>
    </row>
    <row r="55" spans="1:256" s="287" customFormat="1" ht="18" customHeight="1" x14ac:dyDescent="0.35">
      <c r="A55" s="301">
        <v>47</v>
      </c>
      <c r="B55" s="295"/>
      <c r="C55" s="175"/>
      <c r="D55" s="367" t="s">
        <v>268</v>
      </c>
      <c r="E55" s="183"/>
      <c r="F55" s="291"/>
      <c r="G55" s="184"/>
      <c r="H55" s="373"/>
      <c r="I55" s="371"/>
      <c r="J55" s="364"/>
      <c r="K55" s="364"/>
      <c r="L55" s="364">
        <v>4884</v>
      </c>
      <c r="M55" s="364"/>
      <c r="N55" s="384"/>
      <c r="O55" s="357">
        <f>SUM(I55:N55)</f>
        <v>4884</v>
      </c>
      <c r="P55" s="292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  <c r="FB55" s="174"/>
      <c r="FC55" s="174"/>
      <c r="FD55" s="174"/>
      <c r="FE55" s="174"/>
      <c r="FF55" s="174"/>
      <c r="FG55" s="174"/>
      <c r="FH55" s="174"/>
      <c r="FI55" s="174"/>
      <c r="FJ55" s="174"/>
      <c r="FK55" s="174"/>
      <c r="FL55" s="174"/>
      <c r="FM55" s="174"/>
      <c r="FN55" s="174"/>
      <c r="FO55" s="174"/>
      <c r="FP55" s="174"/>
      <c r="FQ55" s="174"/>
      <c r="FR55" s="174"/>
      <c r="FS55" s="174"/>
      <c r="FT55" s="174"/>
      <c r="FU55" s="174"/>
      <c r="FV55" s="174"/>
      <c r="FW55" s="174"/>
      <c r="FX55" s="174"/>
      <c r="FY55" s="174"/>
      <c r="FZ55" s="174"/>
      <c r="GA55" s="174"/>
      <c r="GB55" s="174"/>
      <c r="GC55" s="174"/>
      <c r="GD55" s="174"/>
      <c r="GE55" s="174"/>
      <c r="GF55" s="174"/>
      <c r="GG55" s="174"/>
      <c r="GH55" s="174"/>
      <c r="GI55" s="174"/>
      <c r="GJ55" s="174"/>
      <c r="GK55" s="174"/>
      <c r="GL55" s="174"/>
      <c r="GM55" s="174"/>
      <c r="GN55" s="174"/>
      <c r="GO55" s="174"/>
      <c r="GP55" s="174"/>
      <c r="GQ55" s="174"/>
      <c r="GR55" s="174"/>
      <c r="GS55" s="174"/>
      <c r="GT55" s="174"/>
      <c r="GU55" s="174"/>
      <c r="GV55" s="174"/>
      <c r="GW55" s="174"/>
      <c r="GX55" s="174"/>
      <c r="GY55" s="174"/>
      <c r="GZ55" s="174"/>
      <c r="HA55" s="174"/>
      <c r="HB55" s="174"/>
      <c r="HC55" s="174"/>
      <c r="HD55" s="174"/>
      <c r="HE55" s="174"/>
      <c r="HF55" s="174"/>
      <c r="HG55" s="174"/>
      <c r="HH55" s="174"/>
      <c r="HI55" s="174"/>
      <c r="HJ55" s="174"/>
      <c r="HK55" s="174"/>
      <c r="HL55" s="174"/>
      <c r="HM55" s="174"/>
      <c r="HN55" s="174"/>
      <c r="HO55" s="174"/>
      <c r="HP55" s="174"/>
      <c r="HQ55" s="174"/>
      <c r="HR55" s="174"/>
      <c r="HS55" s="174"/>
      <c r="HT55" s="174"/>
      <c r="HU55" s="174"/>
      <c r="HV55" s="174"/>
      <c r="HW55" s="174"/>
      <c r="HX55" s="174"/>
      <c r="HY55" s="174"/>
      <c r="HZ55" s="174"/>
      <c r="IA55" s="174"/>
      <c r="IB55" s="174"/>
      <c r="IC55" s="174"/>
      <c r="ID55" s="174"/>
      <c r="IE55" s="174"/>
      <c r="IF55" s="174"/>
      <c r="IG55" s="174"/>
      <c r="IH55" s="174"/>
      <c r="II55" s="174"/>
      <c r="IJ55" s="174"/>
      <c r="IK55" s="174"/>
      <c r="IL55" s="174"/>
      <c r="IM55" s="174"/>
      <c r="IN55" s="174"/>
      <c r="IO55" s="174"/>
      <c r="IP55" s="174"/>
      <c r="IQ55" s="174"/>
      <c r="IR55" s="174"/>
      <c r="IS55" s="174"/>
      <c r="IT55" s="174"/>
      <c r="IU55" s="174"/>
      <c r="IV55" s="174"/>
    </row>
    <row r="56" spans="1:256" s="287" customFormat="1" ht="18" customHeight="1" x14ac:dyDescent="0.35">
      <c r="A56" s="301">
        <v>48</v>
      </c>
      <c r="B56" s="295"/>
      <c r="C56" s="175"/>
      <c r="D56" s="224" t="s">
        <v>796</v>
      </c>
      <c r="E56" s="183"/>
      <c r="F56" s="291"/>
      <c r="G56" s="184"/>
      <c r="H56" s="373"/>
      <c r="I56" s="614">
        <v>5</v>
      </c>
      <c r="J56" s="632"/>
      <c r="K56" s="632">
        <v>35</v>
      </c>
      <c r="L56" s="632">
        <v>4844</v>
      </c>
      <c r="M56" s="632"/>
      <c r="N56" s="632"/>
      <c r="O56" s="296">
        <f t="shared" ref="O56:O57" si="11">SUM(I56:N56)</f>
        <v>4884</v>
      </c>
      <c r="P56" s="292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  <c r="EN56" s="174"/>
      <c r="EO56" s="174"/>
      <c r="EP56" s="174"/>
      <c r="EQ56" s="174"/>
      <c r="ER56" s="174"/>
      <c r="ES56" s="174"/>
      <c r="ET56" s="174"/>
      <c r="EU56" s="174"/>
      <c r="EV56" s="174"/>
      <c r="EW56" s="174"/>
      <c r="EX56" s="174"/>
      <c r="EY56" s="174"/>
      <c r="EZ56" s="174"/>
      <c r="FA56" s="174"/>
      <c r="FB56" s="174"/>
      <c r="FC56" s="174"/>
      <c r="FD56" s="174"/>
      <c r="FE56" s="174"/>
      <c r="FF56" s="174"/>
      <c r="FG56" s="174"/>
      <c r="FH56" s="174"/>
      <c r="FI56" s="174"/>
      <c r="FJ56" s="174"/>
      <c r="FK56" s="174"/>
      <c r="FL56" s="174"/>
      <c r="FM56" s="174"/>
      <c r="FN56" s="174"/>
      <c r="FO56" s="174"/>
      <c r="FP56" s="174"/>
      <c r="FQ56" s="174"/>
      <c r="FR56" s="174"/>
      <c r="FS56" s="174"/>
      <c r="FT56" s="174"/>
      <c r="FU56" s="174"/>
      <c r="FV56" s="174"/>
      <c r="FW56" s="174"/>
      <c r="FX56" s="174"/>
      <c r="FY56" s="174"/>
      <c r="FZ56" s="174"/>
      <c r="GA56" s="174"/>
      <c r="GB56" s="174"/>
      <c r="GC56" s="174"/>
      <c r="GD56" s="174"/>
      <c r="GE56" s="174"/>
      <c r="GF56" s="174"/>
      <c r="GG56" s="174"/>
      <c r="GH56" s="174"/>
      <c r="GI56" s="174"/>
      <c r="GJ56" s="174"/>
      <c r="GK56" s="174"/>
      <c r="GL56" s="174"/>
      <c r="GM56" s="174"/>
      <c r="GN56" s="174"/>
      <c r="GO56" s="174"/>
      <c r="GP56" s="174"/>
      <c r="GQ56" s="174"/>
      <c r="GR56" s="174"/>
      <c r="GS56" s="174"/>
      <c r="GT56" s="174"/>
      <c r="GU56" s="174"/>
      <c r="GV56" s="174"/>
      <c r="GW56" s="174"/>
      <c r="GX56" s="174"/>
      <c r="GY56" s="174"/>
      <c r="GZ56" s="174"/>
      <c r="HA56" s="174"/>
      <c r="HB56" s="174"/>
      <c r="HC56" s="174"/>
      <c r="HD56" s="174"/>
      <c r="HE56" s="174"/>
      <c r="HF56" s="174"/>
      <c r="HG56" s="174"/>
      <c r="HH56" s="174"/>
      <c r="HI56" s="174"/>
      <c r="HJ56" s="174"/>
      <c r="HK56" s="174"/>
      <c r="HL56" s="174"/>
      <c r="HM56" s="174"/>
      <c r="HN56" s="174"/>
      <c r="HO56" s="174"/>
      <c r="HP56" s="174"/>
      <c r="HQ56" s="174"/>
      <c r="HR56" s="174"/>
      <c r="HS56" s="174"/>
      <c r="HT56" s="174"/>
      <c r="HU56" s="174"/>
      <c r="HV56" s="174"/>
      <c r="HW56" s="174"/>
      <c r="HX56" s="174"/>
      <c r="HY56" s="174"/>
      <c r="HZ56" s="174"/>
      <c r="IA56" s="174"/>
      <c r="IB56" s="174"/>
      <c r="IC56" s="174"/>
      <c r="ID56" s="174"/>
      <c r="IE56" s="174"/>
      <c r="IF56" s="174"/>
      <c r="IG56" s="174"/>
      <c r="IH56" s="174"/>
      <c r="II56" s="174"/>
      <c r="IJ56" s="174"/>
      <c r="IK56" s="174"/>
      <c r="IL56" s="174"/>
      <c r="IM56" s="174"/>
      <c r="IN56" s="174"/>
      <c r="IO56" s="174"/>
      <c r="IP56" s="174"/>
      <c r="IQ56" s="174"/>
      <c r="IR56" s="174"/>
      <c r="IS56" s="174"/>
      <c r="IT56" s="174"/>
      <c r="IU56" s="174"/>
      <c r="IV56" s="174"/>
    </row>
    <row r="57" spans="1:256" s="287" customFormat="1" ht="18" customHeight="1" x14ac:dyDescent="0.35">
      <c r="A57" s="301">
        <v>49</v>
      </c>
      <c r="B57" s="295"/>
      <c r="C57" s="175"/>
      <c r="D57" s="976" t="s">
        <v>861</v>
      </c>
      <c r="E57" s="183"/>
      <c r="F57" s="291"/>
      <c r="G57" s="184"/>
      <c r="H57" s="373"/>
      <c r="I57" s="1198">
        <v>5</v>
      </c>
      <c r="J57" s="1194">
        <v>2</v>
      </c>
      <c r="K57" s="1194">
        <v>244</v>
      </c>
      <c r="L57" s="1194">
        <v>2661</v>
      </c>
      <c r="M57" s="1194"/>
      <c r="N57" s="1194"/>
      <c r="O57" s="1192">
        <f t="shared" si="11"/>
        <v>2912</v>
      </c>
      <c r="P57" s="292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74"/>
      <c r="EE57" s="174"/>
      <c r="EF57" s="174"/>
      <c r="EG57" s="174"/>
      <c r="EH57" s="174"/>
      <c r="EI57" s="174"/>
      <c r="EJ57" s="174"/>
      <c r="EK57" s="174"/>
      <c r="EL57" s="174"/>
      <c r="EM57" s="174"/>
      <c r="EN57" s="174"/>
      <c r="EO57" s="174"/>
      <c r="EP57" s="174"/>
      <c r="EQ57" s="174"/>
      <c r="ER57" s="174"/>
      <c r="ES57" s="174"/>
      <c r="ET57" s="174"/>
      <c r="EU57" s="174"/>
      <c r="EV57" s="174"/>
      <c r="EW57" s="174"/>
      <c r="EX57" s="174"/>
      <c r="EY57" s="174"/>
      <c r="EZ57" s="174"/>
      <c r="FA57" s="174"/>
      <c r="FB57" s="174"/>
      <c r="FC57" s="174"/>
      <c r="FD57" s="174"/>
      <c r="FE57" s="174"/>
      <c r="FF57" s="174"/>
      <c r="FG57" s="174"/>
      <c r="FH57" s="174"/>
      <c r="FI57" s="174"/>
      <c r="FJ57" s="174"/>
      <c r="FK57" s="174"/>
      <c r="FL57" s="174"/>
      <c r="FM57" s="174"/>
      <c r="FN57" s="174"/>
      <c r="FO57" s="174"/>
      <c r="FP57" s="174"/>
      <c r="FQ57" s="174"/>
      <c r="FR57" s="174"/>
      <c r="FS57" s="174"/>
      <c r="FT57" s="174"/>
      <c r="FU57" s="174"/>
      <c r="FV57" s="174"/>
      <c r="FW57" s="174"/>
      <c r="FX57" s="174"/>
      <c r="FY57" s="174"/>
      <c r="FZ57" s="174"/>
      <c r="GA57" s="174"/>
      <c r="GB57" s="174"/>
      <c r="GC57" s="174"/>
      <c r="GD57" s="174"/>
      <c r="GE57" s="174"/>
      <c r="GF57" s="174"/>
      <c r="GG57" s="174"/>
      <c r="GH57" s="174"/>
      <c r="GI57" s="174"/>
      <c r="GJ57" s="174"/>
      <c r="GK57" s="174"/>
      <c r="GL57" s="174"/>
      <c r="GM57" s="174"/>
      <c r="GN57" s="174"/>
      <c r="GO57" s="174"/>
      <c r="GP57" s="174"/>
      <c r="GQ57" s="174"/>
      <c r="GR57" s="174"/>
      <c r="GS57" s="174"/>
      <c r="GT57" s="174"/>
      <c r="GU57" s="174"/>
      <c r="GV57" s="174"/>
      <c r="GW57" s="174"/>
      <c r="GX57" s="174"/>
      <c r="GY57" s="174"/>
      <c r="GZ57" s="174"/>
      <c r="HA57" s="174"/>
      <c r="HB57" s="174"/>
      <c r="HC57" s="174"/>
      <c r="HD57" s="174"/>
      <c r="HE57" s="174"/>
      <c r="HF57" s="174"/>
      <c r="HG57" s="174"/>
      <c r="HH57" s="174"/>
      <c r="HI57" s="174"/>
      <c r="HJ57" s="174"/>
      <c r="HK57" s="174"/>
      <c r="HL57" s="174"/>
      <c r="HM57" s="174"/>
      <c r="HN57" s="174"/>
      <c r="HO57" s="174"/>
      <c r="HP57" s="174"/>
      <c r="HQ57" s="174"/>
      <c r="HR57" s="174"/>
      <c r="HS57" s="174"/>
      <c r="HT57" s="174"/>
      <c r="HU57" s="174"/>
      <c r="HV57" s="174"/>
      <c r="HW57" s="174"/>
      <c r="HX57" s="174"/>
      <c r="HY57" s="174"/>
      <c r="HZ57" s="174"/>
      <c r="IA57" s="174"/>
      <c r="IB57" s="174"/>
      <c r="IC57" s="174"/>
      <c r="ID57" s="174"/>
      <c r="IE57" s="174"/>
      <c r="IF57" s="174"/>
      <c r="IG57" s="174"/>
      <c r="IH57" s="174"/>
      <c r="II57" s="174"/>
      <c r="IJ57" s="174"/>
      <c r="IK57" s="174"/>
      <c r="IL57" s="174"/>
      <c r="IM57" s="174"/>
      <c r="IN57" s="174"/>
      <c r="IO57" s="174"/>
      <c r="IP57" s="174"/>
      <c r="IQ57" s="174"/>
      <c r="IR57" s="174"/>
      <c r="IS57" s="174"/>
      <c r="IT57" s="174"/>
      <c r="IU57" s="174"/>
      <c r="IV57" s="174"/>
    </row>
    <row r="58" spans="1:256" ht="33.75" x14ac:dyDescent="0.35">
      <c r="A58" s="301">
        <v>50</v>
      </c>
      <c r="B58" s="237"/>
      <c r="C58" s="175">
        <v>13</v>
      </c>
      <c r="D58" s="392" t="s">
        <v>509</v>
      </c>
      <c r="E58" s="183">
        <f>F58+G58+O60+P59+642+6009</f>
        <v>28317</v>
      </c>
      <c r="F58" s="183"/>
      <c r="G58" s="184">
        <v>4452</v>
      </c>
      <c r="H58" s="373" t="s">
        <v>24</v>
      </c>
      <c r="I58" s="591"/>
      <c r="J58" s="361"/>
      <c r="K58" s="361"/>
      <c r="L58" s="361"/>
      <c r="M58" s="361"/>
      <c r="N58" s="383"/>
      <c r="O58" s="390"/>
      <c r="P58" s="292"/>
    </row>
    <row r="59" spans="1:256" ht="18" customHeight="1" x14ac:dyDescent="0.35">
      <c r="A59" s="301">
        <v>51</v>
      </c>
      <c r="B59" s="237"/>
      <c r="C59" s="191"/>
      <c r="D59" s="367" t="s">
        <v>268</v>
      </c>
      <c r="E59" s="183"/>
      <c r="F59" s="183"/>
      <c r="G59" s="184"/>
      <c r="H59" s="373"/>
      <c r="I59" s="591"/>
      <c r="J59" s="361"/>
      <c r="K59" s="361">
        <v>17004</v>
      </c>
      <c r="L59" s="361"/>
      <c r="M59" s="361">
        <v>210</v>
      </c>
      <c r="N59" s="383"/>
      <c r="O59" s="357">
        <f>SUM(I59:N59)</f>
        <v>17214</v>
      </c>
      <c r="P59" s="292"/>
    </row>
    <row r="60" spans="1:256" ht="18" customHeight="1" x14ac:dyDescent="0.35">
      <c r="A60" s="301">
        <v>52</v>
      </c>
      <c r="B60" s="237"/>
      <c r="C60" s="191"/>
      <c r="D60" s="224" t="s">
        <v>796</v>
      </c>
      <c r="E60" s="183"/>
      <c r="F60" s="183"/>
      <c r="G60" s="184"/>
      <c r="H60" s="373"/>
      <c r="I60" s="557">
        <v>50</v>
      </c>
      <c r="J60" s="555">
        <v>17</v>
      </c>
      <c r="K60" s="555">
        <v>16937</v>
      </c>
      <c r="L60" s="555"/>
      <c r="M60" s="555">
        <v>210</v>
      </c>
      <c r="N60" s="183"/>
      <c r="O60" s="296">
        <f t="shared" ref="O60:O61" si="12">SUM(I60:N60)</f>
        <v>17214</v>
      </c>
      <c r="P60" s="292"/>
    </row>
    <row r="61" spans="1:256" ht="18" customHeight="1" x14ac:dyDescent="0.35">
      <c r="A61" s="301">
        <v>53</v>
      </c>
      <c r="B61" s="237"/>
      <c r="C61" s="191"/>
      <c r="D61" s="976" t="s">
        <v>861</v>
      </c>
      <c r="E61" s="183"/>
      <c r="F61" s="183"/>
      <c r="G61" s="184"/>
      <c r="H61" s="373"/>
      <c r="I61" s="1199">
        <v>98</v>
      </c>
      <c r="J61" s="1190">
        <v>18</v>
      </c>
      <c r="K61" s="1190">
        <v>3411</v>
      </c>
      <c r="L61" s="1190"/>
      <c r="M61" s="1190"/>
      <c r="N61" s="1190"/>
      <c r="O61" s="1192">
        <f t="shared" si="12"/>
        <v>3527</v>
      </c>
      <c r="P61" s="292"/>
    </row>
    <row r="62" spans="1:256" ht="22.5" customHeight="1" x14ac:dyDescent="0.35">
      <c r="A62" s="301">
        <v>54</v>
      </c>
      <c r="B62" s="237"/>
      <c r="C62" s="191">
        <v>14</v>
      </c>
      <c r="D62" s="298" t="s">
        <v>400</v>
      </c>
      <c r="E62" s="183">
        <f>F62+G62+O64+P63</f>
        <v>3071</v>
      </c>
      <c r="F62" s="183"/>
      <c r="G62" s="184"/>
      <c r="H62" s="373" t="s">
        <v>24</v>
      </c>
      <c r="I62" s="591"/>
      <c r="J62" s="361"/>
      <c r="K62" s="361"/>
      <c r="L62" s="361"/>
      <c r="M62" s="361"/>
      <c r="N62" s="383"/>
      <c r="O62" s="390"/>
      <c r="P62" s="292"/>
    </row>
    <row r="63" spans="1:256" ht="18" customHeight="1" x14ac:dyDescent="0.35">
      <c r="A63" s="301">
        <v>55</v>
      </c>
      <c r="B63" s="237"/>
      <c r="C63" s="191"/>
      <c r="D63" s="367" t="s">
        <v>268</v>
      </c>
      <c r="E63" s="183"/>
      <c r="F63" s="183"/>
      <c r="G63" s="184"/>
      <c r="H63" s="373"/>
      <c r="I63" s="591"/>
      <c r="J63" s="361"/>
      <c r="K63" s="361">
        <v>3071</v>
      </c>
      <c r="L63" s="361"/>
      <c r="M63" s="361"/>
      <c r="N63" s="383"/>
      <c r="O63" s="357">
        <f>SUM(I63:N63)</f>
        <v>3071</v>
      </c>
      <c r="P63" s="292"/>
    </row>
    <row r="64" spans="1:256" ht="18" customHeight="1" x14ac:dyDescent="0.35">
      <c r="A64" s="301">
        <v>56</v>
      </c>
      <c r="B64" s="237"/>
      <c r="C64" s="191"/>
      <c r="D64" s="224" t="s">
        <v>796</v>
      </c>
      <c r="E64" s="183"/>
      <c r="F64" s="183"/>
      <c r="G64" s="184"/>
      <c r="H64" s="373"/>
      <c r="I64" s="557"/>
      <c r="J64" s="555"/>
      <c r="K64" s="555">
        <v>3071</v>
      </c>
      <c r="L64" s="555"/>
      <c r="M64" s="555"/>
      <c r="N64" s="183"/>
      <c r="O64" s="296">
        <f t="shared" ref="O64:O65" si="13">SUM(I64:N64)</f>
        <v>3071</v>
      </c>
      <c r="P64" s="292"/>
    </row>
    <row r="65" spans="1:16" ht="18" customHeight="1" x14ac:dyDescent="0.35">
      <c r="A65" s="301">
        <v>57</v>
      </c>
      <c r="B65" s="237"/>
      <c r="C65" s="191"/>
      <c r="D65" s="976" t="s">
        <v>860</v>
      </c>
      <c r="E65" s="183"/>
      <c r="F65" s="183"/>
      <c r="G65" s="184"/>
      <c r="H65" s="373"/>
      <c r="I65" s="1199"/>
      <c r="J65" s="1190"/>
      <c r="K65" s="1190"/>
      <c r="L65" s="1190"/>
      <c r="M65" s="1190"/>
      <c r="N65" s="1190"/>
      <c r="O65" s="1192">
        <f t="shared" si="13"/>
        <v>0</v>
      </c>
      <c r="P65" s="292"/>
    </row>
    <row r="66" spans="1:16" ht="22.5" customHeight="1" x14ac:dyDescent="0.35">
      <c r="A66" s="301">
        <v>58</v>
      </c>
      <c r="B66" s="237"/>
      <c r="C66" s="191">
        <v>15</v>
      </c>
      <c r="D66" s="298" t="s">
        <v>401</v>
      </c>
      <c r="E66" s="183">
        <f>F66+G66+O68+P67+350+4500</f>
        <v>37720</v>
      </c>
      <c r="F66" s="183">
        <v>2593</v>
      </c>
      <c r="G66" s="184">
        <v>7749</v>
      </c>
      <c r="H66" s="373" t="s">
        <v>24</v>
      </c>
      <c r="I66" s="591"/>
      <c r="J66" s="361"/>
      <c r="K66" s="361"/>
      <c r="L66" s="361"/>
      <c r="M66" s="361"/>
      <c r="N66" s="383"/>
      <c r="O66" s="390"/>
      <c r="P66" s="292"/>
    </row>
    <row r="67" spans="1:16" ht="18" customHeight="1" x14ac:dyDescent="0.35">
      <c r="A67" s="301">
        <v>59</v>
      </c>
      <c r="B67" s="237"/>
      <c r="C67" s="191"/>
      <c r="D67" s="367" t="s">
        <v>268</v>
      </c>
      <c r="E67" s="183"/>
      <c r="F67" s="183"/>
      <c r="G67" s="184"/>
      <c r="H67" s="373"/>
      <c r="I67" s="591">
        <v>417</v>
      </c>
      <c r="J67" s="361">
        <v>58</v>
      </c>
      <c r="K67" s="361">
        <v>18911</v>
      </c>
      <c r="L67" s="361"/>
      <c r="M67" s="361">
        <v>1342</v>
      </c>
      <c r="N67" s="383"/>
      <c r="O67" s="357">
        <f>SUM(I67:N67)</f>
        <v>20728</v>
      </c>
      <c r="P67" s="292"/>
    </row>
    <row r="68" spans="1:16" ht="18" customHeight="1" x14ac:dyDescent="0.35">
      <c r="A68" s="301">
        <v>60</v>
      </c>
      <c r="B68" s="237"/>
      <c r="C68" s="191"/>
      <c r="D68" s="224" t="s">
        <v>796</v>
      </c>
      <c r="E68" s="183"/>
      <c r="F68" s="183"/>
      <c r="G68" s="184"/>
      <c r="H68" s="373"/>
      <c r="I68" s="557">
        <v>417</v>
      </c>
      <c r="J68" s="555">
        <v>58</v>
      </c>
      <c r="K68" s="555">
        <v>20711</v>
      </c>
      <c r="L68" s="555"/>
      <c r="M68" s="555">
        <v>1342</v>
      </c>
      <c r="N68" s="183"/>
      <c r="O68" s="296">
        <f t="shared" ref="O68:O69" si="14">SUM(I68:N68)</f>
        <v>22528</v>
      </c>
      <c r="P68" s="292"/>
    </row>
    <row r="69" spans="1:16" ht="18" customHeight="1" x14ac:dyDescent="0.35">
      <c r="A69" s="301">
        <v>61</v>
      </c>
      <c r="B69" s="237"/>
      <c r="C69" s="191"/>
      <c r="D69" s="976" t="s">
        <v>861</v>
      </c>
      <c r="E69" s="183"/>
      <c r="F69" s="183"/>
      <c r="G69" s="184"/>
      <c r="H69" s="373"/>
      <c r="I69" s="1199">
        <v>114</v>
      </c>
      <c r="J69" s="1190"/>
      <c r="K69" s="1190">
        <v>2290</v>
      </c>
      <c r="L69" s="1190"/>
      <c r="M69" s="1190"/>
      <c r="N69" s="1190"/>
      <c r="O69" s="1192">
        <f t="shared" si="14"/>
        <v>2404</v>
      </c>
      <c r="P69" s="292"/>
    </row>
    <row r="70" spans="1:16" ht="22.5" customHeight="1" x14ac:dyDescent="0.35">
      <c r="A70" s="301">
        <v>62</v>
      </c>
      <c r="B70" s="237"/>
      <c r="C70" s="191">
        <v>16</v>
      </c>
      <c r="D70" s="298" t="s">
        <v>402</v>
      </c>
      <c r="E70" s="183">
        <f>F70+G70+O72+P71</f>
        <v>62500</v>
      </c>
      <c r="F70" s="183">
        <v>1680</v>
      </c>
      <c r="G70" s="184">
        <v>1</v>
      </c>
      <c r="H70" s="373" t="s">
        <v>24</v>
      </c>
      <c r="I70" s="591"/>
      <c r="J70" s="361"/>
      <c r="K70" s="361"/>
      <c r="L70" s="361"/>
      <c r="M70" s="361"/>
      <c r="N70" s="383"/>
      <c r="O70" s="390"/>
      <c r="P70" s="292"/>
    </row>
    <row r="71" spans="1:16" ht="18" customHeight="1" x14ac:dyDescent="0.35">
      <c r="A71" s="301">
        <v>63</v>
      </c>
      <c r="B71" s="237"/>
      <c r="C71" s="191"/>
      <c r="D71" s="367" t="s">
        <v>268</v>
      </c>
      <c r="E71" s="183"/>
      <c r="F71" s="183"/>
      <c r="G71" s="184"/>
      <c r="H71" s="373"/>
      <c r="I71" s="591"/>
      <c r="J71" s="361"/>
      <c r="K71" s="361">
        <v>294</v>
      </c>
      <c r="L71" s="361"/>
      <c r="M71" s="361">
        <v>60525</v>
      </c>
      <c r="N71" s="383"/>
      <c r="O71" s="357">
        <f>SUM(I71:N71)</f>
        <v>60819</v>
      </c>
      <c r="P71" s="292"/>
    </row>
    <row r="72" spans="1:16" ht="18" customHeight="1" x14ac:dyDescent="0.35">
      <c r="A72" s="301">
        <v>64</v>
      </c>
      <c r="B72" s="237"/>
      <c r="C72" s="191"/>
      <c r="D72" s="224" t="s">
        <v>796</v>
      </c>
      <c r="E72" s="183"/>
      <c r="F72" s="183"/>
      <c r="G72" s="184"/>
      <c r="H72" s="373"/>
      <c r="I72" s="557"/>
      <c r="J72" s="555"/>
      <c r="K72" s="555">
        <v>294</v>
      </c>
      <c r="L72" s="555"/>
      <c r="M72" s="555">
        <v>60525</v>
      </c>
      <c r="N72" s="183"/>
      <c r="O72" s="296">
        <f t="shared" ref="O72:O73" si="15">SUM(I72:N72)</f>
        <v>60819</v>
      </c>
      <c r="P72" s="292"/>
    </row>
    <row r="73" spans="1:16" ht="18" customHeight="1" x14ac:dyDescent="0.35">
      <c r="A73" s="301">
        <v>65</v>
      </c>
      <c r="B73" s="237"/>
      <c r="C73" s="191"/>
      <c r="D73" s="976" t="s">
        <v>860</v>
      </c>
      <c r="E73" s="183"/>
      <c r="F73" s="183"/>
      <c r="G73" s="184"/>
      <c r="H73" s="373"/>
      <c r="I73" s="1199"/>
      <c r="J73" s="1190"/>
      <c r="K73" s="1190">
        <v>9</v>
      </c>
      <c r="L73" s="1190"/>
      <c r="M73" s="1190">
        <v>54001</v>
      </c>
      <c r="N73" s="1190"/>
      <c r="O73" s="1192">
        <f t="shared" si="15"/>
        <v>54010</v>
      </c>
      <c r="P73" s="292"/>
    </row>
    <row r="74" spans="1:16" ht="50.25" x14ac:dyDescent="0.35">
      <c r="A74" s="301">
        <v>66</v>
      </c>
      <c r="B74" s="237"/>
      <c r="C74" s="175">
        <v>17</v>
      </c>
      <c r="D74" s="392" t="s">
        <v>403</v>
      </c>
      <c r="E74" s="183">
        <f>F74+G74+O76+P75</f>
        <v>19989</v>
      </c>
      <c r="F74" s="183"/>
      <c r="G74" s="184">
        <v>17976</v>
      </c>
      <c r="H74" s="373" t="s">
        <v>24</v>
      </c>
      <c r="I74" s="591"/>
      <c r="J74" s="361"/>
      <c r="K74" s="361"/>
      <c r="L74" s="361"/>
      <c r="M74" s="361"/>
      <c r="N74" s="383"/>
      <c r="O74" s="390"/>
      <c r="P74" s="292"/>
    </row>
    <row r="75" spans="1:16" ht="18" customHeight="1" x14ac:dyDescent="0.35">
      <c r="A75" s="301">
        <v>67</v>
      </c>
      <c r="B75" s="237"/>
      <c r="C75" s="191"/>
      <c r="D75" s="367" t="s">
        <v>268</v>
      </c>
      <c r="E75" s="183"/>
      <c r="F75" s="183"/>
      <c r="G75" s="184"/>
      <c r="H75" s="373"/>
      <c r="I75" s="591"/>
      <c r="J75" s="361">
        <v>12</v>
      </c>
      <c r="K75" s="361">
        <v>2001</v>
      </c>
      <c r="L75" s="361"/>
      <c r="M75" s="361"/>
      <c r="N75" s="383"/>
      <c r="O75" s="357">
        <f>SUM(I75:N75)</f>
        <v>2013</v>
      </c>
      <c r="P75" s="292"/>
    </row>
    <row r="76" spans="1:16" ht="18" customHeight="1" x14ac:dyDescent="0.35">
      <c r="A76" s="301">
        <v>68</v>
      </c>
      <c r="B76" s="237"/>
      <c r="C76" s="191"/>
      <c r="D76" s="224" t="s">
        <v>796</v>
      </c>
      <c r="E76" s="183"/>
      <c r="F76" s="183"/>
      <c r="G76" s="184"/>
      <c r="H76" s="373"/>
      <c r="I76" s="557"/>
      <c r="J76" s="555">
        <v>12</v>
      </c>
      <c r="K76" s="555">
        <v>2001</v>
      </c>
      <c r="L76" s="555"/>
      <c r="M76" s="555"/>
      <c r="N76" s="183"/>
      <c r="O76" s="296">
        <f t="shared" ref="O76:O77" si="16">SUM(I76:N76)</f>
        <v>2013</v>
      </c>
      <c r="P76" s="292"/>
    </row>
    <row r="77" spans="1:16" ht="18" customHeight="1" x14ac:dyDescent="0.35">
      <c r="A77" s="301">
        <v>69</v>
      </c>
      <c r="B77" s="237"/>
      <c r="C77" s="191"/>
      <c r="D77" s="976" t="s">
        <v>860</v>
      </c>
      <c r="E77" s="183"/>
      <c r="F77" s="183"/>
      <c r="G77" s="184"/>
      <c r="H77" s="373"/>
      <c r="I77" s="1199"/>
      <c r="J77" s="1190"/>
      <c r="K77" s="1190">
        <v>2000</v>
      </c>
      <c r="L77" s="1190"/>
      <c r="M77" s="1190"/>
      <c r="N77" s="1190"/>
      <c r="O77" s="1192">
        <f t="shared" si="16"/>
        <v>2000</v>
      </c>
      <c r="P77" s="292"/>
    </row>
    <row r="78" spans="1:16" ht="22.5" customHeight="1" x14ac:dyDescent="0.35">
      <c r="A78" s="301">
        <v>70</v>
      </c>
      <c r="B78" s="237"/>
      <c r="C78" s="191">
        <v>18</v>
      </c>
      <c r="D78" s="176" t="s">
        <v>404</v>
      </c>
      <c r="E78" s="183">
        <f>F78+G78+O80+P79</f>
        <v>50</v>
      </c>
      <c r="F78" s="183"/>
      <c r="G78" s="184">
        <v>33</v>
      </c>
      <c r="H78" s="373" t="s">
        <v>24</v>
      </c>
      <c r="I78" s="591"/>
      <c r="J78" s="361"/>
      <c r="K78" s="361"/>
      <c r="L78" s="361"/>
      <c r="M78" s="361"/>
      <c r="N78" s="383"/>
      <c r="O78" s="390"/>
      <c r="P78" s="292"/>
    </row>
    <row r="79" spans="1:16" ht="18" customHeight="1" x14ac:dyDescent="0.35">
      <c r="A79" s="301">
        <v>71</v>
      </c>
      <c r="B79" s="237"/>
      <c r="C79" s="191"/>
      <c r="D79" s="367" t="s">
        <v>268</v>
      </c>
      <c r="E79" s="183"/>
      <c r="F79" s="183"/>
      <c r="G79" s="184"/>
      <c r="H79" s="373"/>
      <c r="I79" s="591"/>
      <c r="J79" s="361"/>
      <c r="K79" s="361">
        <v>17</v>
      </c>
      <c r="L79" s="361"/>
      <c r="M79" s="361"/>
      <c r="N79" s="383"/>
      <c r="O79" s="357">
        <f>SUM(I79:N79)</f>
        <v>17</v>
      </c>
      <c r="P79" s="292"/>
    </row>
    <row r="80" spans="1:16" ht="18" customHeight="1" x14ac:dyDescent="0.35">
      <c r="A80" s="301">
        <v>72</v>
      </c>
      <c r="B80" s="237"/>
      <c r="C80" s="191"/>
      <c r="D80" s="224" t="s">
        <v>796</v>
      </c>
      <c r="E80" s="183"/>
      <c r="F80" s="183"/>
      <c r="G80" s="184"/>
      <c r="H80" s="373"/>
      <c r="I80" s="557"/>
      <c r="J80" s="555"/>
      <c r="K80" s="555">
        <v>17</v>
      </c>
      <c r="L80" s="555"/>
      <c r="M80" s="555"/>
      <c r="N80" s="183"/>
      <c r="O80" s="296">
        <f t="shared" ref="O80:O81" si="17">SUM(I80:N80)</f>
        <v>17</v>
      </c>
      <c r="P80" s="292"/>
    </row>
    <row r="81" spans="1:256" ht="18" customHeight="1" x14ac:dyDescent="0.35">
      <c r="A81" s="301">
        <v>73</v>
      </c>
      <c r="B81" s="237"/>
      <c r="C81" s="191"/>
      <c r="D81" s="976" t="s">
        <v>860</v>
      </c>
      <c r="E81" s="183"/>
      <c r="F81" s="183"/>
      <c r="G81" s="184"/>
      <c r="H81" s="373"/>
      <c r="I81" s="1199"/>
      <c r="J81" s="1190"/>
      <c r="K81" s="1190"/>
      <c r="L81" s="1190"/>
      <c r="M81" s="1190"/>
      <c r="N81" s="1190"/>
      <c r="O81" s="1192">
        <f t="shared" si="17"/>
        <v>0</v>
      </c>
      <c r="P81" s="292"/>
    </row>
    <row r="82" spans="1:256" ht="50.25" x14ac:dyDescent="0.35">
      <c r="A82" s="301">
        <v>74</v>
      </c>
      <c r="B82" s="237"/>
      <c r="C82" s="175">
        <v>19</v>
      </c>
      <c r="D82" s="176" t="s">
        <v>467</v>
      </c>
      <c r="E82" s="183">
        <f>F82+G82+O84+P83</f>
        <v>6000</v>
      </c>
      <c r="F82" s="183"/>
      <c r="G82" s="184"/>
      <c r="H82" s="373" t="s">
        <v>24</v>
      </c>
      <c r="I82" s="591"/>
      <c r="J82" s="361"/>
      <c r="K82" s="361"/>
      <c r="L82" s="361"/>
      <c r="M82" s="361"/>
      <c r="N82" s="383"/>
      <c r="O82" s="390"/>
      <c r="P82" s="292"/>
    </row>
    <row r="83" spans="1:256" s="287" customFormat="1" ht="18" customHeight="1" x14ac:dyDescent="0.35">
      <c r="A83" s="301">
        <v>75</v>
      </c>
      <c r="B83" s="554"/>
      <c r="C83" s="1169"/>
      <c r="D83" s="419" t="s">
        <v>268</v>
      </c>
      <c r="E83" s="420"/>
      <c r="F83" s="420"/>
      <c r="G83" s="421"/>
      <c r="H83" s="422"/>
      <c r="I83" s="1170"/>
      <c r="J83" s="1171"/>
      <c r="K83" s="1171">
        <v>6000</v>
      </c>
      <c r="L83" s="1171"/>
      <c r="M83" s="1171"/>
      <c r="N83" s="1172"/>
      <c r="O83" s="418">
        <f>SUM(I83:N83)</f>
        <v>6000</v>
      </c>
      <c r="P83" s="411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4"/>
      <c r="BR83" s="174"/>
      <c r="BS83" s="174"/>
      <c r="BT83" s="174"/>
      <c r="BU83" s="174"/>
      <c r="BV83" s="174"/>
      <c r="BW83" s="174"/>
      <c r="BX83" s="174"/>
      <c r="BY83" s="174"/>
      <c r="BZ83" s="174"/>
      <c r="CA83" s="174"/>
      <c r="CB83" s="174"/>
      <c r="CC83" s="174"/>
      <c r="CD83" s="174"/>
      <c r="CE83" s="174"/>
      <c r="CF83" s="174"/>
      <c r="CG83" s="174"/>
      <c r="CH83" s="174"/>
      <c r="CI83" s="174"/>
      <c r="CJ83" s="174"/>
      <c r="CK83" s="174"/>
      <c r="CL83" s="174"/>
      <c r="CM83" s="174"/>
      <c r="CN83" s="174"/>
      <c r="CO83" s="174"/>
      <c r="CP83" s="174"/>
      <c r="CQ83" s="174"/>
      <c r="CR83" s="174"/>
      <c r="CS83" s="174"/>
      <c r="CT83" s="174"/>
      <c r="CU83" s="174"/>
      <c r="CV83" s="174"/>
      <c r="CW83" s="174"/>
      <c r="CX83" s="174"/>
      <c r="CY83" s="174"/>
      <c r="CZ83" s="174"/>
      <c r="DA83" s="174"/>
      <c r="DB83" s="174"/>
      <c r="DC83" s="174"/>
      <c r="DD83" s="174"/>
      <c r="DE83" s="174"/>
      <c r="DF83" s="174"/>
      <c r="DG83" s="174"/>
      <c r="DH83" s="174"/>
      <c r="DI83" s="174"/>
      <c r="DJ83" s="174"/>
      <c r="DK83" s="174"/>
      <c r="DL83" s="174"/>
      <c r="DM83" s="174"/>
      <c r="DN83" s="174"/>
      <c r="DO83" s="174"/>
      <c r="DP83" s="174"/>
      <c r="DQ83" s="174"/>
      <c r="DR83" s="174"/>
      <c r="DS83" s="174"/>
      <c r="DT83" s="174"/>
      <c r="DU83" s="174"/>
      <c r="DV83" s="174"/>
      <c r="DW83" s="174"/>
      <c r="DX83" s="174"/>
      <c r="DY83" s="174"/>
      <c r="DZ83" s="174"/>
      <c r="EA83" s="174"/>
      <c r="EB83" s="174"/>
      <c r="EC83" s="174"/>
      <c r="ED83" s="174"/>
      <c r="EE83" s="174"/>
      <c r="EF83" s="174"/>
      <c r="EG83" s="174"/>
      <c r="EH83" s="174"/>
      <c r="EI83" s="174"/>
      <c r="EJ83" s="174"/>
      <c r="EK83" s="174"/>
      <c r="EL83" s="174"/>
      <c r="EM83" s="174"/>
      <c r="EN83" s="174"/>
      <c r="EO83" s="174"/>
      <c r="EP83" s="174"/>
      <c r="EQ83" s="174"/>
      <c r="ER83" s="174"/>
      <c r="ES83" s="174"/>
      <c r="ET83" s="174"/>
      <c r="EU83" s="174"/>
      <c r="EV83" s="174"/>
      <c r="EW83" s="174"/>
      <c r="EX83" s="174"/>
      <c r="EY83" s="174"/>
      <c r="EZ83" s="174"/>
      <c r="FA83" s="174"/>
      <c r="FB83" s="174"/>
      <c r="FC83" s="174"/>
      <c r="FD83" s="174"/>
      <c r="FE83" s="174"/>
      <c r="FF83" s="174"/>
      <c r="FG83" s="174"/>
      <c r="FH83" s="174"/>
      <c r="FI83" s="174"/>
      <c r="FJ83" s="174"/>
      <c r="FK83" s="174"/>
      <c r="FL83" s="174"/>
      <c r="FM83" s="174"/>
      <c r="FN83" s="174"/>
      <c r="FO83" s="174"/>
      <c r="FP83" s="174"/>
      <c r="FQ83" s="174"/>
      <c r="FR83" s="174"/>
      <c r="FS83" s="174"/>
      <c r="FT83" s="174"/>
      <c r="FU83" s="174"/>
      <c r="FV83" s="174"/>
      <c r="FW83" s="174"/>
      <c r="FX83" s="174"/>
      <c r="FY83" s="174"/>
      <c r="FZ83" s="174"/>
      <c r="GA83" s="174"/>
      <c r="GB83" s="174"/>
      <c r="GC83" s="174"/>
      <c r="GD83" s="174"/>
      <c r="GE83" s="174"/>
      <c r="GF83" s="174"/>
      <c r="GG83" s="174"/>
      <c r="GH83" s="174"/>
      <c r="GI83" s="174"/>
      <c r="GJ83" s="174"/>
      <c r="GK83" s="174"/>
      <c r="GL83" s="174"/>
      <c r="GM83" s="174"/>
      <c r="GN83" s="174"/>
      <c r="GO83" s="174"/>
      <c r="GP83" s="174"/>
      <c r="GQ83" s="174"/>
      <c r="GR83" s="174"/>
      <c r="GS83" s="174"/>
      <c r="GT83" s="174"/>
      <c r="GU83" s="174"/>
      <c r="GV83" s="174"/>
      <c r="GW83" s="174"/>
      <c r="GX83" s="174"/>
      <c r="GY83" s="174"/>
      <c r="GZ83" s="174"/>
      <c r="HA83" s="174"/>
      <c r="HB83" s="174"/>
      <c r="HC83" s="174"/>
      <c r="HD83" s="174"/>
      <c r="HE83" s="174"/>
      <c r="HF83" s="174"/>
      <c r="HG83" s="174"/>
      <c r="HH83" s="174"/>
      <c r="HI83" s="174"/>
      <c r="HJ83" s="174"/>
      <c r="HK83" s="174"/>
      <c r="HL83" s="174"/>
      <c r="HM83" s="174"/>
      <c r="HN83" s="174"/>
      <c r="HO83" s="174"/>
      <c r="HP83" s="174"/>
      <c r="HQ83" s="174"/>
      <c r="HR83" s="174"/>
      <c r="HS83" s="174"/>
      <c r="HT83" s="174"/>
      <c r="HU83" s="174"/>
      <c r="HV83" s="174"/>
      <c r="HW83" s="174"/>
      <c r="HX83" s="174"/>
      <c r="HY83" s="174"/>
      <c r="HZ83" s="174"/>
      <c r="IA83" s="174"/>
      <c r="IB83" s="174"/>
      <c r="IC83" s="174"/>
      <c r="ID83" s="174"/>
      <c r="IE83" s="174"/>
      <c r="IF83" s="174"/>
      <c r="IG83" s="174"/>
      <c r="IH83" s="174"/>
      <c r="II83" s="174"/>
      <c r="IJ83" s="174"/>
      <c r="IK83" s="174"/>
      <c r="IL83" s="174"/>
      <c r="IM83" s="174"/>
      <c r="IN83" s="174"/>
      <c r="IO83" s="174"/>
      <c r="IP83" s="174"/>
      <c r="IQ83" s="174"/>
      <c r="IR83" s="174"/>
      <c r="IS83" s="174"/>
      <c r="IT83" s="174"/>
      <c r="IU83" s="174"/>
      <c r="IV83" s="174"/>
    </row>
    <row r="84" spans="1:256" s="287" customFormat="1" ht="18" customHeight="1" x14ac:dyDescent="0.35">
      <c r="A84" s="301">
        <v>76</v>
      </c>
      <c r="B84" s="1173"/>
      <c r="C84" s="175"/>
      <c r="D84" s="225" t="s">
        <v>796</v>
      </c>
      <c r="E84" s="1174"/>
      <c r="F84" s="183"/>
      <c r="G84" s="1174"/>
      <c r="H84" s="373"/>
      <c r="I84" s="557"/>
      <c r="J84" s="557"/>
      <c r="K84" s="557">
        <v>6000</v>
      </c>
      <c r="L84" s="557"/>
      <c r="M84" s="557"/>
      <c r="N84" s="1201"/>
      <c r="O84" s="1202">
        <f t="shared" ref="O84:O88" si="18">SUM(I84:N84)</f>
        <v>6000</v>
      </c>
      <c r="P84" s="292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74"/>
      <c r="CI84" s="174"/>
      <c r="CJ84" s="174"/>
      <c r="CK84" s="174"/>
      <c r="CL84" s="174"/>
      <c r="CM84" s="174"/>
      <c r="CN84" s="174"/>
      <c r="CO84" s="174"/>
      <c r="CP84" s="174"/>
      <c r="CQ84" s="174"/>
      <c r="CR84" s="174"/>
      <c r="CS84" s="174"/>
      <c r="CT84" s="174"/>
      <c r="CU84" s="174"/>
      <c r="CV84" s="174"/>
      <c r="CW84" s="174"/>
      <c r="CX84" s="174"/>
      <c r="CY84" s="174"/>
      <c r="CZ84" s="174"/>
      <c r="DA84" s="174"/>
      <c r="DB84" s="174"/>
      <c r="DC84" s="174"/>
      <c r="DD84" s="174"/>
      <c r="DE84" s="174"/>
      <c r="DF84" s="174"/>
      <c r="DG84" s="174"/>
      <c r="DH84" s="174"/>
      <c r="DI84" s="174"/>
      <c r="DJ84" s="174"/>
      <c r="DK84" s="174"/>
      <c r="DL84" s="174"/>
      <c r="DM84" s="174"/>
      <c r="DN84" s="174"/>
      <c r="DO84" s="174"/>
      <c r="DP84" s="174"/>
      <c r="DQ84" s="174"/>
      <c r="DR84" s="174"/>
      <c r="DS84" s="174"/>
      <c r="DT84" s="174"/>
      <c r="DU84" s="174"/>
      <c r="DV84" s="174"/>
      <c r="DW84" s="174"/>
      <c r="DX84" s="174"/>
      <c r="DY84" s="174"/>
      <c r="DZ84" s="174"/>
      <c r="EA84" s="174"/>
      <c r="EB84" s="174"/>
      <c r="EC84" s="174"/>
      <c r="ED84" s="174"/>
      <c r="EE84" s="174"/>
      <c r="EF84" s="174"/>
      <c r="EG84" s="174"/>
      <c r="EH84" s="174"/>
      <c r="EI84" s="174"/>
      <c r="EJ84" s="174"/>
      <c r="EK84" s="174"/>
      <c r="EL84" s="174"/>
      <c r="EM84" s="174"/>
      <c r="EN84" s="174"/>
      <c r="EO84" s="174"/>
      <c r="EP84" s="174"/>
      <c r="EQ84" s="174"/>
      <c r="ER84" s="174"/>
      <c r="ES84" s="174"/>
      <c r="ET84" s="174"/>
      <c r="EU84" s="174"/>
      <c r="EV84" s="174"/>
      <c r="EW84" s="174"/>
      <c r="EX84" s="174"/>
      <c r="EY84" s="174"/>
      <c r="EZ84" s="174"/>
      <c r="FA84" s="174"/>
      <c r="FB84" s="174"/>
      <c r="FC84" s="174"/>
      <c r="FD84" s="174"/>
      <c r="FE84" s="174"/>
      <c r="FF84" s="174"/>
      <c r="FG84" s="174"/>
      <c r="FH84" s="174"/>
      <c r="FI84" s="174"/>
      <c r="FJ84" s="174"/>
      <c r="FK84" s="174"/>
      <c r="FL84" s="174"/>
      <c r="FM84" s="174"/>
      <c r="FN84" s="174"/>
      <c r="FO84" s="174"/>
      <c r="FP84" s="174"/>
      <c r="FQ84" s="174"/>
      <c r="FR84" s="174"/>
      <c r="FS84" s="174"/>
      <c r="FT84" s="174"/>
      <c r="FU84" s="174"/>
      <c r="FV84" s="174"/>
      <c r="FW84" s="174"/>
      <c r="FX84" s="174"/>
      <c r="FY84" s="174"/>
      <c r="FZ84" s="174"/>
      <c r="GA84" s="174"/>
      <c r="GB84" s="174"/>
      <c r="GC84" s="174"/>
      <c r="GD84" s="174"/>
      <c r="GE84" s="174"/>
      <c r="GF84" s="174"/>
      <c r="GG84" s="174"/>
      <c r="GH84" s="174"/>
      <c r="GI84" s="174"/>
      <c r="GJ84" s="174"/>
      <c r="GK84" s="174"/>
      <c r="GL84" s="174"/>
      <c r="GM84" s="174"/>
      <c r="GN84" s="174"/>
      <c r="GO84" s="174"/>
      <c r="GP84" s="174"/>
      <c r="GQ84" s="174"/>
      <c r="GR84" s="174"/>
      <c r="GS84" s="174"/>
      <c r="GT84" s="174"/>
      <c r="GU84" s="174"/>
      <c r="GV84" s="174"/>
      <c r="GW84" s="174"/>
      <c r="GX84" s="174"/>
      <c r="GY84" s="174"/>
      <c r="GZ84" s="174"/>
      <c r="HA84" s="174"/>
      <c r="HB84" s="174"/>
      <c r="HC84" s="174"/>
      <c r="HD84" s="174"/>
      <c r="HE84" s="174"/>
      <c r="HF84" s="174"/>
      <c r="HG84" s="174"/>
      <c r="HH84" s="174"/>
      <c r="HI84" s="174"/>
      <c r="HJ84" s="174"/>
      <c r="HK84" s="174"/>
      <c r="HL84" s="174"/>
      <c r="HM84" s="174"/>
      <c r="HN84" s="174"/>
      <c r="HO84" s="174"/>
      <c r="HP84" s="174"/>
      <c r="HQ84" s="174"/>
      <c r="HR84" s="174"/>
      <c r="HS84" s="174"/>
      <c r="HT84" s="174"/>
      <c r="HU84" s="174"/>
      <c r="HV84" s="174"/>
      <c r="HW84" s="174"/>
      <c r="HX84" s="174"/>
      <c r="HY84" s="174"/>
      <c r="HZ84" s="174"/>
      <c r="IA84" s="174"/>
      <c r="IB84" s="174"/>
      <c r="IC84" s="174"/>
      <c r="ID84" s="174"/>
      <c r="IE84" s="174"/>
      <c r="IF84" s="174"/>
      <c r="IG84" s="174"/>
      <c r="IH84" s="174"/>
      <c r="II84" s="174"/>
      <c r="IJ84" s="174"/>
      <c r="IK84" s="174"/>
      <c r="IL84" s="174"/>
      <c r="IM84" s="174"/>
      <c r="IN84" s="174"/>
      <c r="IO84" s="174"/>
      <c r="IP84" s="174"/>
      <c r="IQ84" s="174"/>
      <c r="IR84" s="174"/>
      <c r="IS84" s="174"/>
      <c r="IT84" s="174"/>
      <c r="IU84" s="174"/>
      <c r="IV84" s="174"/>
    </row>
    <row r="85" spans="1:256" s="287" customFormat="1" ht="18" customHeight="1" x14ac:dyDescent="0.35">
      <c r="A85" s="301">
        <v>77</v>
      </c>
      <c r="B85" s="1173"/>
      <c r="C85" s="175"/>
      <c r="D85" s="187" t="s">
        <v>860</v>
      </c>
      <c r="E85" s="1174"/>
      <c r="F85" s="183"/>
      <c r="G85" s="1174"/>
      <c r="H85" s="373"/>
      <c r="I85" s="1199"/>
      <c r="J85" s="1199"/>
      <c r="K85" s="1199"/>
      <c r="L85" s="1199"/>
      <c r="M85" s="1199"/>
      <c r="N85" s="1199"/>
      <c r="O85" s="1192">
        <f t="shared" si="18"/>
        <v>0</v>
      </c>
      <c r="P85" s="292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74"/>
      <c r="CI85" s="174"/>
      <c r="CJ85" s="174"/>
      <c r="CK85" s="174"/>
      <c r="CL85" s="174"/>
      <c r="CM85" s="174"/>
      <c r="CN85" s="174"/>
      <c r="CO85" s="174"/>
      <c r="CP85" s="174"/>
      <c r="CQ85" s="174"/>
      <c r="CR85" s="174"/>
      <c r="CS85" s="174"/>
      <c r="CT85" s="174"/>
      <c r="CU85" s="174"/>
      <c r="CV85" s="174"/>
      <c r="CW85" s="174"/>
      <c r="CX85" s="174"/>
      <c r="CY85" s="174"/>
      <c r="CZ85" s="174"/>
      <c r="DA85" s="174"/>
      <c r="DB85" s="174"/>
      <c r="DC85" s="174"/>
      <c r="DD85" s="174"/>
      <c r="DE85" s="174"/>
      <c r="DF85" s="174"/>
      <c r="DG85" s="174"/>
      <c r="DH85" s="174"/>
      <c r="DI85" s="174"/>
      <c r="DJ85" s="174"/>
      <c r="DK85" s="174"/>
      <c r="DL85" s="174"/>
      <c r="DM85" s="174"/>
      <c r="DN85" s="174"/>
      <c r="DO85" s="174"/>
      <c r="DP85" s="174"/>
      <c r="DQ85" s="174"/>
      <c r="DR85" s="174"/>
      <c r="DS85" s="174"/>
      <c r="DT85" s="174"/>
      <c r="DU85" s="174"/>
      <c r="DV85" s="174"/>
      <c r="DW85" s="174"/>
      <c r="DX85" s="174"/>
      <c r="DY85" s="174"/>
      <c r="DZ85" s="174"/>
      <c r="EA85" s="174"/>
      <c r="EB85" s="174"/>
      <c r="EC85" s="174"/>
      <c r="ED85" s="174"/>
      <c r="EE85" s="174"/>
      <c r="EF85" s="174"/>
      <c r="EG85" s="174"/>
      <c r="EH85" s="174"/>
      <c r="EI85" s="174"/>
      <c r="EJ85" s="174"/>
      <c r="EK85" s="174"/>
      <c r="EL85" s="174"/>
      <c r="EM85" s="174"/>
      <c r="EN85" s="174"/>
      <c r="EO85" s="174"/>
      <c r="EP85" s="174"/>
      <c r="EQ85" s="174"/>
      <c r="ER85" s="174"/>
      <c r="ES85" s="174"/>
      <c r="ET85" s="174"/>
      <c r="EU85" s="174"/>
      <c r="EV85" s="174"/>
      <c r="EW85" s="174"/>
      <c r="EX85" s="174"/>
      <c r="EY85" s="174"/>
      <c r="EZ85" s="174"/>
      <c r="FA85" s="174"/>
      <c r="FB85" s="174"/>
      <c r="FC85" s="174"/>
      <c r="FD85" s="174"/>
      <c r="FE85" s="174"/>
      <c r="FF85" s="174"/>
      <c r="FG85" s="174"/>
      <c r="FH85" s="174"/>
      <c r="FI85" s="174"/>
      <c r="FJ85" s="174"/>
      <c r="FK85" s="174"/>
      <c r="FL85" s="174"/>
      <c r="FM85" s="174"/>
      <c r="FN85" s="174"/>
      <c r="FO85" s="174"/>
      <c r="FP85" s="174"/>
      <c r="FQ85" s="174"/>
      <c r="FR85" s="174"/>
      <c r="FS85" s="174"/>
      <c r="FT85" s="174"/>
      <c r="FU85" s="174"/>
      <c r="FV85" s="174"/>
      <c r="FW85" s="174"/>
      <c r="FX85" s="174"/>
      <c r="FY85" s="174"/>
      <c r="FZ85" s="174"/>
      <c r="GA85" s="174"/>
      <c r="GB85" s="174"/>
      <c r="GC85" s="174"/>
      <c r="GD85" s="174"/>
      <c r="GE85" s="174"/>
      <c r="GF85" s="174"/>
      <c r="GG85" s="174"/>
      <c r="GH85" s="174"/>
      <c r="GI85" s="174"/>
      <c r="GJ85" s="174"/>
      <c r="GK85" s="174"/>
      <c r="GL85" s="174"/>
      <c r="GM85" s="174"/>
      <c r="GN85" s="174"/>
      <c r="GO85" s="174"/>
      <c r="GP85" s="174"/>
      <c r="GQ85" s="174"/>
      <c r="GR85" s="174"/>
      <c r="GS85" s="174"/>
      <c r="GT85" s="174"/>
      <c r="GU85" s="174"/>
      <c r="GV85" s="174"/>
      <c r="GW85" s="174"/>
      <c r="GX85" s="174"/>
      <c r="GY85" s="174"/>
      <c r="GZ85" s="174"/>
      <c r="HA85" s="174"/>
      <c r="HB85" s="174"/>
      <c r="HC85" s="174"/>
      <c r="HD85" s="174"/>
      <c r="HE85" s="174"/>
      <c r="HF85" s="174"/>
      <c r="HG85" s="174"/>
      <c r="HH85" s="174"/>
      <c r="HI85" s="174"/>
      <c r="HJ85" s="174"/>
      <c r="HK85" s="174"/>
      <c r="HL85" s="174"/>
      <c r="HM85" s="174"/>
      <c r="HN85" s="174"/>
      <c r="HO85" s="174"/>
      <c r="HP85" s="174"/>
      <c r="HQ85" s="174"/>
      <c r="HR85" s="174"/>
      <c r="HS85" s="174"/>
      <c r="HT85" s="174"/>
      <c r="HU85" s="174"/>
      <c r="HV85" s="174"/>
      <c r="HW85" s="174"/>
      <c r="HX85" s="174"/>
      <c r="HY85" s="174"/>
      <c r="HZ85" s="174"/>
      <c r="IA85" s="174"/>
      <c r="IB85" s="174"/>
      <c r="IC85" s="174"/>
      <c r="ID85" s="174"/>
      <c r="IE85" s="174"/>
      <c r="IF85" s="174"/>
      <c r="IG85" s="174"/>
      <c r="IH85" s="174"/>
      <c r="II85" s="174"/>
      <c r="IJ85" s="174"/>
      <c r="IK85" s="174"/>
      <c r="IL85" s="174"/>
      <c r="IM85" s="174"/>
      <c r="IN85" s="174"/>
      <c r="IO85" s="174"/>
      <c r="IP85" s="174"/>
      <c r="IQ85" s="174"/>
      <c r="IR85" s="174"/>
      <c r="IS85" s="174"/>
      <c r="IT85" s="174"/>
      <c r="IU85" s="174"/>
      <c r="IV85" s="174"/>
    </row>
    <row r="86" spans="1:256" s="287" customFormat="1" ht="33.75" x14ac:dyDescent="0.35">
      <c r="A86" s="301">
        <v>78</v>
      </c>
      <c r="B86" s="295"/>
      <c r="C86" s="1169">
        <v>20</v>
      </c>
      <c r="D86" s="176" t="s">
        <v>823</v>
      </c>
      <c r="E86" s="1421">
        <f>F86+G86+O87+P87</f>
        <v>20664</v>
      </c>
      <c r="F86" s="420"/>
      <c r="G86" s="317"/>
      <c r="H86" s="652" t="s">
        <v>24</v>
      </c>
      <c r="I86" s="553"/>
      <c r="J86" s="553"/>
      <c r="K86" s="553"/>
      <c r="L86" s="553"/>
      <c r="M86" s="553"/>
      <c r="N86" s="1230"/>
      <c r="O86" s="1419"/>
      <c r="P86" s="1168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4"/>
      <c r="CU86" s="174"/>
      <c r="CV86" s="174"/>
      <c r="CW86" s="174"/>
      <c r="CX86" s="174"/>
      <c r="CY86" s="174"/>
      <c r="CZ86" s="174"/>
      <c r="DA86" s="174"/>
      <c r="DB86" s="174"/>
      <c r="DC86" s="174"/>
      <c r="DD86" s="174"/>
      <c r="DE86" s="174"/>
      <c r="DF86" s="174"/>
      <c r="DG86" s="174"/>
      <c r="DH86" s="174"/>
      <c r="DI86" s="174"/>
      <c r="DJ86" s="174"/>
      <c r="DK86" s="174"/>
      <c r="DL86" s="174"/>
      <c r="DM86" s="174"/>
      <c r="DN86" s="174"/>
      <c r="DO86" s="174"/>
      <c r="DP86" s="174"/>
      <c r="DQ86" s="174"/>
      <c r="DR86" s="174"/>
      <c r="DS86" s="174"/>
      <c r="DT86" s="174"/>
      <c r="DU86" s="174"/>
      <c r="DV86" s="174"/>
      <c r="DW86" s="174"/>
      <c r="DX86" s="174"/>
      <c r="DY86" s="174"/>
      <c r="DZ86" s="174"/>
      <c r="EA86" s="174"/>
      <c r="EB86" s="174"/>
      <c r="EC86" s="174"/>
      <c r="ED86" s="174"/>
      <c r="EE86" s="174"/>
      <c r="EF86" s="174"/>
      <c r="EG86" s="174"/>
      <c r="EH86" s="174"/>
      <c r="EI86" s="174"/>
      <c r="EJ86" s="174"/>
      <c r="EK86" s="174"/>
      <c r="EL86" s="174"/>
      <c r="EM86" s="174"/>
      <c r="EN86" s="174"/>
      <c r="EO86" s="174"/>
      <c r="EP86" s="174"/>
      <c r="EQ86" s="174"/>
      <c r="ER86" s="174"/>
      <c r="ES86" s="174"/>
      <c r="ET86" s="174"/>
      <c r="EU86" s="174"/>
      <c r="EV86" s="174"/>
      <c r="EW86" s="174"/>
      <c r="EX86" s="174"/>
      <c r="EY86" s="174"/>
      <c r="EZ86" s="174"/>
      <c r="FA86" s="174"/>
      <c r="FB86" s="174"/>
      <c r="FC86" s="174"/>
      <c r="FD86" s="174"/>
      <c r="FE86" s="174"/>
      <c r="FF86" s="174"/>
      <c r="FG86" s="174"/>
      <c r="FH86" s="174"/>
      <c r="FI86" s="174"/>
      <c r="FJ86" s="174"/>
      <c r="FK86" s="174"/>
      <c r="FL86" s="174"/>
      <c r="FM86" s="174"/>
      <c r="FN86" s="174"/>
      <c r="FO86" s="174"/>
      <c r="FP86" s="174"/>
      <c r="FQ86" s="174"/>
      <c r="FR86" s="174"/>
      <c r="FS86" s="174"/>
      <c r="FT86" s="174"/>
      <c r="FU86" s="174"/>
      <c r="FV86" s="174"/>
      <c r="FW86" s="174"/>
      <c r="FX86" s="174"/>
      <c r="FY86" s="174"/>
      <c r="FZ86" s="174"/>
      <c r="GA86" s="174"/>
      <c r="GB86" s="174"/>
      <c r="GC86" s="174"/>
      <c r="GD86" s="174"/>
      <c r="GE86" s="174"/>
      <c r="GF86" s="174"/>
      <c r="GG86" s="174"/>
      <c r="GH86" s="174"/>
      <c r="GI86" s="174"/>
      <c r="GJ86" s="174"/>
      <c r="GK86" s="174"/>
      <c r="GL86" s="174"/>
      <c r="GM86" s="174"/>
      <c r="GN86" s="174"/>
      <c r="GO86" s="174"/>
      <c r="GP86" s="174"/>
      <c r="GQ86" s="174"/>
      <c r="GR86" s="174"/>
      <c r="GS86" s="174"/>
      <c r="GT86" s="174"/>
      <c r="GU86" s="174"/>
      <c r="GV86" s="174"/>
      <c r="GW86" s="174"/>
      <c r="GX86" s="174"/>
      <c r="GY86" s="174"/>
      <c r="GZ86" s="174"/>
      <c r="HA86" s="174"/>
      <c r="HB86" s="174"/>
      <c r="HC86" s="174"/>
      <c r="HD86" s="174"/>
      <c r="HE86" s="174"/>
      <c r="HF86" s="174"/>
      <c r="HG86" s="174"/>
      <c r="HH86" s="174"/>
      <c r="HI86" s="174"/>
      <c r="HJ86" s="174"/>
      <c r="HK86" s="174"/>
      <c r="HL86" s="174"/>
      <c r="HM86" s="174"/>
      <c r="HN86" s="174"/>
      <c r="HO86" s="174"/>
      <c r="HP86" s="174"/>
      <c r="HQ86" s="174"/>
      <c r="HR86" s="174"/>
      <c r="HS86" s="174"/>
      <c r="HT86" s="174"/>
      <c r="HU86" s="174"/>
      <c r="HV86" s="174"/>
      <c r="HW86" s="174"/>
      <c r="HX86" s="174"/>
      <c r="HY86" s="174"/>
      <c r="HZ86" s="174"/>
      <c r="IA86" s="174"/>
      <c r="IB86" s="174"/>
      <c r="IC86" s="174"/>
      <c r="ID86" s="174"/>
      <c r="IE86" s="174"/>
      <c r="IF86" s="174"/>
      <c r="IG86" s="174"/>
      <c r="IH86" s="174"/>
      <c r="II86" s="174"/>
      <c r="IJ86" s="174"/>
      <c r="IK86" s="174"/>
      <c r="IL86" s="174"/>
      <c r="IM86" s="174"/>
      <c r="IN86" s="174"/>
      <c r="IO86" s="174"/>
      <c r="IP86" s="174"/>
      <c r="IQ86" s="174"/>
      <c r="IR86" s="174"/>
      <c r="IS86" s="174"/>
      <c r="IT86" s="174"/>
      <c r="IU86" s="174"/>
      <c r="IV86" s="174"/>
    </row>
    <row r="87" spans="1:256" s="287" customFormat="1" x14ac:dyDescent="0.35">
      <c r="A87" s="301">
        <v>79</v>
      </c>
      <c r="B87" s="295"/>
      <c r="C87" s="1169"/>
      <c r="D87" s="225" t="s">
        <v>796</v>
      </c>
      <c r="E87" s="1421"/>
      <c r="F87" s="420"/>
      <c r="G87" s="184"/>
      <c r="H87" s="373"/>
      <c r="I87" s="557"/>
      <c r="J87" s="557"/>
      <c r="K87" s="557">
        <v>20664</v>
      </c>
      <c r="L87" s="557"/>
      <c r="M87" s="557"/>
      <c r="N87" s="1201"/>
      <c r="O87" s="1202">
        <f t="shared" si="18"/>
        <v>20664</v>
      </c>
      <c r="P87" s="292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4"/>
      <c r="BR87" s="174"/>
      <c r="BS87" s="174"/>
      <c r="BT87" s="174"/>
      <c r="BU87" s="174"/>
      <c r="BV87" s="174"/>
      <c r="BW87" s="174"/>
      <c r="BX87" s="174"/>
      <c r="BY87" s="174"/>
      <c r="BZ87" s="174"/>
      <c r="CA87" s="174"/>
      <c r="CB87" s="174"/>
      <c r="CC87" s="174"/>
      <c r="CD87" s="174"/>
      <c r="CE87" s="174"/>
      <c r="CF87" s="174"/>
      <c r="CG87" s="174"/>
      <c r="CH87" s="174"/>
      <c r="CI87" s="174"/>
      <c r="CJ87" s="174"/>
      <c r="CK87" s="174"/>
      <c r="CL87" s="174"/>
      <c r="CM87" s="174"/>
      <c r="CN87" s="174"/>
      <c r="CO87" s="174"/>
      <c r="CP87" s="174"/>
      <c r="CQ87" s="174"/>
      <c r="CR87" s="174"/>
      <c r="CS87" s="174"/>
      <c r="CT87" s="174"/>
      <c r="CU87" s="174"/>
      <c r="CV87" s="174"/>
      <c r="CW87" s="174"/>
      <c r="CX87" s="174"/>
      <c r="CY87" s="174"/>
      <c r="CZ87" s="174"/>
      <c r="DA87" s="174"/>
      <c r="DB87" s="174"/>
      <c r="DC87" s="174"/>
      <c r="DD87" s="174"/>
      <c r="DE87" s="174"/>
      <c r="DF87" s="174"/>
      <c r="DG87" s="174"/>
      <c r="DH87" s="174"/>
      <c r="DI87" s="174"/>
      <c r="DJ87" s="174"/>
      <c r="DK87" s="174"/>
      <c r="DL87" s="174"/>
      <c r="DM87" s="174"/>
      <c r="DN87" s="174"/>
      <c r="DO87" s="174"/>
      <c r="DP87" s="174"/>
      <c r="DQ87" s="174"/>
      <c r="DR87" s="174"/>
      <c r="DS87" s="174"/>
      <c r="DT87" s="174"/>
      <c r="DU87" s="174"/>
      <c r="DV87" s="174"/>
      <c r="DW87" s="174"/>
      <c r="DX87" s="174"/>
      <c r="DY87" s="174"/>
      <c r="DZ87" s="174"/>
      <c r="EA87" s="174"/>
      <c r="EB87" s="174"/>
      <c r="EC87" s="174"/>
      <c r="ED87" s="174"/>
      <c r="EE87" s="174"/>
      <c r="EF87" s="174"/>
      <c r="EG87" s="174"/>
      <c r="EH87" s="174"/>
      <c r="EI87" s="174"/>
      <c r="EJ87" s="174"/>
      <c r="EK87" s="174"/>
      <c r="EL87" s="174"/>
      <c r="EM87" s="174"/>
      <c r="EN87" s="174"/>
      <c r="EO87" s="174"/>
      <c r="EP87" s="174"/>
      <c r="EQ87" s="174"/>
      <c r="ER87" s="174"/>
      <c r="ES87" s="174"/>
      <c r="ET87" s="174"/>
      <c r="EU87" s="174"/>
      <c r="EV87" s="174"/>
      <c r="EW87" s="174"/>
      <c r="EX87" s="174"/>
      <c r="EY87" s="174"/>
      <c r="EZ87" s="174"/>
      <c r="FA87" s="174"/>
      <c r="FB87" s="174"/>
      <c r="FC87" s="174"/>
      <c r="FD87" s="174"/>
      <c r="FE87" s="174"/>
      <c r="FF87" s="174"/>
      <c r="FG87" s="174"/>
      <c r="FH87" s="174"/>
      <c r="FI87" s="174"/>
      <c r="FJ87" s="174"/>
      <c r="FK87" s="174"/>
      <c r="FL87" s="174"/>
      <c r="FM87" s="174"/>
      <c r="FN87" s="174"/>
      <c r="FO87" s="174"/>
      <c r="FP87" s="174"/>
      <c r="FQ87" s="174"/>
      <c r="FR87" s="174"/>
      <c r="FS87" s="174"/>
      <c r="FT87" s="174"/>
      <c r="FU87" s="174"/>
      <c r="FV87" s="174"/>
      <c r="FW87" s="174"/>
      <c r="FX87" s="174"/>
      <c r="FY87" s="174"/>
      <c r="FZ87" s="174"/>
      <c r="GA87" s="174"/>
      <c r="GB87" s="174"/>
      <c r="GC87" s="174"/>
      <c r="GD87" s="174"/>
      <c r="GE87" s="174"/>
      <c r="GF87" s="174"/>
      <c r="GG87" s="174"/>
      <c r="GH87" s="174"/>
      <c r="GI87" s="174"/>
      <c r="GJ87" s="174"/>
      <c r="GK87" s="174"/>
      <c r="GL87" s="174"/>
      <c r="GM87" s="174"/>
      <c r="GN87" s="174"/>
      <c r="GO87" s="174"/>
      <c r="GP87" s="174"/>
      <c r="GQ87" s="174"/>
      <c r="GR87" s="174"/>
      <c r="GS87" s="174"/>
      <c r="GT87" s="174"/>
      <c r="GU87" s="174"/>
      <c r="GV87" s="174"/>
      <c r="GW87" s="174"/>
      <c r="GX87" s="174"/>
      <c r="GY87" s="174"/>
      <c r="GZ87" s="174"/>
      <c r="HA87" s="174"/>
      <c r="HB87" s="174"/>
      <c r="HC87" s="174"/>
      <c r="HD87" s="174"/>
      <c r="HE87" s="174"/>
      <c r="HF87" s="174"/>
      <c r="HG87" s="174"/>
      <c r="HH87" s="174"/>
      <c r="HI87" s="174"/>
      <c r="HJ87" s="174"/>
      <c r="HK87" s="174"/>
      <c r="HL87" s="174"/>
      <c r="HM87" s="174"/>
      <c r="HN87" s="174"/>
      <c r="HO87" s="174"/>
      <c r="HP87" s="174"/>
      <c r="HQ87" s="174"/>
      <c r="HR87" s="174"/>
      <c r="HS87" s="174"/>
      <c r="HT87" s="174"/>
      <c r="HU87" s="174"/>
      <c r="HV87" s="174"/>
      <c r="HW87" s="174"/>
      <c r="HX87" s="174"/>
      <c r="HY87" s="174"/>
      <c r="HZ87" s="174"/>
      <c r="IA87" s="174"/>
      <c r="IB87" s="174"/>
      <c r="IC87" s="174"/>
      <c r="ID87" s="174"/>
      <c r="IE87" s="174"/>
      <c r="IF87" s="174"/>
      <c r="IG87" s="174"/>
      <c r="IH87" s="174"/>
      <c r="II87" s="174"/>
      <c r="IJ87" s="174"/>
      <c r="IK87" s="174"/>
      <c r="IL87" s="174"/>
      <c r="IM87" s="174"/>
      <c r="IN87" s="174"/>
      <c r="IO87" s="174"/>
      <c r="IP87" s="174"/>
      <c r="IQ87" s="174"/>
      <c r="IR87" s="174"/>
      <c r="IS87" s="174"/>
      <c r="IT87" s="174"/>
      <c r="IU87" s="174"/>
      <c r="IV87" s="174"/>
    </row>
    <row r="88" spans="1:256" s="287" customFormat="1" ht="18" customHeight="1" thickBot="1" x14ac:dyDescent="0.4">
      <c r="A88" s="301">
        <v>80</v>
      </c>
      <c r="B88" s="295"/>
      <c r="C88" s="1169"/>
      <c r="D88" s="187" t="s">
        <v>860</v>
      </c>
      <c r="E88" s="1421"/>
      <c r="F88" s="420"/>
      <c r="G88" s="184"/>
      <c r="H88" s="373"/>
      <c r="I88" s="557"/>
      <c r="J88" s="557"/>
      <c r="K88" s="1199"/>
      <c r="L88" s="557"/>
      <c r="M88" s="557"/>
      <c r="N88" s="1201"/>
      <c r="O88" s="1204">
        <f t="shared" si="18"/>
        <v>0</v>
      </c>
      <c r="P88" s="292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4"/>
      <c r="BH88" s="174"/>
      <c r="BI88" s="174"/>
      <c r="BJ88" s="174"/>
      <c r="BK88" s="174"/>
      <c r="BL88" s="174"/>
      <c r="BM88" s="174"/>
      <c r="BN88" s="174"/>
      <c r="BO88" s="174"/>
      <c r="BP88" s="174"/>
      <c r="BQ88" s="174"/>
      <c r="BR88" s="174"/>
      <c r="BS88" s="174"/>
      <c r="BT88" s="174"/>
      <c r="BU88" s="174"/>
      <c r="BV88" s="174"/>
      <c r="BW88" s="174"/>
      <c r="BX88" s="174"/>
      <c r="BY88" s="174"/>
      <c r="BZ88" s="174"/>
      <c r="CA88" s="174"/>
      <c r="CB88" s="174"/>
      <c r="CC88" s="174"/>
      <c r="CD88" s="174"/>
      <c r="CE88" s="174"/>
      <c r="CF88" s="174"/>
      <c r="CG88" s="174"/>
      <c r="CH88" s="174"/>
      <c r="CI88" s="174"/>
      <c r="CJ88" s="174"/>
      <c r="CK88" s="174"/>
      <c r="CL88" s="174"/>
      <c r="CM88" s="174"/>
      <c r="CN88" s="174"/>
      <c r="CO88" s="174"/>
      <c r="CP88" s="174"/>
      <c r="CQ88" s="174"/>
      <c r="CR88" s="174"/>
      <c r="CS88" s="174"/>
      <c r="CT88" s="174"/>
      <c r="CU88" s="174"/>
      <c r="CV88" s="174"/>
      <c r="CW88" s="174"/>
      <c r="CX88" s="174"/>
      <c r="CY88" s="174"/>
      <c r="CZ88" s="174"/>
      <c r="DA88" s="174"/>
      <c r="DB88" s="174"/>
      <c r="DC88" s="174"/>
      <c r="DD88" s="174"/>
      <c r="DE88" s="174"/>
      <c r="DF88" s="174"/>
      <c r="DG88" s="174"/>
      <c r="DH88" s="174"/>
      <c r="DI88" s="174"/>
      <c r="DJ88" s="174"/>
      <c r="DK88" s="174"/>
      <c r="DL88" s="174"/>
      <c r="DM88" s="174"/>
      <c r="DN88" s="174"/>
      <c r="DO88" s="174"/>
      <c r="DP88" s="174"/>
      <c r="DQ88" s="174"/>
      <c r="DR88" s="174"/>
      <c r="DS88" s="174"/>
      <c r="DT88" s="174"/>
      <c r="DU88" s="174"/>
      <c r="DV88" s="174"/>
      <c r="DW88" s="174"/>
      <c r="DX88" s="174"/>
      <c r="DY88" s="174"/>
      <c r="DZ88" s="174"/>
      <c r="EA88" s="174"/>
      <c r="EB88" s="174"/>
      <c r="EC88" s="174"/>
      <c r="ED88" s="174"/>
      <c r="EE88" s="174"/>
      <c r="EF88" s="174"/>
      <c r="EG88" s="174"/>
      <c r="EH88" s="174"/>
      <c r="EI88" s="174"/>
      <c r="EJ88" s="174"/>
      <c r="EK88" s="174"/>
      <c r="EL88" s="174"/>
      <c r="EM88" s="174"/>
      <c r="EN88" s="174"/>
      <c r="EO88" s="174"/>
      <c r="EP88" s="174"/>
      <c r="EQ88" s="174"/>
      <c r="ER88" s="174"/>
      <c r="ES88" s="174"/>
      <c r="ET88" s="174"/>
      <c r="EU88" s="174"/>
      <c r="EV88" s="174"/>
      <c r="EW88" s="174"/>
      <c r="EX88" s="174"/>
      <c r="EY88" s="174"/>
      <c r="EZ88" s="174"/>
      <c r="FA88" s="174"/>
      <c r="FB88" s="174"/>
      <c r="FC88" s="174"/>
      <c r="FD88" s="174"/>
      <c r="FE88" s="174"/>
      <c r="FF88" s="174"/>
      <c r="FG88" s="174"/>
      <c r="FH88" s="174"/>
      <c r="FI88" s="174"/>
      <c r="FJ88" s="174"/>
      <c r="FK88" s="174"/>
      <c r="FL88" s="174"/>
      <c r="FM88" s="174"/>
      <c r="FN88" s="174"/>
      <c r="FO88" s="174"/>
      <c r="FP88" s="174"/>
      <c r="FQ88" s="174"/>
      <c r="FR88" s="174"/>
      <c r="FS88" s="174"/>
      <c r="FT88" s="174"/>
      <c r="FU88" s="174"/>
      <c r="FV88" s="174"/>
      <c r="FW88" s="174"/>
      <c r="FX88" s="174"/>
      <c r="FY88" s="174"/>
      <c r="FZ88" s="174"/>
      <c r="GA88" s="174"/>
      <c r="GB88" s="174"/>
      <c r="GC88" s="174"/>
      <c r="GD88" s="174"/>
      <c r="GE88" s="174"/>
      <c r="GF88" s="174"/>
      <c r="GG88" s="174"/>
      <c r="GH88" s="174"/>
      <c r="GI88" s="174"/>
      <c r="GJ88" s="174"/>
      <c r="GK88" s="174"/>
      <c r="GL88" s="174"/>
      <c r="GM88" s="174"/>
      <c r="GN88" s="174"/>
      <c r="GO88" s="174"/>
      <c r="GP88" s="174"/>
      <c r="GQ88" s="174"/>
      <c r="GR88" s="174"/>
      <c r="GS88" s="174"/>
      <c r="GT88" s="174"/>
      <c r="GU88" s="174"/>
      <c r="GV88" s="174"/>
      <c r="GW88" s="174"/>
      <c r="GX88" s="174"/>
      <c r="GY88" s="174"/>
      <c r="GZ88" s="174"/>
      <c r="HA88" s="174"/>
      <c r="HB88" s="174"/>
      <c r="HC88" s="174"/>
      <c r="HD88" s="174"/>
      <c r="HE88" s="174"/>
      <c r="HF88" s="174"/>
      <c r="HG88" s="174"/>
      <c r="HH88" s="174"/>
      <c r="HI88" s="174"/>
      <c r="HJ88" s="174"/>
      <c r="HK88" s="174"/>
      <c r="HL88" s="174"/>
      <c r="HM88" s="174"/>
      <c r="HN88" s="174"/>
      <c r="HO88" s="174"/>
      <c r="HP88" s="174"/>
      <c r="HQ88" s="174"/>
      <c r="HR88" s="174"/>
      <c r="HS88" s="174"/>
      <c r="HT88" s="174"/>
      <c r="HU88" s="174"/>
      <c r="HV88" s="174"/>
      <c r="HW88" s="174"/>
      <c r="HX88" s="174"/>
      <c r="HY88" s="174"/>
      <c r="HZ88" s="174"/>
      <c r="IA88" s="174"/>
      <c r="IB88" s="174"/>
      <c r="IC88" s="174"/>
      <c r="ID88" s="174"/>
      <c r="IE88" s="174"/>
      <c r="IF88" s="174"/>
      <c r="IG88" s="174"/>
      <c r="IH88" s="174"/>
      <c r="II88" s="174"/>
      <c r="IJ88" s="174"/>
      <c r="IK88" s="174"/>
      <c r="IL88" s="174"/>
      <c r="IM88" s="174"/>
      <c r="IN88" s="174"/>
      <c r="IO88" s="174"/>
      <c r="IP88" s="174"/>
      <c r="IQ88" s="174"/>
      <c r="IR88" s="174"/>
      <c r="IS88" s="174"/>
      <c r="IT88" s="174"/>
      <c r="IU88" s="174"/>
      <c r="IV88" s="174"/>
    </row>
    <row r="89" spans="1:256" s="178" customFormat="1" ht="21.95" customHeight="1" thickBot="1" x14ac:dyDescent="0.25">
      <c r="A89" s="301">
        <v>81</v>
      </c>
      <c r="B89" s="1776" t="s">
        <v>13</v>
      </c>
      <c r="C89" s="1777"/>
      <c r="D89" s="1777"/>
      <c r="E89" s="1777"/>
      <c r="F89" s="1777"/>
      <c r="G89" s="1778"/>
      <c r="H89" s="305"/>
      <c r="I89" s="423"/>
      <c r="J89" s="423"/>
      <c r="K89" s="423"/>
      <c r="L89" s="423"/>
      <c r="M89" s="423"/>
      <c r="N89" s="423"/>
      <c r="O89" s="602"/>
      <c r="P89" s="424"/>
    </row>
    <row r="90" spans="1:256" s="178" customFormat="1" ht="17.100000000000001" customHeight="1" x14ac:dyDescent="0.35">
      <c r="A90" s="301">
        <v>82</v>
      </c>
      <c r="B90" s="1181"/>
      <c r="C90" s="1175"/>
      <c r="D90" s="1772" t="s">
        <v>268</v>
      </c>
      <c r="E90" s="1773"/>
      <c r="F90" s="1773"/>
      <c r="G90" s="1774"/>
      <c r="H90" s="1178"/>
      <c r="I90" s="1298">
        <f t="shared" ref="I90:N90" si="19">I83+I79+I75+I71+I67+I63+I59+I55+I51+I47+I43+I39+I35+I31+I27+I23+I19+I15+I11</f>
        <v>417</v>
      </c>
      <c r="J90" s="1298">
        <f t="shared" si="19"/>
        <v>70</v>
      </c>
      <c r="K90" s="1298">
        <f t="shared" si="19"/>
        <v>174380</v>
      </c>
      <c r="L90" s="1298">
        <f t="shared" si="19"/>
        <v>4884</v>
      </c>
      <c r="M90" s="1298">
        <f t="shared" si="19"/>
        <v>6100860</v>
      </c>
      <c r="N90" s="1298">
        <f t="shared" si="19"/>
        <v>0</v>
      </c>
      <c r="O90" s="418">
        <f>SUM(I90:N90)</f>
        <v>6280611</v>
      </c>
      <c r="P90" s="1182"/>
    </row>
    <row r="91" spans="1:256" s="178" customFormat="1" ht="17.100000000000001" customHeight="1" x14ac:dyDescent="0.35">
      <c r="A91" s="301">
        <v>83</v>
      </c>
      <c r="B91" s="1183"/>
      <c r="C91" s="1176"/>
      <c r="D91" s="1725" t="s">
        <v>796</v>
      </c>
      <c r="E91" s="1726"/>
      <c r="F91" s="1726"/>
      <c r="G91" s="1727"/>
      <c r="H91" s="1179"/>
      <c r="I91" s="1177">
        <f t="shared" ref="I91:N92" si="20">I84+I80+I76+I72+I68+I64+I60+I56+I52+I48+I44+I40+I36+I32+I28+I24+I20+I16+I12+I87</f>
        <v>472</v>
      </c>
      <c r="J91" s="1177">
        <f t="shared" si="20"/>
        <v>87</v>
      </c>
      <c r="K91" s="1177">
        <f t="shared" si="20"/>
        <v>214328</v>
      </c>
      <c r="L91" s="1177">
        <f t="shared" si="20"/>
        <v>4844</v>
      </c>
      <c r="M91" s="1177">
        <f t="shared" si="20"/>
        <v>6106144</v>
      </c>
      <c r="N91" s="1177">
        <f t="shared" si="20"/>
        <v>0</v>
      </c>
      <c r="O91" s="1202">
        <f t="shared" ref="O91" si="21">SUM(I91:N91)</f>
        <v>6325875</v>
      </c>
      <c r="P91" s="1184"/>
    </row>
    <row r="92" spans="1:256" s="178" customFormat="1" ht="17.100000000000001" customHeight="1" thickBot="1" x14ac:dyDescent="0.35">
      <c r="A92" s="301">
        <v>84</v>
      </c>
      <c r="B92" s="1185"/>
      <c r="C92" s="1186"/>
      <c r="D92" s="1731" t="s">
        <v>860</v>
      </c>
      <c r="E92" s="1732"/>
      <c r="F92" s="1732"/>
      <c r="G92" s="1733"/>
      <c r="H92" s="1187"/>
      <c r="I92" s="1456">
        <f t="shared" si="20"/>
        <v>217</v>
      </c>
      <c r="J92" s="1456">
        <f t="shared" si="20"/>
        <v>20</v>
      </c>
      <c r="K92" s="1456">
        <f t="shared" si="20"/>
        <v>21021</v>
      </c>
      <c r="L92" s="1456">
        <f t="shared" si="20"/>
        <v>2661</v>
      </c>
      <c r="M92" s="1456">
        <f t="shared" si="20"/>
        <v>623860</v>
      </c>
      <c r="N92" s="1456">
        <f t="shared" si="20"/>
        <v>0</v>
      </c>
      <c r="O92" s="1457">
        <f>SUM(I92:N92)</f>
        <v>647779</v>
      </c>
      <c r="P92" s="1188"/>
    </row>
    <row r="93" spans="1:256" ht="18" customHeight="1" x14ac:dyDescent="0.35">
      <c r="B93" s="293" t="s">
        <v>27</v>
      </c>
      <c r="C93" s="294"/>
      <c r="D93" s="293"/>
      <c r="E93" s="185"/>
      <c r="F93" s="186"/>
      <c r="G93" s="185"/>
      <c r="H93" s="281"/>
      <c r="I93" s="185"/>
      <c r="J93" s="185"/>
      <c r="K93" s="185"/>
      <c r="L93" s="185"/>
      <c r="M93" s="185"/>
      <c r="N93" s="185"/>
      <c r="O93" s="303"/>
    </row>
    <row r="94" spans="1:256" ht="18" customHeight="1" x14ac:dyDescent="0.35">
      <c r="B94" s="293" t="s">
        <v>28</v>
      </c>
      <c r="C94" s="294"/>
      <c r="D94" s="293"/>
      <c r="E94" s="239"/>
      <c r="F94" s="186"/>
      <c r="G94" s="185"/>
      <c r="H94" s="281"/>
      <c r="I94" s="185"/>
      <c r="J94" s="185"/>
      <c r="K94" s="185"/>
      <c r="L94" s="185"/>
      <c r="M94" s="185"/>
      <c r="N94" s="185"/>
      <c r="O94" s="303"/>
    </row>
    <row r="95" spans="1:256" ht="18" customHeight="1" x14ac:dyDescent="0.35">
      <c r="B95" s="293" t="s">
        <v>29</v>
      </c>
      <c r="C95" s="294"/>
      <c r="D95" s="293"/>
      <c r="E95" s="239"/>
      <c r="F95" s="186"/>
      <c r="G95" s="185"/>
      <c r="H95" s="281"/>
      <c r="I95" s="185"/>
      <c r="J95" s="185"/>
      <c r="K95" s="185"/>
      <c r="L95" s="185"/>
      <c r="M95" s="185"/>
      <c r="N95" s="185"/>
      <c r="O95" s="303"/>
    </row>
    <row r="96" spans="1:256" x14ac:dyDescent="0.35">
      <c r="B96" s="182" t="s">
        <v>379</v>
      </c>
      <c r="C96" s="182"/>
    </row>
  </sheetData>
  <mergeCells count="21">
    <mergeCell ref="B1:F1"/>
    <mergeCell ref="I1:P1"/>
    <mergeCell ref="B6:B8"/>
    <mergeCell ref="E6:E8"/>
    <mergeCell ref="A2:P2"/>
    <mergeCell ref="A3:P3"/>
    <mergeCell ref="D6:D8"/>
    <mergeCell ref="F6:F8"/>
    <mergeCell ref="G6:G8"/>
    <mergeCell ref="I6:O6"/>
    <mergeCell ref="P6:P8"/>
    <mergeCell ref="I7:L7"/>
    <mergeCell ref="M7:N7"/>
    <mergeCell ref="O7:O8"/>
    <mergeCell ref="C6:C8"/>
    <mergeCell ref="H6:H8"/>
    <mergeCell ref="D90:G90"/>
    <mergeCell ref="D91:G91"/>
    <mergeCell ref="D92:G92"/>
    <mergeCell ref="Q6:R6"/>
    <mergeCell ref="B89:G89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1" fitToHeight="0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24</vt:i4>
      </vt:variant>
    </vt:vector>
  </HeadingPairs>
  <TitlesOfParts>
    <vt:vector size="38" baseType="lpstr">
      <vt:lpstr>1.Onbe</vt:lpstr>
      <vt:lpstr>2.Onki</vt:lpstr>
      <vt:lpstr>3.Inbe </vt:lpstr>
      <vt:lpstr>4.Inki</vt:lpstr>
      <vt:lpstr>5.Infelhki</vt:lpstr>
      <vt:lpstr>6.Önk.műk.</vt:lpstr>
      <vt:lpstr>7.Beruh.</vt:lpstr>
      <vt:lpstr>8.Felúj.</vt:lpstr>
      <vt:lpstr>9.Projekt</vt:lpstr>
      <vt:lpstr>10.MVP és hazai</vt:lpstr>
      <vt:lpstr>11.EKF</vt:lpstr>
      <vt:lpstr>12.Mérleg</vt:lpstr>
      <vt:lpstr>13.AKÜ</vt:lpstr>
      <vt:lpstr>14.EU</vt:lpstr>
      <vt:lpstr>'1.Onbe'!Nyomtatási_cím</vt:lpstr>
      <vt:lpstr>'10.MVP és hazai'!Nyomtatási_cím</vt:lpstr>
      <vt:lpstr>'11.EKF'!Nyomtatási_cím</vt:lpstr>
      <vt:lpstr>'14.EU'!Nyomtatási_cím</vt:lpstr>
      <vt:lpstr>'2.Onki'!Nyomtatási_cím</vt:lpstr>
      <vt:lpstr>'3.Inbe '!Nyomtatási_cím</vt:lpstr>
      <vt:lpstr>'4.Inki'!Nyomtatási_cím</vt:lpstr>
      <vt:lpstr>'5.Infelhki'!Nyomtatási_cím</vt:lpstr>
      <vt:lpstr>'6.Önk.műk.'!Nyomtatási_cím</vt:lpstr>
      <vt:lpstr>'7.Beruh.'!Nyomtatási_cím</vt:lpstr>
      <vt:lpstr>'8.Felúj.'!Nyomtatási_cím</vt:lpstr>
      <vt:lpstr>'9.Projekt'!Nyomtatási_cím</vt:lpstr>
      <vt:lpstr>'10.MVP és hazai'!Nyomtatási_terület</vt:lpstr>
      <vt:lpstr>'11.EKF'!Nyomtatási_terület</vt:lpstr>
      <vt:lpstr>'12.Mérleg'!Nyomtatási_terület</vt:lpstr>
      <vt:lpstr>'14.EU'!Nyomtatási_terület</vt:lpstr>
      <vt:lpstr>'2.Onki'!Nyomtatási_terület</vt:lpstr>
      <vt:lpstr>'3.Inbe '!Nyomtatási_terület</vt:lpstr>
      <vt:lpstr>'4.Inki'!Nyomtatási_terület</vt:lpstr>
      <vt:lpstr>'5.Infelhki'!Nyomtatási_terület</vt:lpstr>
      <vt:lpstr>'6.Önk.műk.'!Nyomtatási_terület</vt:lpstr>
      <vt:lpstr>'7.Beruh.'!Nyomtatási_terület</vt:lpstr>
      <vt:lpstr>'8.Felúj.'!Nyomtatási_terület</vt:lpstr>
      <vt:lpstr>'9.Projekt'!Nyomtatási_terület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Schumacher Judit</dc:creator>
  <cp:lastModifiedBy>Eckert Szilvia</cp:lastModifiedBy>
  <cp:lastPrinted>2022-09-20T12:54:22Z</cp:lastPrinted>
  <dcterms:created xsi:type="dcterms:W3CDTF">2015-02-11T07:38:58Z</dcterms:created>
  <dcterms:modified xsi:type="dcterms:W3CDTF">2022-09-20T13:13:30Z</dcterms:modified>
</cp:coreProperties>
</file>